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showInkAnnotation="0" defaultThemeVersion="124226"/>
  <mc:AlternateContent xmlns:mc="http://schemas.openxmlformats.org/markup-compatibility/2006">
    <mc:Choice Requires="x15">
      <x15ac:absPath xmlns:x15ac="http://schemas.microsoft.com/office/spreadsheetml/2010/11/ac" url="C:\Users\mariana.silva\Documents\"/>
    </mc:Choice>
  </mc:AlternateContent>
  <xr:revisionPtr revIDLastSave="0" documentId="8_{9DE47E70-0E53-4A10-B254-DD6D20B3E659}" xr6:coauthVersionLast="45" xr6:coauthVersionMax="45" xr10:uidLastSave="{00000000-0000-0000-0000-000000000000}"/>
  <bookViews>
    <workbookView xWindow="-120" yWindow="-120" windowWidth="20730" windowHeight="11160" xr2:uid="{00000000-000D-0000-FFFF-FFFF00000000}"/>
  </bookViews>
  <sheets>
    <sheet name="0 Orientações Gerais" sheetId="15" r:id="rId1"/>
    <sheet name="1 Identificação e Parâmetros" sheetId="10" r:id="rId2"/>
    <sheet name="2 DadosFinanServRSU" sheetId="1" r:id="rId3"/>
    <sheet name="3 Dados-Complementares" sheetId="3" r:id="rId4"/>
    <sheet name="4 Dados Cadastrais-USUÁRIOS" sheetId="4" r:id="rId5"/>
    <sheet name="5.1 CalcCustoVBC-Completo" sheetId="6" r:id="rId6"/>
    <sheet name="5.2 CalcCustoVBC-Simplificado" sheetId="16" r:id="rId7"/>
    <sheet name="6 Tabelas-Taxas_PreçosUnitários" sheetId="12" r:id="rId8"/>
    <sheet name="7 Glossário" sheetId="13" r:id="rId9"/>
    <sheet name="8 OrientaçõesTabelasAuxiliares" sheetId="14" r:id="rId10"/>
  </sheets>
  <definedNames>
    <definedName name="_xlnm.Print_Area" localSheetId="0">'0 Orientações Gerais'!$A$2:$O$13</definedName>
    <definedName name="_xlnm.Print_Area" localSheetId="1">'1 Identificação e Parâmetros'!$A$1:$P$29</definedName>
    <definedName name="_xlnm.Print_Area" localSheetId="2">'2 DadosFinanServRSU'!$B$1:$E$112</definedName>
    <definedName name="_xlnm.Print_Area" localSheetId="3">'3 Dados-Complementares'!$B$1:$I$76</definedName>
    <definedName name="_xlnm.Print_Area" localSheetId="5">'5.1 CalcCustoVBC-Completo'!$B$1:$E$34</definedName>
    <definedName name="_xlnm.Print_Area" localSheetId="6">'5.2 CalcCustoVBC-Simplificado'!$B$1:$E$34</definedName>
    <definedName name="_xlnm.Print_Area" localSheetId="7">'6 Tabelas-Taxas_PreçosUnitários'!$A$1:$R$40</definedName>
    <definedName name="OLE_LINK1" localSheetId="2">'2 DadosFinanServRSU'!#REF!</definedName>
    <definedName name="OLE_LINK1" localSheetId="5">'5.1 CalcCustoVBC-Completo'!#REF!</definedName>
    <definedName name="OLE_LINK1" localSheetId="6">'5.2 CalcCustoVBC-Simplificado'!#REF!</definedName>
    <definedName name="_xlnm.Print_Titles" localSheetId="2">'2 DadosFinanServRSU'!$2:$6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105" i="14" l="1"/>
  <c r="R105" i="14"/>
  <c r="Q105" i="14"/>
  <c r="P105" i="14"/>
  <c r="O105" i="14"/>
  <c r="N105" i="14"/>
  <c r="M105" i="14"/>
  <c r="L105" i="14"/>
  <c r="K105" i="14"/>
  <c r="J105" i="14"/>
  <c r="I105" i="14"/>
  <c r="H105" i="14"/>
  <c r="G105" i="14"/>
  <c r="F105" i="14"/>
  <c r="E105" i="14"/>
  <c r="S96" i="14"/>
  <c r="R96" i="14"/>
  <c r="Q96" i="14"/>
  <c r="P96" i="14"/>
  <c r="O96" i="14"/>
  <c r="N96" i="14"/>
  <c r="M96" i="14"/>
  <c r="L96" i="14"/>
  <c r="K96" i="14"/>
  <c r="J96" i="14"/>
  <c r="I96" i="14"/>
  <c r="H96" i="14"/>
  <c r="G96" i="14"/>
  <c r="F96" i="14"/>
  <c r="E96" i="14"/>
  <c r="S87" i="14"/>
  <c r="R87" i="14"/>
  <c r="Q87" i="14"/>
  <c r="P87" i="14"/>
  <c r="O87" i="14"/>
  <c r="N87" i="14"/>
  <c r="M87" i="14"/>
  <c r="L87" i="14"/>
  <c r="K87" i="14"/>
  <c r="J87" i="14"/>
  <c r="I87" i="14"/>
  <c r="H87" i="14"/>
  <c r="G87" i="14"/>
  <c r="F87" i="14"/>
  <c r="E87" i="14"/>
  <c r="S78" i="14"/>
  <c r="R78" i="14"/>
  <c r="Q78" i="14"/>
  <c r="P78" i="14"/>
  <c r="O78" i="14"/>
  <c r="N78" i="14"/>
  <c r="M78" i="14"/>
  <c r="L78" i="14"/>
  <c r="K78" i="14"/>
  <c r="J78" i="14"/>
  <c r="I78" i="14"/>
  <c r="H78" i="14"/>
  <c r="G78" i="14"/>
  <c r="F78" i="14"/>
  <c r="E78" i="14"/>
  <c r="S69" i="14"/>
  <c r="R69" i="14"/>
  <c r="Q69" i="14"/>
  <c r="P69" i="14"/>
  <c r="O69" i="14"/>
  <c r="N69" i="14"/>
  <c r="M69" i="14"/>
  <c r="L69" i="14"/>
  <c r="K69" i="14"/>
  <c r="J69" i="14"/>
  <c r="I69" i="14"/>
  <c r="H69" i="14"/>
  <c r="G69" i="14"/>
  <c r="F69" i="14"/>
  <c r="E69" i="14"/>
  <c r="S60" i="14"/>
  <c r="R60" i="14"/>
  <c r="Q60" i="14"/>
  <c r="P60" i="14"/>
  <c r="O60" i="14"/>
  <c r="N60" i="14"/>
  <c r="M60" i="14"/>
  <c r="L60" i="14"/>
  <c r="K60" i="14"/>
  <c r="J60" i="14"/>
  <c r="I60" i="14"/>
  <c r="H60" i="14"/>
  <c r="G60" i="14"/>
  <c r="F60" i="14"/>
  <c r="E60" i="14"/>
  <c r="F116" i="12"/>
  <c r="D116" i="12"/>
  <c r="F115" i="12"/>
  <c r="D115" i="12"/>
  <c r="F114" i="12"/>
  <c r="D114" i="12"/>
  <c r="F113" i="12"/>
  <c r="D113" i="12"/>
  <c r="F112" i="12"/>
  <c r="D112" i="12"/>
  <c r="F111" i="12"/>
  <c r="D111" i="12"/>
  <c r="F109" i="12"/>
  <c r="D109" i="12"/>
  <c r="F108" i="12"/>
  <c r="D108" i="12"/>
  <c r="F107" i="12"/>
  <c r="D107" i="12"/>
  <c r="F106" i="12"/>
  <c r="D106" i="12"/>
  <c r="F105" i="12"/>
  <c r="D105" i="12"/>
  <c r="F104" i="12"/>
  <c r="D104" i="12"/>
  <c r="F102" i="12"/>
  <c r="D102" i="12"/>
  <c r="F101" i="12"/>
  <c r="D101" i="12"/>
  <c r="F100" i="12"/>
  <c r="D100" i="12"/>
  <c r="F99" i="12"/>
  <c r="D99" i="12"/>
  <c r="F98" i="12"/>
  <c r="D98" i="12"/>
  <c r="F97" i="12"/>
  <c r="D97" i="12"/>
  <c r="F95" i="12"/>
  <c r="D95" i="12"/>
  <c r="F94" i="12"/>
  <c r="D94" i="12"/>
  <c r="F93" i="12"/>
  <c r="D93" i="12"/>
  <c r="F92" i="12"/>
  <c r="D92" i="12"/>
  <c r="F90" i="12"/>
  <c r="D90" i="12"/>
  <c r="F89" i="12"/>
  <c r="D89" i="12"/>
  <c r="F88" i="12"/>
  <c r="D88" i="12"/>
  <c r="F87" i="12"/>
  <c r="D87" i="12"/>
  <c r="F86" i="12"/>
  <c r="D86" i="12"/>
  <c r="F85" i="12"/>
  <c r="D85" i="12"/>
  <c r="E84" i="12"/>
  <c r="J77" i="12"/>
  <c r="I77" i="12"/>
  <c r="H77" i="12"/>
  <c r="G77" i="12"/>
  <c r="J76" i="12"/>
  <c r="I76" i="12"/>
  <c r="H76" i="12"/>
  <c r="G76" i="12"/>
  <c r="J75" i="12"/>
  <c r="I75" i="12"/>
  <c r="H75" i="12"/>
  <c r="G75" i="12"/>
  <c r="J74" i="12"/>
  <c r="I74" i="12"/>
  <c r="H74" i="12"/>
  <c r="G74" i="12"/>
  <c r="J72" i="12"/>
  <c r="I72" i="12"/>
  <c r="H72" i="12"/>
  <c r="G72" i="12"/>
  <c r="J66" i="12"/>
  <c r="I66" i="12"/>
  <c r="H66" i="12"/>
  <c r="G66" i="12"/>
  <c r="J65" i="12"/>
  <c r="I65" i="12"/>
  <c r="H65" i="12"/>
  <c r="G65" i="12"/>
  <c r="J64" i="12"/>
  <c r="I64" i="12"/>
  <c r="H64" i="12"/>
  <c r="G64" i="12"/>
  <c r="J63" i="12"/>
  <c r="I63" i="12"/>
  <c r="H63" i="12"/>
  <c r="G63" i="12"/>
  <c r="J62" i="12"/>
  <c r="I62" i="12"/>
  <c r="H62" i="12"/>
  <c r="G62" i="12"/>
  <c r="J60" i="12"/>
  <c r="I60" i="12"/>
  <c r="H60" i="12"/>
  <c r="G60" i="12"/>
  <c r="J54" i="12"/>
  <c r="I54" i="12"/>
  <c r="H54" i="12"/>
  <c r="G54" i="12"/>
  <c r="J53" i="12"/>
  <c r="I53" i="12"/>
  <c r="H53" i="12"/>
  <c r="G53" i="12"/>
  <c r="J52" i="12"/>
  <c r="I52" i="12"/>
  <c r="H52" i="12"/>
  <c r="G52" i="12"/>
  <c r="J51" i="12"/>
  <c r="I51" i="12"/>
  <c r="H51" i="12"/>
  <c r="G51" i="12"/>
  <c r="J50" i="12"/>
  <c r="I50" i="12"/>
  <c r="H50" i="12"/>
  <c r="G50" i="12"/>
  <c r="J48" i="12"/>
  <c r="I48" i="12"/>
  <c r="H48" i="12"/>
  <c r="G48" i="12"/>
  <c r="J44" i="12"/>
  <c r="I44" i="12"/>
  <c r="I42" i="12"/>
  <c r="H37" i="12"/>
  <c r="H36" i="12"/>
  <c r="H35" i="12"/>
  <c r="H34" i="12"/>
  <c r="H33" i="12"/>
  <c r="H32" i="12"/>
  <c r="H31" i="12"/>
  <c r="E31" i="12"/>
  <c r="H30" i="12"/>
  <c r="H29" i="12"/>
  <c r="H28" i="12"/>
  <c r="H27" i="12"/>
  <c r="H26" i="12"/>
  <c r="H25" i="12"/>
  <c r="G25" i="12"/>
  <c r="I18" i="12"/>
  <c r="I17" i="12"/>
  <c r="I16" i="12"/>
  <c r="I15" i="12"/>
  <c r="I14" i="12"/>
  <c r="I13" i="12"/>
  <c r="I12" i="12"/>
  <c r="I11" i="12"/>
  <c r="I10" i="12"/>
  <c r="I9" i="12"/>
  <c r="I8" i="12"/>
  <c r="I7" i="12"/>
  <c r="I6" i="12"/>
  <c r="I5" i="12"/>
  <c r="I4" i="12"/>
  <c r="H4" i="12"/>
  <c r="E38" i="16"/>
  <c r="D38" i="16"/>
  <c r="E37" i="16"/>
  <c r="D37" i="16"/>
  <c r="E36" i="16"/>
  <c r="D36" i="16"/>
  <c r="E35" i="16"/>
  <c r="D35" i="16"/>
  <c r="E34" i="16"/>
  <c r="D34" i="16"/>
  <c r="E33" i="16"/>
  <c r="D33" i="16"/>
  <c r="E32" i="16"/>
  <c r="D32" i="16"/>
  <c r="E31" i="16"/>
  <c r="D31" i="16"/>
  <c r="E28" i="16"/>
  <c r="D28" i="16"/>
  <c r="E27" i="16"/>
  <c r="E26" i="16"/>
  <c r="E25" i="16"/>
  <c r="E23" i="16"/>
  <c r="D23" i="16"/>
  <c r="E21" i="16"/>
  <c r="F19" i="16"/>
  <c r="E19" i="16"/>
  <c r="D19" i="16"/>
  <c r="E18" i="16"/>
  <c r="D18" i="16"/>
  <c r="E17" i="16"/>
  <c r="E16" i="16"/>
  <c r="E15" i="16"/>
  <c r="E14" i="16"/>
  <c r="E13" i="16"/>
  <c r="E12" i="16"/>
  <c r="E11" i="16"/>
  <c r="E10" i="16"/>
  <c r="E9" i="16"/>
  <c r="E8" i="16"/>
  <c r="E7" i="16"/>
  <c r="E6" i="16"/>
  <c r="E5" i="16"/>
  <c r="D5" i="16"/>
  <c r="E38" i="6"/>
  <c r="D38" i="6"/>
  <c r="E37" i="6"/>
  <c r="D37" i="6"/>
  <c r="E36" i="6"/>
  <c r="D36" i="6"/>
  <c r="E35" i="6"/>
  <c r="D35" i="6"/>
  <c r="E34" i="6"/>
  <c r="D34" i="6"/>
  <c r="E33" i="6"/>
  <c r="D33" i="6"/>
  <c r="E32" i="6"/>
  <c r="D32" i="6"/>
  <c r="E31" i="6"/>
  <c r="D31" i="6"/>
  <c r="E28" i="6"/>
  <c r="D28" i="6"/>
  <c r="E27" i="6"/>
  <c r="D27" i="6"/>
  <c r="E26" i="6"/>
  <c r="D26" i="6"/>
  <c r="E25" i="6"/>
  <c r="D25" i="6"/>
  <c r="E24" i="6"/>
  <c r="D24" i="6"/>
  <c r="E23" i="6"/>
  <c r="D23" i="6"/>
  <c r="E22" i="6"/>
  <c r="D22" i="6"/>
  <c r="E21" i="6"/>
  <c r="D21" i="6"/>
  <c r="E20" i="6"/>
  <c r="D20" i="6"/>
  <c r="F19" i="6"/>
  <c r="E19" i="6"/>
  <c r="D19" i="6"/>
  <c r="E18" i="6"/>
  <c r="D18" i="6"/>
  <c r="E17" i="6"/>
  <c r="D17" i="6"/>
  <c r="E16" i="6"/>
  <c r="D16" i="6"/>
  <c r="E15" i="6"/>
  <c r="D15" i="6"/>
  <c r="E14" i="6"/>
  <c r="D14" i="6"/>
  <c r="E13" i="6"/>
  <c r="D13" i="6"/>
  <c r="E12" i="6"/>
  <c r="D12" i="6"/>
  <c r="E11" i="6"/>
  <c r="D11" i="6"/>
  <c r="E10" i="6"/>
  <c r="D10" i="6"/>
  <c r="E9" i="6"/>
  <c r="D9" i="6"/>
  <c r="E8" i="6"/>
  <c r="D8" i="6"/>
  <c r="E7" i="6"/>
  <c r="D7" i="6"/>
  <c r="E6" i="6"/>
  <c r="D6" i="6"/>
  <c r="E5" i="6"/>
  <c r="D5" i="6"/>
  <c r="H54" i="4"/>
  <c r="G54" i="4"/>
  <c r="F54" i="4"/>
  <c r="E54" i="4"/>
  <c r="D54" i="4"/>
  <c r="F53" i="4"/>
  <c r="E53" i="4"/>
  <c r="D53" i="4"/>
  <c r="F46" i="4"/>
  <c r="E46" i="4"/>
  <c r="D46" i="4"/>
  <c r="F39" i="4"/>
  <c r="E39" i="4"/>
  <c r="D39" i="4"/>
  <c r="F33" i="4"/>
  <c r="E33" i="4"/>
  <c r="D33" i="4"/>
  <c r="F28" i="4"/>
  <c r="E28" i="4"/>
  <c r="D28" i="4"/>
  <c r="F10" i="4"/>
  <c r="E10" i="4"/>
  <c r="F5" i="4"/>
  <c r="E5" i="4"/>
  <c r="G52" i="3"/>
  <c r="F52" i="3"/>
  <c r="G51" i="3"/>
  <c r="F51" i="3"/>
  <c r="G47" i="3"/>
  <c r="F47" i="3"/>
  <c r="E47" i="3"/>
  <c r="G46" i="3"/>
  <c r="F46" i="3"/>
  <c r="E46" i="3"/>
  <c r="G45" i="3"/>
  <c r="F45" i="3"/>
  <c r="E45" i="3"/>
  <c r="G44" i="3"/>
  <c r="G42" i="3"/>
  <c r="G40" i="3"/>
  <c r="G37" i="3"/>
  <c r="G35" i="3"/>
  <c r="G33" i="3"/>
  <c r="G31" i="3"/>
  <c r="G30" i="3"/>
  <c r="G29" i="3"/>
  <c r="G28" i="3"/>
  <c r="G26" i="3"/>
  <c r="G24" i="3"/>
  <c r="G22" i="3"/>
  <c r="G19" i="3"/>
  <c r="G17" i="3"/>
  <c r="G15" i="3"/>
  <c r="G12" i="3"/>
  <c r="G10" i="3"/>
  <c r="G8" i="3"/>
  <c r="G5" i="3"/>
  <c r="F5" i="3"/>
  <c r="E5" i="3"/>
  <c r="D74" i="1"/>
  <c r="C74" i="1"/>
  <c r="D72" i="1"/>
  <c r="C72" i="1"/>
  <c r="D70" i="1"/>
  <c r="C70" i="1"/>
  <c r="D69" i="1"/>
  <c r="C69" i="1"/>
  <c r="D68" i="1"/>
  <c r="C68" i="1"/>
  <c r="D67" i="1"/>
  <c r="C67" i="1"/>
  <c r="D66" i="1"/>
  <c r="C66" i="1"/>
  <c r="D65" i="1"/>
  <c r="C65" i="1"/>
  <c r="E64" i="1"/>
  <c r="D64" i="1"/>
  <c r="C64" i="1"/>
  <c r="D63" i="1"/>
  <c r="C63" i="1"/>
  <c r="D62" i="1"/>
  <c r="D61" i="1"/>
  <c r="D60" i="1"/>
  <c r="D59" i="1"/>
  <c r="D58" i="1"/>
  <c r="D57" i="1"/>
  <c r="D56" i="1"/>
  <c r="D55" i="1"/>
  <c r="D54" i="1"/>
  <c r="D53" i="1"/>
  <c r="C53" i="1"/>
  <c r="D52" i="1"/>
  <c r="D51" i="1"/>
  <c r="D50" i="1"/>
  <c r="D49" i="1"/>
  <c r="D48" i="1"/>
  <c r="D47" i="1"/>
  <c r="C47" i="1"/>
  <c r="D46" i="1"/>
  <c r="D45" i="1"/>
  <c r="D44" i="1"/>
  <c r="D43" i="1"/>
  <c r="D42" i="1"/>
  <c r="D41" i="1"/>
  <c r="D40" i="1"/>
  <c r="C40" i="1"/>
  <c r="D39" i="1"/>
  <c r="D38" i="1"/>
  <c r="D37" i="1"/>
  <c r="D36" i="1"/>
  <c r="D35" i="1"/>
  <c r="D34" i="1"/>
  <c r="D33" i="1"/>
  <c r="C33" i="1"/>
  <c r="D32" i="1"/>
  <c r="D31" i="1"/>
  <c r="D30" i="1"/>
  <c r="H29" i="1"/>
  <c r="G29" i="1"/>
  <c r="D29" i="1"/>
  <c r="D28" i="1"/>
  <c r="C28" i="1"/>
  <c r="D27" i="1"/>
  <c r="D26" i="1"/>
  <c r="H25" i="1"/>
  <c r="G25" i="1"/>
  <c r="D25" i="1"/>
  <c r="H24" i="1"/>
  <c r="D24" i="1"/>
  <c r="H23" i="1"/>
  <c r="D23" i="1"/>
  <c r="H22" i="1"/>
  <c r="D22" i="1"/>
  <c r="H21" i="1"/>
  <c r="D21" i="1"/>
  <c r="H20" i="1"/>
  <c r="G20" i="1"/>
  <c r="D20" i="1"/>
  <c r="C20" i="1"/>
  <c r="H19" i="1"/>
  <c r="D19" i="1"/>
  <c r="H18" i="1"/>
  <c r="D18" i="1"/>
  <c r="H17" i="1"/>
  <c r="D17" i="1"/>
  <c r="H16" i="1"/>
  <c r="D16" i="1"/>
  <c r="H15" i="1"/>
  <c r="D15" i="1"/>
  <c r="D14" i="1"/>
  <c r="C14" i="1"/>
  <c r="H13" i="1"/>
  <c r="G13" i="1"/>
  <c r="D13" i="1"/>
  <c r="H12" i="1"/>
  <c r="D12" i="1"/>
  <c r="H11" i="1"/>
  <c r="D11" i="1"/>
  <c r="H10" i="1"/>
  <c r="D10" i="1"/>
  <c r="H9" i="1"/>
  <c r="G9" i="1"/>
  <c r="D9" i="1"/>
  <c r="H8" i="1"/>
  <c r="D8" i="1"/>
  <c r="C8" i="1"/>
  <c r="H7" i="1"/>
  <c r="H6" i="1"/>
  <c r="G6" i="1"/>
  <c r="D6" i="1"/>
  <c r="C6" i="1"/>
  <c r="K17" i="10"/>
  <c r="K16" i="10"/>
  <c r="I1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Home</author>
    <author>jbpconsult@outlook.com</author>
    <author>Usuario</author>
  </authors>
  <commentList>
    <comment ref="M6" authorId="0" shapeId="0" xr:uid="{00000000-0006-0000-0100-000001000000}">
      <text>
        <r>
          <rPr>
            <b/>
            <sz val="10"/>
            <color rgb="FF000000"/>
            <rFont val="Tahoma"/>
            <family val="2"/>
          </rPr>
          <t>Crie sua própria senha para bloquear as planilhas e evitar alterações indesejadas nas fórmulas ou nos conteúdos. 
As células onde é permitido inserir dados estão marcadas em verde e permanecerão desbloqueadas.</t>
        </r>
        <r>
          <rPr>
            <sz val="10"/>
            <color rgb="FF000000"/>
            <rFont val="Tahoma"/>
            <family val="2"/>
          </rPr>
          <t xml:space="preserve">
</t>
        </r>
      </text>
    </comment>
    <comment ref="F7" authorId="1" shapeId="0" xr:uid="{00000000-0006-0000-0100-000002000000}">
      <text>
        <r>
          <rPr>
            <b/>
            <sz val="10"/>
            <color rgb="FF000000"/>
            <rFont val="Tahoma"/>
            <family val="2"/>
          </rPr>
          <t xml:space="preserve">Nome do órgão ou entidade municipal responsável pela gestão ou prestação do serviço.
</t>
        </r>
      </text>
    </comment>
    <comment ref="F8" authorId="1" shapeId="0" xr:uid="{00000000-0006-0000-0100-000003000000}">
      <text>
        <r>
          <rPr>
            <b/>
            <sz val="10"/>
            <color rgb="FF000000"/>
            <rFont val="Tahoma"/>
            <family val="2"/>
          </rPr>
          <t>Clique na célula e  no botão ao lado direito e marque a forma de prestação do serviço.</t>
        </r>
        <r>
          <rPr>
            <sz val="9"/>
            <color rgb="FF000000"/>
            <rFont val="Tahoma"/>
            <family val="2"/>
          </rPr>
          <t xml:space="preserve">
</t>
        </r>
      </text>
    </comment>
    <comment ref="K9" authorId="1" shapeId="0" xr:uid="{00000000-0006-0000-0100-000004000000}">
      <text>
        <r>
          <rPr>
            <b/>
            <sz val="10"/>
            <color rgb="FF000000"/>
            <rFont val="Tahoma"/>
            <family val="2"/>
          </rPr>
          <t>Ano anterior ao ano de vigência da taxa ou tarifa.
1. Será o ano anterior completo, para o qual já se têm todas as informações contábeis ou gerenciais dos custos e se a análise for feita no início (janeiro a março) do ano de vigência da taxa ou tarifa;
2. Será o ano corrente (atual) se a análise for feita no final desse ano (outubro a dezembro) e os custos do serviço forem estimados com base nas informações contábeis ou gerenciais disponíveis.</t>
        </r>
      </text>
    </comment>
    <comment ref="K10" authorId="1" shapeId="0" xr:uid="{00000000-0006-0000-0100-000005000000}">
      <text>
        <r>
          <rPr>
            <b/>
            <sz val="10"/>
            <color rgb="FF000000"/>
            <rFont val="Tahoma"/>
            <family val="2"/>
          </rPr>
          <t>O Município pode optar pela não apropriação ou pela apropriação parcial ou integral desta despesa ao custo do serviço, conforme a capacidade ou disponibilidade de recursos financeiros para subvencionar os futuros investimentos em ampliação e/ou reposição das infraestruturas necessárias (veículos de coleta, aterro sanitário, galpões de triagem etc.).</t>
        </r>
        <r>
          <rPr>
            <sz val="10"/>
            <color rgb="FF000000"/>
            <rFont val="Tahoma"/>
            <family val="2"/>
          </rPr>
          <t xml:space="preserve">
</t>
        </r>
        <r>
          <rPr>
            <b/>
            <sz val="10"/>
            <color rgb="FF000000"/>
            <rFont val="Tahoma"/>
            <family val="2"/>
          </rPr>
          <t xml:space="preserve">Esta hipótese deve ser prevista e regulamentada em norma de regulação do serviço. </t>
        </r>
      </text>
    </comment>
    <comment ref="K11" authorId="1" shapeId="0" xr:uid="{00000000-0006-0000-0100-000006000000}">
      <text>
        <r>
          <rPr>
            <b/>
            <sz val="10"/>
            <color rgb="FF000000"/>
            <rFont val="Tahoma"/>
            <family val="2"/>
          </rPr>
          <t>Se o serviço for prestado por órgão da Administração Direta ou quando não for possível identificar ou calcular as despesas administrativas indiretas, pode-se optar por atribuir um percentual do custo direto como despesa indireta de administração do serviço (atividades meio compartilhadas com os outros serviços municipais).</t>
        </r>
        <r>
          <rPr>
            <sz val="10"/>
            <color rgb="FF000000"/>
            <rFont val="Tahoma"/>
            <family val="2"/>
          </rPr>
          <t xml:space="preserve">
</t>
        </r>
        <r>
          <rPr>
            <b/>
            <sz val="10"/>
            <color rgb="FF000000"/>
            <rFont val="Tahoma"/>
            <family val="2"/>
          </rPr>
          <t xml:space="preserve">A lei que criar a taxa/tarifa ou o seu regulamento devem estabelecer o limite percentual admitido e deixar facultativa sua aplicação.
Esse percentual é arbitrário e recomenda-se que seja de até 15%, que é o valor máximo de referência considerado para um serviço bem organizado e eficiente.  </t>
        </r>
        <r>
          <rPr>
            <sz val="9"/>
            <color rgb="FF000000"/>
            <rFont val="Tahoma"/>
            <family val="2"/>
          </rPr>
          <t xml:space="preserve">
</t>
        </r>
      </text>
    </comment>
    <comment ref="K12" authorId="1" shapeId="0" xr:uid="{00000000-0006-0000-0100-000007000000}">
      <text>
        <r>
          <rPr>
            <b/>
            <sz val="10"/>
            <color rgb="FF000000"/>
            <rFont val="Tahoma"/>
            <family val="2"/>
          </rPr>
          <t>Informar o percentual do custo do serviço que será cobrado diretamente dos usuários.</t>
        </r>
        <r>
          <rPr>
            <sz val="10"/>
            <color rgb="FF000000"/>
            <rFont val="Tahoma"/>
            <family val="2"/>
          </rPr>
          <t xml:space="preserve">
</t>
        </r>
        <r>
          <rPr>
            <b/>
            <sz val="10"/>
            <color rgb="FF000000"/>
            <rFont val="Tahoma"/>
            <family val="2"/>
          </rPr>
          <t>O Município pode optar pela cobrança do custo total (100%) ou parcial (xx%), conforme a sua capacidade financeira para subvencionar o custeio do serviço.
Se essa subvenção for regular (permanente), deve ser prevista e disciplinada pela regulação do serviço.
Este dado também pode ser utilizado para simular o percentual de subsídio da taxa ou tarifa.</t>
        </r>
      </text>
    </comment>
    <comment ref="C13" authorId="1" shapeId="0" xr:uid="{00000000-0006-0000-0100-000008000000}">
      <text>
        <r>
          <rPr>
            <b/>
            <sz val="10"/>
            <color rgb="FF000000"/>
            <rFont val="Tahoma"/>
            <family val="2"/>
          </rPr>
          <t xml:space="preserve">A estimativa ou projeção do custo do serviço para o ano atual (ano de vigência da taxa/tarifa) pode ser feita aplicando-se um índice de reajuste para todas as parcelas das despesas administrativas e operacionais ocorridas no ano-base, ou para parte delas. </t>
        </r>
        <r>
          <rPr>
            <sz val="10"/>
            <color rgb="FF000000"/>
            <rFont val="Tahoma"/>
            <family val="2"/>
          </rPr>
          <t xml:space="preserve">
</t>
        </r>
        <r>
          <rPr>
            <b/>
            <sz val="10"/>
            <color rgb="FF000000"/>
            <rFont val="Tahoma"/>
            <family val="2"/>
          </rPr>
          <t>Esse índice pode também ser aplicado para reajustar o Custo Econômico Regulatório Total,  aplicando-o sobre o custo total apurado no ano-base — Planilha 5, Linha 28.
A regulação deve definir o critério a ser adotado.</t>
        </r>
      </text>
    </comment>
    <comment ref="J13" authorId="1" shapeId="0" xr:uid="{00000000-0006-0000-0100-000009000000}">
      <text>
        <r>
          <rPr>
            <b/>
            <sz val="10"/>
            <color rgb="FF000000"/>
            <rFont val="Tahoma"/>
            <family val="2"/>
          </rPr>
          <t>Clique na célula e no botão ao lado direito para selecionar o índice adotado.</t>
        </r>
        <r>
          <rPr>
            <sz val="9"/>
            <color rgb="FF000000"/>
            <rFont val="Tahoma"/>
            <family val="2"/>
          </rPr>
          <t xml:space="preserve">
</t>
        </r>
      </text>
    </comment>
    <comment ref="K13" authorId="1" shapeId="0" xr:uid="{00000000-0006-0000-0100-00000A000000}">
      <text>
        <r>
          <rPr>
            <b/>
            <sz val="10"/>
            <color rgb="FF000000"/>
            <rFont val="Tahoma"/>
            <family val="2"/>
          </rPr>
          <t>Informe o valor percentual do índice de reajuste escolhido.
Esse valor pode ser o estimado para o ano atual (ano de vigência da taxa/tarifa) ou o referente aos 12 meses anteriores à data da análise, ou ainda pode ser definido conforme outro critério estabelecido pela regulação do serviço.</t>
        </r>
      </text>
    </comment>
    <comment ref="J14" authorId="1" shapeId="0" xr:uid="{00000000-0006-0000-0100-00000B000000}">
      <text>
        <r>
          <rPr>
            <b/>
            <sz val="10"/>
            <color rgb="FF000000"/>
            <rFont val="Tahoma"/>
            <family val="2"/>
          </rPr>
          <t>Clique na célula e no botão à direita para selecionar a opção adotada.</t>
        </r>
        <r>
          <rPr>
            <sz val="9"/>
            <color rgb="FF000000"/>
            <rFont val="Tahoma"/>
            <family val="2"/>
          </rPr>
          <t xml:space="preserve">
</t>
        </r>
      </text>
    </comment>
    <comment ref="C15" authorId="1" shapeId="0" xr:uid="{00000000-0006-0000-0100-00000C000000}">
      <text>
        <r>
          <rPr>
            <b/>
            <sz val="10"/>
            <color rgb="FF000000"/>
            <rFont val="Tahoma"/>
            <family val="2"/>
          </rPr>
          <t xml:space="preserve">A regulação deve estabelecer o valor ou índice de referência ou o critério para definir a taxa de remuneração do ativo em operação (capital investido).
No caso de prestação direta pelo Município, sugere-se que essa taxa seja limitada, no máximo, à Taxa Básica de Juros (SELIC) e, no mínimo, ao índice de inflação estimado (INPC ou IPCA) para o período de vigência da taxa ou tarifa. </t>
        </r>
        <r>
          <rPr>
            <sz val="9"/>
            <color rgb="FF000000"/>
            <rFont val="Tahoma"/>
            <family val="2"/>
          </rPr>
          <t xml:space="preserve">
</t>
        </r>
      </text>
    </comment>
    <comment ref="K15" authorId="1" shapeId="0" xr:uid="{00000000-0006-0000-0100-00000D000000}">
      <text>
        <r>
          <rPr>
            <b/>
            <sz val="10"/>
            <color rgb="FF000000"/>
            <rFont val="Tahoma"/>
            <family val="2"/>
          </rPr>
          <t>Valor máximo igual à taxa média da SELIC e valor mínimo igual à taxa de inflação estimadas para o ano de vigência da taxa ou tarifa.</t>
        </r>
        <r>
          <rPr>
            <sz val="9"/>
            <color rgb="FF000000"/>
            <rFont val="Tahoma"/>
            <family val="2"/>
          </rPr>
          <t xml:space="preserve">
</t>
        </r>
      </text>
    </comment>
    <comment ref="I16" authorId="2" shapeId="0" xr:uid="{00000000-0006-0000-0100-00000E000000}">
      <text>
        <r>
          <rPr>
            <b/>
            <sz val="10"/>
            <color rgb="FF000000"/>
            <rFont val="Tahoma"/>
            <family val="2"/>
          </rPr>
          <t>Clique no botão ao lado direito e escolha a versão a ser utilizada.
Em seguida, clique no link indicado em uma das células à direita.</t>
        </r>
        <r>
          <rPr>
            <sz val="9"/>
            <color rgb="FF000000"/>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jbpconsult@outlook.com</author>
    <author>João</author>
    <author>User</author>
    <author>Home</author>
  </authors>
  <commentList>
    <comment ref="B4" authorId="0" shapeId="0" xr:uid="{00000000-0006-0000-0200-000001000000}">
      <text>
        <r>
          <rPr>
            <b/>
            <sz val="10"/>
            <color rgb="FF000000"/>
            <rFont val="Tahoma"/>
            <family val="2"/>
          </rPr>
          <t xml:space="preserve">Se não tiver os dados desagregados de cada despesa por atividade, informar o valor total da despesa na </t>
        </r>
        <r>
          <rPr>
            <b/>
            <sz val="10"/>
            <color rgb="FFFF0000"/>
            <rFont val="Tahoma"/>
            <family val="2"/>
          </rPr>
          <t xml:space="preserve">LINHA DE SUBTOTAL </t>
        </r>
        <r>
          <rPr>
            <b/>
            <sz val="10"/>
            <color rgb="FF000000"/>
            <rFont val="Tahoma"/>
            <family val="2"/>
          </rPr>
          <t>de cada grupo (linha cinza-clara). Para isso, é preciso desproteger a planilha a fim de digitar em cima da fórmula de soma.
Outra opção é</t>
        </r>
        <r>
          <rPr>
            <b/>
            <sz val="10"/>
            <color rgb="FFFF0000"/>
            <rFont val="Tahoma"/>
            <family val="2"/>
          </rPr>
          <t xml:space="preserve"> informar os dados diretamente na PLANILHA 5 (Calculo_Custo e VBC), conforme as orientações nela indicadas.</t>
        </r>
      </text>
    </comment>
    <comment ref="F4" authorId="0" shapeId="0" xr:uid="{00000000-0006-0000-0200-000002000000}">
      <text>
        <r>
          <rPr>
            <b/>
            <sz val="10"/>
            <color rgb="FF000000"/>
            <rFont val="Tahoma"/>
            <family val="2"/>
          </rPr>
          <t>Estas informações podem ser obtidas dos balancetes analíticos contábeis das receitas ou de relatórios gerenciais do sistema de gestão do faturamento e da arrecadação das receitas do serviço.</t>
        </r>
        <r>
          <rPr>
            <sz val="9"/>
            <color rgb="FF000000"/>
            <rFont val="Tahoma"/>
            <family val="2"/>
          </rPr>
          <t xml:space="preserve">
</t>
        </r>
      </text>
    </comment>
    <comment ref="C6" authorId="1" shapeId="0" xr:uid="{00000000-0006-0000-0200-000003000000}">
      <text>
        <r>
          <rPr>
            <b/>
            <sz val="10"/>
            <color rgb="FF000000"/>
            <rFont val="Tahoma"/>
            <family val="2"/>
          </rPr>
          <t>Ano anterior ao de vigência da taxa ou tarifa.
Ano-base de cálculo dos custos e das taxas e tarifas.</t>
        </r>
      </text>
    </comment>
    <comment ref="D6" authorId="1" shapeId="0" xr:uid="{00000000-0006-0000-0200-000004000000}">
      <text>
        <r>
          <rPr>
            <b/>
            <sz val="10"/>
            <color rgb="FF000000"/>
            <rFont val="Tahoma"/>
            <family val="2"/>
          </rPr>
          <t>Ano de vigência das taxas ou tarifas.
Você pode estimar as despesas deste ano:
a) mantendo as fórmulas de reajuste automático em todas ou em parte das células desta coluna;
b) utilizando os valores do orçamento estimados para este ano; ou 
c) utilizando outros critérios baseados em dados gerenciais ou em dados históricos de anos anteriores.</t>
        </r>
        <r>
          <rPr>
            <sz val="10"/>
            <color rgb="FF000000"/>
            <rFont val="Tahoma"/>
            <family val="2"/>
          </rPr>
          <t xml:space="preserve">
</t>
        </r>
        <r>
          <rPr>
            <b/>
            <sz val="10"/>
            <color rgb="FFFF0000"/>
            <rFont val="Tahoma"/>
            <family val="2"/>
          </rPr>
          <t>Obs.: As células desta coluna estão habilitadas para inserir dados manualmente sem necessidade de desproteger toda a planilha.</t>
        </r>
      </text>
    </comment>
    <comment ref="H6" authorId="0" shapeId="0" xr:uid="{00000000-0006-0000-0200-000005000000}">
      <text>
        <r>
          <rPr>
            <b/>
            <sz val="10"/>
            <color rgb="FF000000"/>
            <rFont val="Tahoma"/>
            <family val="2"/>
          </rPr>
          <t>As receitas do ano atual podem ser estimadas pelas fórmulas constantes das células desta coluna, ou mediante outro critério mais apropriado (por exemplo, previsão orçamentária e histórico de anos anteriores).</t>
        </r>
      </text>
    </comment>
    <comment ref="B7" authorId="0" shapeId="0" xr:uid="{00000000-0006-0000-0200-000006000000}">
      <text>
        <r>
          <rPr>
            <b/>
            <sz val="10"/>
            <color rgb="FF000000"/>
            <rFont val="Tahoma"/>
            <family val="2"/>
          </rPr>
          <t>Remunerações pagas, contribuições previdenciárias patronais, vale-transporte, vale-alimentação, auxílio-educação etc.</t>
        </r>
        <r>
          <rPr>
            <sz val="9"/>
            <color rgb="FF000000"/>
            <rFont val="Tahoma"/>
            <family val="2"/>
          </rPr>
          <t xml:space="preserve">
</t>
        </r>
      </text>
    </comment>
    <comment ref="F7" authorId="0" shapeId="0" xr:uid="{00000000-0006-0000-0200-000007000000}">
      <text>
        <r>
          <rPr>
            <b/>
            <sz val="10"/>
            <color rgb="FF000000"/>
            <rFont val="Tahoma"/>
            <family val="2"/>
          </rPr>
          <t xml:space="preserve">Receitas correntes geralmente identificadas no orçamento e na contabilidade como "Receita tributária" (taxas) ou "Receita de serviços" (tarifas  </t>
        </r>
        <r>
          <rPr>
            <sz val="10"/>
            <color rgb="FF000000"/>
            <rFont val="Tahoma"/>
            <family val="2"/>
          </rPr>
          <t xml:space="preserve">
</t>
        </r>
        <r>
          <rPr>
            <b/>
            <sz val="10"/>
            <color rgb="FF000000"/>
            <rFont val="Tahoma"/>
            <family val="2"/>
          </rPr>
          <t>e preços públicos de serviços acessórios)</t>
        </r>
      </text>
    </comment>
    <comment ref="G7" authorId="0" shapeId="0" xr:uid="{00000000-0006-0000-0200-000008000000}">
      <text>
        <r>
          <rPr>
            <b/>
            <sz val="10"/>
            <color indexed="81"/>
            <rFont val="Tahoma"/>
            <family val="2"/>
          </rPr>
          <t>Trata-se da receita principal do serviço. Não inclui receitas de serviços acessórios ou complementares e outras receitas, as quais serão informadas nos campos abaixo desta tabela.
Esta informação é importante para que se possa conhecer e estimar a inadimplência por atraso ou falta de pagamento e estimar a provisão de eventual perda de receita a ser considerada na composição do custo regulatório do serviço (Planilha 5).</t>
        </r>
      </text>
    </comment>
    <comment ref="G8" authorId="0" shapeId="0" xr:uid="{00000000-0006-0000-0200-000009000000}">
      <text>
        <r>
          <rPr>
            <b/>
            <sz val="10"/>
            <color rgb="FF000000"/>
            <rFont val="Tahoma"/>
            <family val="2"/>
          </rPr>
          <t xml:space="preserve">Considerar os valores de multas e outros encargos por inadimplência provisionados NO ANO no sistema contábil ou de gestão da receita.
Embora recomendado pelas normas de contabilidade pública e pelos tribunais de contas, a maioria dos municípios não contabilizam as provisões dessas receitas.
Neste caso, deve-se repetir os valores informados no item 4 desta tabela. </t>
        </r>
      </text>
    </comment>
    <comment ref="G10" authorId="0" shapeId="0" xr:uid="{00000000-0006-0000-0200-00000A000000}">
      <text>
        <r>
          <rPr>
            <b/>
            <sz val="10"/>
            <color indexed="81"/>
            <rFont val="Tahoma"/>
            <family val="2"/>
          </rPr>
          <t>Considerar a arrecadação da receita principal de taxas ou tarifas  recebidas NO ANO, independente se foram faturadas no próprio ano (receita corrente) ou em anos anteriores (receita da dívida ativa).</t>
        </r>
      </text>
    </comment>
    <comment ref="G11" authorId="0" shapeId="0" xr:uid="{00000000-0006-0000-0200-00000B000000}">
      <text>
        <r>
          <rPr>
            <b/>
            <sz val="10"/>
            <color rgb="FF000000"/>
            <rFont val="Tahoma"/>
            <family val="2"/>
          </rPr>
          <t>Considerar as receitas arrecadadas NO ANO relativas a multas e encargos por atraso de pagamento das contas de taxas ou tarifas do próprio ano ou de anos anteriores.</t>
        </r>
        <r>
          <rPr>
            <sz val="9"/>
            <color rgb="FF000000"/>
            <rFont val="Tahoma"/>
            <family val="2"/>
          </rPr>
          <t xml:space="preserve">
</t>
        </r>
      </text>
    </comment>
    <comment ref="G12" authorId="0" shapeId="0" xr:uid="{00000000-0006-0000-0200-00000C000000}">
      <text>
        <r>
          <rPr>
            <b/>
            <sz val="10"/>
            <color rgb="FF000000"/>
            <rFont val="Tahoma"/>
            <family val="2"/>
          </rPr>
          <t>As isenções e os subsídios legais de taxas e tarifas são considerados renúncia de receitas, para fins orçamentários e contábeis, e seus valores devem ser normalmente apurados no sistema de gestão da receita e registrados na contabilidade.
Esse valor será considerado na composição do custo regulatório do serviço (Planilha 5) se as isenções e os subsídos forem custeados pelas receitas das taxas ou tarifas. Essa condição deve ser prevista na regulação.</t>
        </r>
      </text>
    </comment>
    <comment ref="G15" authorId="0" shapeId="0" xr:uid="{00000000-0006-0000-0200-00000D000000}">
      <text>
        <r>
          <rPr>
            <b/>
            <sz val="10"/>
            <color indexed="81"/>
            <rFont val="Tahoma"/>
            <family val="2"/>
          </rPr>
          <t>Se o serviço de manejo de resíduos incluir essas atividades e elas forem cobradas, suas receitas devem ser informadas.
Essas receitas serão deduzidas do custo regulatório do serviço (Planilha 5) para efeito de apuração do Valor Básico de Cálculo (VBC) das taxas ou tarifas.</t>
        </r>
      </text>
    </comment>
    <comment ref="B21" authorId="0" shapeId="0" xr:uid="{00000000-0006-0000-0200-00000E000000}">
      <text>
        <r>
          <rPr>
            <b/>
            <sz val="10"/>
            <color rgb="FF000000"/>
            <rFont val="Tahoma"/>
            <family val="2"/>
          </rPr>
          <t>Inclui serviços terceirizados de vigilância e manutenção de instalações, veículos, máquinas e equipamentos.</t>
        </r>
        <r>
          <rPr>
            <sz val="9"/>
            <color rgb="FF000000"/>
            <rFont val="Tahoma"/>
            <family val="2"/>
          </rPr>
          <t xml:space="preserve">
</t>
        </r>
      </text>
    </comment>
    <comment ref="F21" authorId="0" shapeId="0" xr:uid="{00000000-0006-0000-0200-00000F000000}">
      <text>
        <r>
          <rPr>
            <b/>
            <sz val="10"/>
            <color rgb="FF000000"/>
            <rFont val="Tahoma"/>
            <family val="2"/>
          </rPr>
          <t>Se existirem, estas receitas vinculadas ao serviço devem ser informadas, pois serão deduzidas do custo regulatório do serviço (Planilha 5) para efeito de apuração do Valor Básico de Cálculo (VBC) das taxas ou tarifas.</t>
        </r>
      </text>
    </comment>
    <comment ref="G21" authorId="0" shapeId="0" xr:uid="{00000000-0006-0000-0200-000010000000}">
      <text>
        <r>
          <rPr>
            <b/>
            <sz val="10"/>
            <color indexed="81"/>
            <rFont val="Tahoma"/>
            <family val="2"/>
          </rPr>
          <t xml:space="preserve">Esta receita será considerada somente no caso de prestação por autarquia ou empresa municipal. Não será considerada no caso de prestação por órgão da administração direta, pois não é possível destacar das demais receitas do Município. </t>
        </r>
      </text>
    </comment>
    <comment ref="B24" authorId="0" shapeId="0" xr:uid="{00000000-0006-0000-0200-000011000000}">
      <text>
        <r>
          <rPr>
            <b/>
            <sz val="10"/>
            <color indexed="81"/>
            <rFont val="Tahoma"/>
            <family val="2"/>
          </rPr>
          <t>Inclui serviços terceirizados de vigilância e manutenção de instalações, veículos, máquinas e equipamentos.</t>
        </r>
        <r>
          <rPr>
            <sz val="9"/>
            <color indexed="81"/>
            <rFont val="Tahoma"/>
            <family val="2"/>
          </rPr>
          <t xml:space="preserve">
</t>
        </r>
      </text>
    </comment>
    <comment ref="B25" authorId="0" shapeId="0" xr:uid="{00000000-0006-0000-0200-000012000000}">
      <text>
        <r>
          <rPr>
            <b/>
            <sz val="10"/>
            <color rgb="FF000000"/>
            <rFont val="Tahoma"/>
            <family val="2"/>
          </rPr>
          <t>Inclui serviços terceirizados de vigilância e manutenção de instalações, veículos, máquinas e equipamentos.</t>
        </r>
        <r>
          <rPr>
            <sz val="9"/>
            <color rgb="FF000000"/>
            <rFont val="Tahoma"/>
            <family val="2"/>
          </rPr>
          <t xml:space="preserve">
</t>
        </r>
      </text>
    </comment>
    <comment ref="B26" authorId="0" shapeId="0" xr:uid="{00000000-0006-0000-0200-000013000000}">
      <text>
        <r>
          <rPr>
            <b/>
            <sz val="10"/>
            <color rgb="FF000000"/>
            <rFont val="Tahoma"/>
            <family val="2"/>
          </rPr>
          <t>Inclui serviços terceirizados de vigilância e manutenção de instalações, veículos, máquinas e equipamentos.</t>
        </r>
        <r>
          <rPr>
            <sz val="9"/>
            <color rgb="FF000000"/>
            <rFont val="Tahoma"/>
            <family val="2"/>
          </rPr>
          <t xml:space="preserve">
</t>
        </r>
      </text>
    </comment>
    <comment ref="G26" authorId="0" shapeId="0" xr:uid="{00000000-0006-0000-0200-000014000000}">
      <text>
        <r>
          <rPr>
            <b/>
            <sz val="10"/>
            <color rgb="FF000000"/>
            <rFont val="Tahoma"/>
            <family val="2"/>
          </rPr>
          <t>Esta informação se aplica no caso de serviço prestado por autarquia ou empresa municipal.
Esses repasses devem ser considerados na apuração do custo regulatório do serviço (Planilha 5), para efeito de apuração do Valor Básico de Cálculo (VBC) das taxas ou tarifas se forem destinados ao custeio complementar do serviço na forma de subvenção regular prevista na regulação.</t>
        </r>
      </text>
    </comment>
    <comment ref="B27" authorId="0" shapeId="0" xr:uid="{00000000-0006-0000-0200-000015000000}">
      <text>
        <r>
          <rPr>
            <b/>
            <sz val="10"/>
            <color indexed="81"/>
            <rFont val="Tahoma"/>
            <family val="2"/>
          </rPr>
          <t xml:space="preserve">Pagamento pela disposição de resíduos em unidade de transbordo ou central de tratamento/aterro de terceiros </t>
        </r>
        <r>
          <rPr>
            <sz val="10"/>
            <color indexed="81"/>
            <rFont val="Tahoma"/>
            <family val="2"/>
          </rPr>
          <t>(</t>
        </r>
        <r>
          <rPr>
            <b/>
            <sz val="10"/>
            <color indexed="81"/>
            <rFont val="Tahoma"/>
            <family val="2"/>
          </rPr>
          <t>consórcio, outro município, serviço privado).</t>
        </r>
      </text>
    </comment>
    <comment ref="G27" authorId="0" shapeId="0" xr:uid="{00000000-0006-0000-0200-000016000000}">
      <text>
        <r>
          <rPr>
            <b/>
            <sz val="10"/>
            <color rgb="FF000000"/>
            <rFont val="Tahoma"/>
            <family val="2"/>
          </rPr>
          <t>Informação de interesse apenas para análises da gestão financeira. Não tem aplicação direta.</t>
        </r>
      </text>
    </comment>
    <comment ref="G28" authorId="0" shapeId="0" xr:uid="{00000000-0006-0000-0200-000017000000}">
      <text>
        <r>
          <rPr>
            <b/>
            <sz val="10"/>
            <color rgb="FF000000"/>
            <rFont val="Tahoma"/>
            <family val="2"/>
          </rPr>
          <t>Estes repasses devem ser considerados na apuração do custo regulatório do serviço (Planilha 5), para efeito de apuração do Valor Básico de Cálculo (VBC) das taxas ou tarifas se forem destinados ao custeio do serviço. Não serão considerados se forem destinados exclusivamente a investimentos.</t>
        </r>
      </text>
    </comment>
    <comment ref="B64" authorId="0" shapeId="0" xr:uid="{00000000-0006-0000-0200-000018000000}">
      <text>
        <r>
          <rPr>
            <b/>
            <sz val="10"/>
            <color rgb="FF000000"/>
            <rFont val="Tahoma"/>
            <family val="2"/>
          </rPr>
          <t>Considerar somente se não houver despesas da ADMINISTRAÇÃO GERAL informadas nos itens anteriores.</t>
        </r>
      </text>
    </comment>
    <comment ref="E64" authorId="0" shapeId="0" xr:uid="{00000000-0006-0000-0200-000019000000}">
      <text>
        <r>
          <rPr>
            <b/>
            <sz val="10"/>
            <color rgb="FF000000"/>
            <rFont val="Tahoma"/>
            <family val="2"/>
          </rPr>
          <t xml:space="preserve">Este percentual deve ser informado na planilha "1 Identificação e Parâmetros", quando for o caso.
Trata-se do percentual do custo direto do serviço admitido pela regulação como despesas indiretas administrativas (atividades meio compartilhadas com outros serviços municipais).
Esse percentual é arbitrário e recomenda-se que seja de 15% no máximo.  </t>
        </r>
        <r>
          <rPr>
            <sz val="10"/>
            <color rgb="FF000000"/>
            <rFont val="Tahoma"/>
            <family val="2"/>
          </rPr>
          <t xml:space="preserve">
</t>
        </r>
        <r>
          <rPr>
            <b/>
            <sz val="10"/>
            <color rgb="FF000000"/>
            <rFont val="Tahoma"/>
            <family val="2"/>
          </rPr>
          <t>A Administração Municipal pode decidir pela NÃO INCLUSÃO dessa despesa no custo do serviço, base de cálculo da taxa ou tarifa. A lei que criar a taxa/tarifa ou seu regulamento devem estabelecer o limite percentual admitido.</t>
        </r>
      </text>
    </comment>
    <comment ref="C66" authorId="0" shapeId="0" xr:uid="{00000000-0006-0000-0200-00001A000000}">
      <text>
        <r>
          <rPr>
            <b/>
            <sz val="10"/>
            <color rgb="FF000000"/>
            <rFont val="Tahoma"/>
            <family val="2"/>
          </rPr>
          <t xml:space="preserve">Se houver informações contábeis para preencher a tabela de Ativos Imobilizados na Planilha "3 Dados Complementares", estes dados podem ser importados daquela tabela conforme as fórmulas destas células. Senão usar a planilha 8 para estimar os valores dos ativos existentes e as depreciações. </t>
        </r>
      </text>
    </comment>
    <comment ref="D66" authorId="0" shapeId="0" xr:uid="{00000000-0006-0000-0200-00001B000000}">
      <text>
        <r>
          <rPr>
            <b/>
            <sz val="10"/>
            <color rgb="FF000000"/>
            <rFont val="Tahoma"/>
            <family val="2"/>
          </rPr>
          <t xml:space="preserve">Se houver informações contábeis para preencher a tabela de Ativos Imobilizados na Planilha "3 Dados Complementares", estes dados podem ser importados daquela tabela conforme as fórmulas destas células. Senão usar a planilha 8 para estimar os valores dos ativos existentes e as depreciações. </t>
        </r>
      </text>
    </comment>
    <comment ref="C72" authorId="2" shapeId="0" xr:uid="{00000000-0006-0000-0200-00001C000000}">
      <text>
        <r>
          <rPr>
            <b/>
            <sz val="10"/>
            <color rgb="FF000000"/>
            <rFont val="Segoe UI"/>
            <family val="2"/>
          </rPr>
          <t>Cálculo equivalente a 1% sobre o Custo Contábil Total. 
Se houver valor real contábil, inserir manualmente.</t>
        </r>
      </text>
    </comment>
    <comment ref="B73" authorId="3" shapeId="0" xr:uid="{00000000-0006-0000-0200-00001D000000}">
      <text>
        <r>
          <rPr>
            <b/>
            <sz val="10"/>
            <color rgb="FF000000"/>
            <rFont val="Tahoma"/>
            <family val="2"/>
          </rPr>
          <t>Esta despesa só ocorrerá se houver delegação da regulação do serviço para entidade reguladora de outro município ou estado ou para Consórcio Público.
Neste caso, o valor será definido no documento de delegação.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João</author>
    <author>jbpconsult@outlook.com</author>
    <author>Home</author>
  </authors>
  <commentList>
    <comment ref="H2" authorId="0" shapeId="0" xr:uid="{00000000-0006-0000-0300-000001000000}">
      <text>
        <r>
          <rPr>
            <b/>
            <sz val="9"/>
            <color rgb="FF000000"/>
            <rFont val="Tahoma"/>
            <family val="2"/>
          </rPr>
          <t>As taxas efetivas devem ser definidas e revistas periodicamente conforme a expectativa de vida útil operacional e econômica dos ativos, inclusive terrenos (se não houver hipótese de alienação no longo prazo).</t>
        </r>
        <r>
          <rPr>
            <sz val="9"/>
            <color rgb="FF000000"/>
            <rFont val="Tahoma"/>
            <family val="2"/>
          </rPr>
          <t xml:space="preserve">
</t>
        </r>
      </text>
    </comment>
    <comment ref="B3" authorId="1" shapeId="0" xr:uid="{00000000-0006-0000-0300-000002000000}">
      <text>
        <r>
          <rPr>
            <b/>
            <sz val="9"/>
            <color rgb="FF000000"/>
            <rFont val="Tahoma"/>
            <family val="2"/>
          </rPr>
          <t>Para obter estes dados, é necessário que o Município faça a contabilidade patrimonial de seus ativos imobilizados, conforme as normas de contabilidade do setor público, ou disponha de algum tipo de controle gerencial desses ativos.
A tabela do item I da Planilha 8 desta ferramenta pode auxiliar no levantamento e posterior gerenciamento dessas informações.
O uso de informações estimadas sem qualquer base contábil ou gerencial para cálculo de taxas e tarifas pode ser motivo de questionamento judicial.</t>
        </r>
        <r>
          <rPr>
            <sz val="9"/>
            <color rgb="FF000000"/>
            <rFont val="Tahoma"/>
            <family val="2"/>
          </rPr>
          <t xml:space="preserve">
</t>
        </r>
      </text>
    </comment>
    <comment ref="F5" authorId="1" shapeId="0" xr:uid="{00000000-0006-0000-0300-000003000000}">
      <text>
        <r>
          <rPr>
            <b/>
            <sz val="9"/>
            <color rgb="FF000000"/>
            <rFont val="Tahoma"/>
            <family val="2"/>
          </rPr>
          <t xml:space="preserve">Os valores a ser inseridos nesta coluna e na coluna de "saldo anterior" desta tabela correspondem aos saldos acumulados das contas contábeis do ativo imobilizado. </t>
        </r>
        <r>
          <rPr>
            <sz val="9"/>
            <color rgb="FF000000"/>
            <rFont val="Tahoma"/>
            <family val="2"/>
          </rPr>
          <t xml:space="preserve">
</t>
        </r>
        <r>
          <rPr>
            <b/>
            <sz val="9"/>
            <color rgb="FF000000"/>
            <rFont val="Tahoma"/>
            <family val="2"/>
          </rPr>
          <t>Se não houver os dados contábeis do ativo imobilizado, pode-se utilizar a tabela auxiliar da Planilha 8 desta ferramenta para levantar ou estimar os valores dos ativos e das depreciações a ser inseridos nesta tabela.</t>
        </r>
      </text>
    </comment>
    <comment ref="G5" authorId="1" shapeId="0" xr:uid="{00000000-0006-0000-0300-000004000000}">
      <text>
        <r>
          <rPr>
            <b/>
            <sz val="9"/>
            <color rgb="FF000000"/>
            <rFont val="Tahoma"/>
            <family val="2"/>
          </rPr>
          <t xml:space="preserve">Os valores de aquisição/construção acumulados estimados para o ano atual correspondem aos saldos do ano anterior (ano-base) mais as previsões de gastos com novos investimentos no ano atual, conforme a previsão orçamentária ou o plano executivo da gestão do serviço.  </t>
        </r>
        <r>
          <rPr>
            <sz val="9"/>
            <color rgb="FF000000"/>
            <rFont val="Tahoma"/>
            <family val="2"/>
          </rPr>
          <t xml:space="preserve">
</t>
        </r>
        <r>
          <rPr>
            <b/>
            <sz val="9"/>
            <color rgb="FF000000"/>
            <rFont val="Tahoma"/>
            <family val="2"/>
          </rPr>
          <t>Os valores das depreciações acumuladas para este ano serão estimados automaticamente pela fórmula das respectivas células.</t>
        </r>
      </text>
    </comment>
    <comment ref="E8" authorId="1" shapeId="0" xr:uid="{00000000-0006-0000-0300-000005000000}">
      <text>
        <r>
          <rPr>
            <b/>
            <sz val="9"/>
            <color indexed="81"/>
            <rFont val="Tahoma"/>
            <family val="2"/>
          </rPr>
          <t>O valor da depreciação deve ser inserido em valor negativo, ou seja, com sinal de subtração (-).</t>
        </r>
      </text>
    </comment>
    <comment ref="H31" authorId="0" shapeId="0" xr:uid="{00000000-0006-0000-0300-000006000000}">
      <text>
        <r>
          <rPr>
            <b/>
            <sz val="9"/>
            <color indexed="81"/>
            <rFont val="Tahoma"/>
            <family val="2"/>
          </rPr>
          <t>Esta taxa deve ser definida com base na estimativa de tempo para esgotamento da capacidade útil de aterro sanitário, conforme as características geográficas e a tecnologia adotada.</t>
        </r>
        <r>
          <rPr>
            <sz val="9"/>
            <color indexed="81"/>
            <rFont val="Tahoma"/>
            <family val="2"/>
          </rPr>
          <t xml:space="preserve">
</t>
        </r>
      </text>
    </comment>
    <comment ref="H33" authorId="1" shapeId="0" xr:uid="{00000000-0006-0000-0300-000007000000}">
      <text>
        <r>
          <rPr>
            <b/>
            <sz val="9"/>
            <color indexed="81"/>
            <rFont val="Tahoma"/>
            <family val="2"/>
          </rPr>
          <t xml:space="preserve">Esta taxa se aplica à solução tecnológica de aterramento de resíduos em células implantadas sequencialmente.
Neste caso, a taxa de exaustão é definida em função da vida útil de cada célula.
Isso permite distribuir as despesas de exaustão de modo mais uniforme no tempo de vida do conjunto do aterro.  </t>
        </r>
        <r>
          <rPr>
            <sz val="9"/>
            <color indexed="81"/>
            <rFont val="Tahoma"/>
            <family val="2"/>
          </rPr>
          <t xml:space="preserve">
</t>
        </r>
      </text>
    </comment>
    <comment ref="B56" authorId="2" shapeId="0" xr:uid="{00000000-0006-0000-0300-000008000000}">
      <text>
        <r>
          <rPr>
            <b/>
            <sz val="9"/>
            <color indexed="81"/>
            <rFont val="Tahoma"/>
            <family val="2"/>
          </rPr>
          <t>RDO, RCC, volumosos e outros entregues diretamente, pelos geradores ou por sua conta</t>
        </r>
        <r>
          <rPr>
            <sz val="9"/>
            <color indexed="81"/>
            <rFont val="Tahoma"/>
            <family val="2"/>
          </rPr>
          <t xml:space="preserve">
</t>
        </r>
      </text>
    </comment>
    <comment ref="B57" authorId="2" shapeId="0" xr:uid="{00000000-0006-0000-0300-000009000000}">
      <text>
        <r>
          <rPr>
            <b/>
            <sz val="9"/>
            <color indexed="81"/>
            <rFont val="Tahoma"/>
            <family val="2"/>
          </rPr>
          <t>Resíduos recuperáveis (RDO, RCC, volumosos, orgânicos etc.) entregues diretamente pelos geradores ou por sua conta.</t>
        </r>
      </text>
    </comment>
    <comment ref="B58" authorId="2" shapeId="0" xr:uid="{00000000-0006-0000-0300-00000A000000}">
      <text>
        <r>
          <rPr>
            <b/>
            <sz val="9"/>
            <color indexed="81"/>
            <rFont val="Tahoma"/>
            <family val="2"/>
          </rPr>
          <t>Massa de materiais recuperados por reciclagem, compostagem ou manufatura em unidades de triagem, de compostagem ou de processamento de RCC, mais massa consumida por incineração.</t>
        </r>
      </text>
    </comment>
    <comment ref="B59" authorId="1" shapeId="0" xr:uid="{00000000-0006-0000-0300-00000B000000}">
      <text>
        <r>
          <rPr>
            <b/>
            <sz val="9"/>
            <color indexed="81"/>
            <rFont val="Tahoma"/>
            <family val="2"/>
          </rPr>
          <t>Todas as origens</t>
        </r>
        <r>
          <rPr>
            <sz val="9"/>
            <color indexed="81"/>
            <rFont val="Tahoma"/>
            <family val="2"/>
          </rPr>
          <t xml:space="preserve">
</t>
        </r>
      </text>
    </comment>
    <comment ref="B60" authorId="2" shapeId="0" xr:uid="{00000000-0006-0000-0300-00000C000000}">
      <text>
        <r>
          <rPr>
            <b/>
            <sz val="9"/>
            <color rgb="FF000000"/>
            <rFont val="Tahoma"/>
            <family val="2"/>
          </rPr>
          <t>Resíduos destinados a aterros de terceiros pelo prestador público, diretamente ou por seu terceirizado.</t>
        </r>
        <r>
          <rPr>
            <sz val="9"/>
            <color rgb="FF000000"/>
            <rFont val="Tahoma"/>
            <family val="2"/>
          </rPr>
          <t xml:space="preserve">
</t>
        </r>
      </text>
    </comment>
    <comment ref="B61" authorId="2" shapeId="0" xr:uid="{00000000-0006-0000-0300-00000D000000}">
      <text>
        <r>
          <rPr>
            <b/>
            <sz val="9"/>
            <color rgb="FF000000"/>
            <rFont val="Tahoma"/>
            <family val="2"/>
          </rPr>
          <t>Total de resíduos recebidos nas unidades de aterro, de todas as origens.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jbpconsult@outlook.com</author>
  </authors>
  <commentList>
    <comment ref="F20" authorId="0" shapeId="0" xr:uid="{00000000-0006-0000-0400-000001000000}">
      <text>
        <r>
          <rPr>
            <b/>
            <sz val="9"/>
            <color rgb="FF000000"/>
            <rFont val="Tahoma"/>
            <family val="2"/>
          </rPr>
          <t>Considerar o mês de dezembro ou o último mês com dados disponíveis do ano anterior.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jbpconsult@outlook.com</author>
    <author>Home</author>
  </authors>
  <commentList>
    <comment ref="B3" authorId="0" shapeId="0" xr:uid="{00000000-0006-0000-0500-000001000000}">
      <text>
        <r>
          <rPr>
            <b/>
            <sz val="9"/>
            <color rgb="FF000000"/>
            <rFont val="Tahoma"/>
            <family val="2"/>
          </rPr>
          <t>Quando não se dispuser de informações desagregadas por tipo de despesa ou por centros de custos, o gestor pode optar pela aplicação simplificada da ferramenta. Neste caso, o analista deve marcar esta opção na Planilha 1, item 11, seguindo as orientações e os links indicados, para utilizar diretamente a Planilha 5.2.</t>
        </r>
      </text>
    </comment>
    <comment ref="C8" authorId="0" shapeId="0" xr:uid="{00000000-0006-0000-0500-000002000000}">
      <text>
        <r>
          <rPr>
            <b/>
            <sz val="9"/>
            <color indexed="81"/>
            <rFont val="Tahoma"/>
            <family val="2"/>
          </rPr>
          <t xml:space="preserve">Serviços contratados com terceiros para coleta convencional e seletiva, operação de unidade de transbordo, operação de central de tratamento ou aterro e pagamento pela disposição de RSU em aterro de terceiros, tais como aterro de consórcio, aterro de outro município e aterro privado. </t>
        </r>
        <r>
          <rPr>
            <sz val="9"/>
            <color indexed="81"/>
            <rFont val="Tahoma"/>
            <family val="2"/>
          </rPr>
          <t xml:space="preserve">
</t>
        </r>
      </text>
    </comment>
    <comment ref="F19" authorId="0" shapeId="0" xr:uid="{00000000-0006-0000-0500-000003000000}">
      <text>
        <r>
          <rPr>
            <b/>
            <sz val="9"/>
            <color rgb="FF000000"/>
            <rFont val="Tahoma"/>
            <family val="2"/>
          </rPr>
          <t xml:space="preserve">Este percentual deve ser informado na planilha "1 Identificação e Parâmetros", quando for o caso.
</t>
        </r>
        <r>
          <rPr>
            <b/>
            <sz val="9"/>
            <color rgb="FF000000"/>
            <rFont val="Tahoma"/>
            <family val="2"/>
          </rPr>
          <t xml:space="preserve">Trata-se do percentual do custo direto do serviço admitido pela regulação como despesas indiretas administrativas (atividades meio compartilhadas com todos os serviços municipais).
</t>
        </r>
        <r>
          <rPr>
            <b/>
            <sz val="9"/>
            <color rgb="FF000000"/>
            <rFont val="Tahoma"/>
            <family val="2"/>
          </rPr>
          <t xml:space="preserve">Este percentual é arbitrário e recomenda-se que seja de 15% no máximo.  </t>
        </r>
        <r>
          <rPr>
            <sz val="9"/>
            <color rgb="FF000000"/>
            <rFont val="Tahoma"/>
            <family val="2"/>
          </rPr>
          <t xml:space="preserve">
</t>
        </r>
        <r>
          <rPr>
            <b/>
            <sz val="9"/>
            <color rgb="FF000000"/>
            <rFont val="Tahoma"/>
            <family val="2"/>
          </rPr>
          <t>A Administração Municipal pode decidir pela NÃO INCLUSÃO desta despesa no custo do serviço, base de cálculo da taxa ou tarifa. A lei que criar a taxa/tarifa ou seu regulamento devem estabelecer o limite percentual admitido.</t>
        </r>
      </text>
    </comment>
    <comment ref="D25" authorId="1" shapeId="0" xr:uid="{00000000-0006-0000-0500-000004000000}">
      <text>
        <r>
          <rPr>
            <b/>
            <sz val="9"/>
            <color indexed="81"/>
            <rFont val="Tahoma"/>
            <family val="2"/>
          </rPr>
          <t>Permite inserir valores de acréscimos regulatórios não especificados  na Planilha 2 de dados financeiros-contábeis, tais como restos a pagar de despesas de custeio deste serviço do ano anterior, sem cobertura de caixa; perdas de receitas por inadimplência ou por anistia, subsídio tributário/tarifário de isenções e outros benefícios sociais, outros custos admitidos pela regulação.</t>
        </r>
      </text>
    </comment>
    <comment ref="D26" authorId="1" shapeId="0" xr:uid="{00000000-0006-0000-0500-000005000000}">
      <text>
        <r>
          <rPr>
            <b/>
            <sz val="9"/>
            <color indexed="81"/>
            <rFont val="Tahoma"/>
            <family val="2"/>
          </rPr>
          <t xml:space="preserve">Permite inserir outras deduções regulatórias não especificadas na planilha "2 DadosFinanServRSU" relacionadas a este serviço, tais como subvenção orçamentária, multas ou encargos contratuais pagos a terceiros; despesa com publicidade não institucional; e outros gastos ineficientes previstos pela regulação.  </t>
        </r>
      </text>
    </comment>
    <comment ref="C32" authorId="0" shapeId="0" xr:uid="{00000000-0006-0000-0500-000006000000}">
      <text>
        <r>
          <rPr>
            <b/>
            <sz val="9"/>
            <color rgb="FF000000"/>
            <rFont val="Tahoma"/>
            <family val="2"/>
          </rPr>
          <t xml:space="preserve">A regulação deve definir se a quantidade de resíduos coletados a ser considerada inclui somente RDO ou também RPU. </t>
        </r>
        <r>
          <rPr>
            <sz val="9"/>
            <color rgb="FF000000"/>
            <rFont val="Tahoma"/>
            <family val="2"/>
          </rPr>
          <t xml:space="preserve">
</t>
        </r>
        <r>
          <rPr>
            <sz val="9"/>
            <color rgb="FFFF0000"/>
            <rFont val="Tahoma"/>
            <family val="2"/>
          </rPr>
          <t xml:space="preserve">Obs.: </t>
        </r>
        <r>
          <rPr>
            <b/>
            <sz val="9"/>
            <color rgb="FFFF0000"/>
            <rFont val="Tahoma"/>
            <family val="2"/>
          </rPr>
          <t>Esta definição não altera o resultado da aplicação da metodologia de cálculo da taxa ou tarifa individual proposta nas Tabelas 1 e 2 da Planilha 6.</t>
        </r>
      </text>
    </comment>
    <comment ref="B35" authorId="0" shapeId="0" xr:uid="{00000000-0006-0000-0500-000007000000}">
      <text>
        <r>
          <rPr>
            <b/>
            <sz val="9"/>
            <color indexed="81"/>
            <rFont val="Tahoma"/>
            <family val="2"/>
          </rPr>
          <t xml:space="preserve">Esta opção considera o consumo de água como fator de cálculo. Pode ser adotada se o serviço de abastecimento de água estiver universalizado na área de cobertura do serviço de coleta de resíduos domiciliares. </t>
        </r>
        <r>
          <rPr>
            <sz val="9"/>
            <color indexed="81"/>
            <rFont val="Tahoma"/>
            <family val="2"/>
          </rPr>
          <t xml:space="preserve">
</t>
        </r>
        <r>
          <rPr>
            <b/>
            <sz val="9"/>
            <color indexed="81"/>
            <rFont val="Tahoma"/>
            <family val="2"/>
          </rPr>
          <t xml:space="preserve">A cobrança pode ter base mensal (opção 3) ou anual (opção 2).
</t>
        </r>
      </text>
    </comment>
    <comment ref="B37" authorId="0" shapeId="0" xr:uid="{00000000-0006-0000-0500-000008000000}">
      <text>
        <r>
          <rPr>
            <b/>
            <sz val="9"/>
            <color rgb="FF000000"/>
            <rFont val="Tahoma"/>
            <family val="2"/>
          </rPr>
          <t xml:space="preserve">Cobrança com base no consumo de água, similar à estrutura tarifária de água e esgoto. Opção mais indicada para prestação integrada dos serviços e se o serviço de abastecimento de água estiver universalizado na área de cobertura do serviço de coleta de resíduos domiciliares. </t>
        </r>
        <r>
          <rPr>
            <sz val="9"/>
            <color rgb="FF000000"/>
            <rFont val="Tahoma"/>
            <family val="2"/>
          </rPr>
          <t xml:space="preserve">
</t>
        </r>
      </text>
    </comment>
    <comment ref="C38" authorId="0" shapeId="0" xr:uid="{00000000-0006-0000-0500-000009000000}">
      <text>
        <r>
          <rPr>
            <b/>
            <sz val="9"/>
            <color rgb="FF000000"/>
            <rFont val="Tahoma"/>
            <family val="2"/>
          </rPr>
          <t xml:space="preserve">Informação do prestador do serviço de abastecimento de água.
</t>
        </r>
        <r>
          <rPr>
            <b/>
            <sz val="9"/>
            <color rgb="FF000000"/>
            <rFont val="Tahoma"/>
            <family val="2"/>
          </rPr>
          <t xml:space="preserve">A definição sobre o volume a ser considerado — </t>
        </r>
        <r>
          <rPr>
            <b/>
            <sz val="9"/>
            <color rgb="FFFF0000"/>
            <rFont val="Tahoma"/>
            <family val="2"/>
          </rPr>
          <t>consumido ou faturado</t>
        </r>
        <r>
          <rPr>
            <b/>
            <sz val="9"/>
            <color rgb="FF000000"/>
            <rFont val="Tahoma"/>
            <family val="2"/>
          </rPr>
          <t xml:space="preserve"> — depende da estrutura tarifária adotada pelo serviço de abastecimento de água e da estrutura referencial de cálculo da taxa ou tarifa (TMRS) escolhida (Tabelas 3 e 4 da Planilha 6).   </t>
        </r>
        <r>
          <rPr>
            <sz val="9"/>
            <color rgb="FF000000"/>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Usuário</author>
    <author>jbpconsult@outlook.com</author>
    <author>Usuario</author>
    <author>Home</author>
  </authors>
  <commentList>
    <comment ref="B3" authorId="0" shapeId="0" xr:uid="{DF398289-AA09-48F5-9A8B-C991EFB42D1A}">
      <text>
        <r>
          <rPr>
            <b/>
            <sz val="10"/>
            <color indexed="81"/>
            <rFont val="Segoe UI"/>
            <family val="2"/>
          </rPr>
          <t>Quando não se dispuser de informações desagregadas por tipo de despesa ou por centros de custos, o gestor pode optar pela aplicação simplificada da ferramenta. Neste caso, as informações agregadas das despesas podem ser inseridas diretamente nesta tabela, seguindo as orientações e os comentários desta, com apoio das tabelas da Planilha 8.</t>
        </r>
        <r>
          <rPr>
            <sz val="9"/>
            <color indexed="81"/>
            <rFont val="Segoe UI"/>
            <family val="2"/>
          </rPr>
          <t xml:space="preserve">
</t>
        </r>
      </text>
    </comment>
    <comment ref="E5" authorId="1" shapeId="0" xr:uid="{00000000-0006-0000-0600-000002000000}">
      <text>
        <r>
          <rPr>
            <b/>
            <sz val="9"/>
            <color rgb="FF000000"/>
            <rFont val="Tahoma"/>
            <family val="2"/>
          </rPr>
          <t>As receitas do ano atual podem ser estimadas pelas fórmulas constantes das células desta coluna, ou mediante outro critério mais apropriado (P.ex.: previsão orçamentaria, histórico de anos anteriores).</t>
        </r>
        <r>
          <rPr>
            <sz val="9"/>
            <color rgb="FF000000"/>
            <rFont val="Tahoma"/>
            <family val="2"/>
          </rPr>
          <t xml:space="preserve">
</t>
        </r>
      </text>
    </comment>
    <comment ref="C8" authorId="1" shapeId="0" xr:uid="{00000000-0006-0000-0600-000003000000}">
      <text>
        <r>
          <rPr>
            <b/>
            <sz val="9"/>
            <color rgb="FF000000"/>
            <rFont val="Tahoma"/>
            <family val="2"/>
          </rPr>
          <t>Serviços contratados com terceiros para coleta convencional e seletiva, operação de unidade de transbordo, operação de central de tratamento ou aterro e pagamento pela disposição de RSU em aterro de terceiros, tais como aterro de consórcio, aterro de outro município e aterro privado.</t>
        </r>
      </text>
    </comment>
    <comment ref="F19" authorId="1" shapeId="0" xr:uid="{00000000-0006-0000-0600-000004000000}">
      <text>
        <r>
          <rPr>
            <b/>
            <sz val="9"/>
            <color rgb="FF000000"/>
            <rFont val="Tahoma"/>
            <family val="2"/>
          </rPr>
          <t xml:space="preserve">Este percentual deve ser informado na planilha "1 Identificação e Parâmetros", quando for o caso.
</t>
        </r>
        <r>
          <rPr>
            <b/>
            <sz val="9"/>
            <color rgb="FF000000"/>
            <rFont val="Tahoma"/>
            <family val="2"/>
          </rPr>
          <t xml:space="preserve">Trata-se do percentual do custo direto do serviço admitido pela regulação como despesas indiretas administrativas (atividades meio compartilhadas com todos os serviços municipais).
</t>
        </r>
        <r>
          <rPr>
            <b/>
            <sz val="9"/>
            <color rgb="FF000000"/>
            <rFont val="Tahoma"/>
            <family val="2"/>
          </rPr>
          <t xml:space="preserve">Este percentual é arbitrário e recomenda-se que seja de 15% no máximo.  </t>
        </r>
        <r>
          <rPr>
            <sz val="9"/>
            <color rgb="FF000000"/>
            <rFont val="Tahoma"/>
            <family val="2"/>
          </rPr>
          <t xml:space="preserve">
</t>
        </r>
        <r>
          <rPr>
            <b/>
            <sz val="9"/>
            <color rgb="FF000000"/>
            <rFont val="Tahoma"/>
            <family val="2"/>
          </rPr>
          <t>A Administração Municipal pode decidir pela NÃO INCLUSÃO desta despesa no custo do serviço, base de cálculo da taxa ou tarifa. A lei  que criar a taxa/tarifa ou seu regulamento devem estabelecer o limite percentual admitido.</t>
        </r>
      </text>
    </comment>
    <comment ref="D20" authorId="2" shapeId="0" xr:uid="{00000000-0006-0000-0600-000005000000}">
      <text>
        <r>
          <rPr>
            <b/>
            <sz val="9"/>
            <color rgb="FF000000"/>
            <rFont val="Tahoma"/>
            <family val="2"/>
          </rPr>
          <t xml:space="preserve">Se não houver informação do sistema contábil, utilizar a Tabela 1 da Planilha 8 para levantar as informações sobre os ativos imobilizados existentes e para estimar as despesas de depreciação.
</t>
        </r>
        <r>
          <rPr>
            <b/>
            <sz val="9"/>
            <color rgb="FFFF0000"/>
            <rFont val="Tahoma"/>
            <family val="2"/>
          </rPr>
          <t>Observar o parâmetro de cálculo pevisto na Planilha 1, item 5, célula K10</t>
        </r>
        <r>
          <rPr>
            <b/>
            <sz val="9"/>
            <color rgb="FF000000"/>
            <rFont val="Tahoma"/>
            <family val="2"/>
          </rPr>
          <t xml:space="preserve">   </t>
        </r>
        <r>
          <rPr>
            <sz val="9"/>
            <color rgb="FF000000"/>
            <rFont val="Tahoma"/>
            <family val="2"/>
          </rPr>
          <t xml:space="preserve">
</t>
        </r>
      </text>
    </comment>
    <comment ref="E20" authorId="2" shapeId="0" xr:uid="{00000000-0006-0000-0600-000006000000}">
      <text>
        <r>
          <rPr>
            <b/>
            <sz val="9"/>
            <color rgb="FF000000"/>
            <rFont val="Tahoma"/>
            <family val="2"/>
          </rPr>
          <t xml:space="preserve">Se não houver informação do sistema contábil, utilizar a Tabela 1 da Planilha 8 para levantar as informações sobre os ativos imobilizados existentes e para estimar as despesas de depreciação.
</t>
        </r>
        <r>
          <rPr>
            <b/>
            <sz val="9"/>
            <color rgb="FFFF0000"/>
            <rFont val="Tahoma"/>
            <family val="2"/>
          </rPr>
          <t>Observar o parâmetro de cálculo pevisto na Planilha 1, item 5, célula K10</t>
        </r>
        <r>
          <rPr>
            <sz val="9"/>
            <color rgb="FF000000"/>
            <rFont val="Tahoma"/>
            <family val="2"/>
          </rPr>
          <t xml:space="preserve">
</t>
        </r>
      </text>
    </comment>
    <comment ref="D22" authorId="1" shapeId="0" xr:uid="{00000000-0006-0000-0600-000007000000}">
      <text>
        <r>
          <rPr>
            <b/>
            <sz val="9"/>
            <color rgb="FF000000"/>
            <rFont val="Tahoma"/>
            <family val="2"/>
          </rPr>
          <t>Informar as despesas com juros e outros encargos de empréstimos pagas ou devidas no ano.</t>
        </r>
        <r>
          <rPr>
            <sz val="9"/>
            <color rgb="FF000000"/>
            <rFont val="Tahoma"/>
            <family val="2"/>
          </rPr>
          <t xml:space="preserve">
</t>
        </r>
      </text>
    </comment>
    <comment ref="E22" authorId="1" shapeId="0" xr:uid="{00000000-0006-0000-0600-000008000000}">
      <text>
        <r>
          <rPr>
            <b/>
            <sz val="9"/>
            <color rgb="FF000000"/>
            <rFont val="Tahoma"/>
            <family val="2"/>
          </rPr>
          <t>Informar as despesas com juros e outros encargos de empréstimos ESTIMADAS para o ano atual.</t>
        </r>
        <r>
          <rPr>
            <sz val="9"/>
            <color rgb="FF000000"/>
            <rFont val="Tahoma"/>
            <family val="2"/>
          </rPr>
          <t xml:space="preserve">
</t>
        </r>
      </text>
    </comment>
    <comment ref="D24" authorId="2" shapeId="0" xr:uid="{00000000-0006-0000-0600-000009000000}">
      <text>
        <r>
          <rPr>
            <b/>
            <sz val="9"/>
            <color rgb="FF000000"/>
            <rFont val="Tahoma"/>
            <family val="2"/>
          </rPr>
          <t xml:space="preserve">Se não tiver informação do sistema contábil, utilizar a Tabela 1 da Planilha 8 para levantar as informações sobre os ativos imobilizados existentes — valor de aquisição acumulado menos valor da depreciação acumulada — e para estimar a remuneração dos investimentos/ativos em operação.
</t>
        </r>
        <r>
          <rPr>
            <b/>
            <u/>
            <sz val="9"/>
            <color rgb="FFFF0000"/>
            <rFont val="Tahoma"/>
            <family val="2"/>
          </rPr>
          <t>Atenção:</t>
        </r>
        <r>
          <rPr>
            <b/>
            <sz val="9"/>
            <color rgb="FF000000"/>
            <rFont val="Tahoma"/>
            <family val="2"/>
          </rPr>
          <t xml:space="preserve">
</t>
        </r>
        <r>
          <rPr>
            <b/>
            <sz val="9"/>
            <color rgb="FF000000"/>
            <rFont val="Tahoma"/>
            <family val="2"/>
          </rPr>
          <t xml:space="preserve">1 - </t>
        </r>
        <r>
          <rPr>
            <b/>
            <sz val="9"/>
            <color rgb="FFFF0000"/>
            <rFont val="Tahoma"/>
            <family val="2"/>
          </rPr>
          <t xml:space="preserve">Observar o parâmetro de cálculo pevisto na Planilha 1, item 10, célula K15. </t>
        </r>
        <r>
          <rPr>
            <b/>
            <sz val="9"/>
            <color rgb="FF000000"/>
            <rFont val="Tahoma"/>
            <family val="2"/>
          </rPr>
          <t xml:space="preserve"> 
</t>
        </r>
        <r>
          <rPr>
            <b/>
            <sz val="9"/>
            <color rgb="FF000000"/>
            <rFont val="Tahoma"/>
            <family val="2"/>
          </rPr>
          <t xml:space="preserve">2 - </t>
        </r>
        <r>
          <rPr>
            <b/>
            <sz val="9"/>
            <color rgb="FFFF0000"/>
            <rFont val="Tahoma"/>
            <family val="2"/>
          </rPr>
          <t>Subtrair o valor das despesas com juros e encargos de empréstimos informadas na linha 22.</t>
        </r>
        <r>
          <rPr>
            <sz val="9"/>
            <color rgb="FF000000"/>
            <rFont val="Tahoma"/>
            <family val="2"/>
          </rPr>
          <t xml:space="preserve">
</t>
        </r>
      </text>
    </comment>
    <comment ref="E24" authorId="2" shapeId="0" xr:uid="{00000000-0006-0000-0600-00000A000000}">
      <text>
        <r>
          <rPr>
            <b/>
            <sz val="9"/>
            <color rgb="FF000000"/>
            <rFont val="Tahoma"/>
            <family val="2"/>
          </rPr>
          <t xml:space="preserve">Se não houver informação do sistema contábil, utilizar a Tabela 1 da Planilha 8 para levantar as informações sobre os ativos imobilizados existentes e para estimar as despesas de depreciação.
</t>
        </r>
        <r>
          <rPr>
            <b/>
            <sz val="9"/>
            <color rgb="FFFF0000"/>
            <rFont val="Tahoma"/>
            <family val="2"/>
          </rPr>
          <t xml:space="preserve">Atenção:
</t>
        </r>
        <r>
          <rPr>
            <b/>
            <sz val="9"/>
            <color rgb="FFFF0000"/>
            <rFont val="Tahoma"/>
            <family val="2"/>
          </rPr>
          <t xml:space="preserve">1 - Observar o parâmetro de cálculo pevisto na Planilha 1, item 10, célula K15.  
</t>
        </r>
        <r>
          <rPr>
            <b/>
            <sz val="9"/>
            <color rgb="FFFF0000"/>
            <rFont val="Tahoma"/>
            <family val="2"/>
          </rPr>
          <t>2 - Subtrair o valor das despesas com juros e encargos de empréstimos informadas na linha 22.</t>
        </r>
      </text>
    </comment>
    <comment ref="D25" authorId="3" shapeId="0" xr:uid="{00000000-0006-0000-0600-00000B000000}">
      <text>
        <r>
          <rPr>
            <b/>
            <sz val="9"/>
            <color rgb="FF000000"/>
            <rFont val="Tahoma"/>
            <family val="2"/>
          </rPr>
          <t>Inserir valores de acréscimos regulatórios relativos a perdas de receitas por inadimplência ou por anistia, isenções e descontos legais, e outros custos admitidos pela regulação.</t>
        </r>
      </text>
    </comment>
    <comment ref="D26" authorId="3" shapeId="0" xr:uid="{00000000-0006-0000-0600-00000C000000}">
      <text>
        <r>
          <rPr>
            <b/>
            <sz val="9"/>
            <color rgb="FF000000"/>
            <rFont val="Tahoma"/>
            <family val="2"/>
          </rPr>
          <t>Inserir valores de deduções regulatórias relativas a receitas de serviços acessórios, receitas de multas e encargos por inadimplência e outras deduções previstas pela regulação.</t>
        </r>
      </text>
    </comment>
    <comment ref="C32" authorId="1" shapeId="0" xr:uid="{00000000-0006-0000-0600-00000D000000}">
      <text>
        <r>
          <rPr>
            <b/>
            <sz val="9"/>
            <color rgb="FF000000"/>
            <rFont val="Tahoma"/>
            <family val="2"/>
          </rPr>
          <t xml:space="preserve">A regulação deve definir se a quantidade de resíduos coletados a ser considerada inclui somente RDO ou também RPU. </t>
        </r>
        <r>
          <rPr>
            <sz val="9"/>
            <color rgb="FF000000"/>
            <rFont val="Tahoma"/>
            <family val="2"/>
          </rPr>
          <t xml:space="preserve">
</t>
        </r>
        <r>
          <rPr>
            <sz val="9"/>
            <color rgb="FFFF0000"/>
            <rFont val="Tahoma"/>
            <family val="2"/>
          </rPr>
          <t xml:space="preserve">Obs.: </t>
        </r>
        <r>
          <rPr>
            <b/>
            <sz val="9"/>
            <color rgb="FFFF0000"/>
            <rFont val="Tahoma"/>
            <family val="2"/>
          </rPr>
          <t>Esta definição não altera o resultado da aplicação da metodologia de cálculo da taxa ou tarifa individual proposta nas Tabelas 1 e 2 da Planilha 6.</t>
        </r>
      </text>
    </comment>
    <comment ref="D32" authorId="1" shapeId="0" xr:uid="{00000000-0006-0000-0600-00000E000000}">
      <text>
        <r>
          <rPr>
            <b/>
            <sz val="9"/>
            <color rgb="FF000000"/>
            <rFont val="Tahoma"/>
            <family val="2"/>
          </rPr>
          <t>Inserir dado se não houver informações na Planilha 3</t>
        </r>
        <r>
          <rPr>
            <sz val="9"/>
            <color rgb="FF000000"/>
            <rFont val="Tahoma"/>
            <family val="2"/>
          </rPr>
          <t xml:space="preserve">
</t>
        </r>
      </text>
    </comment>
    <comment ref="D34" authorId="1" shapeId="0" xr:uid="{00000000-0006-0000-0600-00000F000000}">
      <text>
        <r>
          <rPr>
            <b/>
            <sz val="9"/>
            <color indexed="81"/>
            <rFont val="Tahoma"/>
            <family val="2"/>
          </rPr>
          <t xml:space="preserve">Inserir dados se não houver informações na Planilha 4
</t>
        </r>
        <r>
          <rPr>
            <sz val="9"/>
            <color indexed="81"/>
            <rFont val="Tahoma"/>
            <family val="2"/>
          </rPr>
          <t xml:space="preserve">
</t>
        </r>
      </text>
    </comment>
    <comment ref="B35" authorId="1" shapeId="0" xr:uid="{00000000-0006-0000-0600-000010000000}">
      <text>
        <r>
          <rPr>
            <b/>
            <sz val="9"/>
            <color rgb="FF000000"/>
            <rFont val="Tahoma"/>
            <family val="2"/>
          </rPr>
          <t xml:space="preserve">Esta opção considera o consumo de água como fator de cálculo. Pode ser adotada se o serviço de abastecimento de água estiver universalizado na área de cobertura do serviço de coleta de resíduos domiciliares. </t>
        </r>
        <r>
          <rPr>
            <sz val="9"/>
            <color rgb="FF000000"/>
            <rFont val="Tahoma"/>
            <family val="2"/>
          </rPr>
          <t xml:space="preserve">
</t>
        </r>
        <r>
          <rPr>
            <b/>
            <sz val="9"/>
            <color rgb="FF000000"/>
            <rFont val="Tahoma"/>
            <family val="2"/>
          </rPr>
          <t xml:space="preserve">A cobrança pode ter base mensal (opção 3) ou anual (opção 2).
</t>
        </r>
      </text>
    </comment>
    <comment ref="D36" authorId="1" shapeId="0" xr:uid="{00000000-0006-0000-0600-000011000000}">
      <text>
        <r>
          <rPr>
            <b/>
            <sz val="9"/>
            <color rgb="FF000000"/>
            <rFont val="Tahoma"/>
            <family val="2"/>
          </rPr>
          <t xml:space="preserve">Inserir dados se não houver informações na Planilha 4
</t>
        </r>
        <r>
          <rPr>
            <sz val="9"/>
            <color rgb="FF000000"/>
            <rFont val="Tahoma"/>
            <family val="2"/>
          </rPr>
          <t xml:space="preserve">
</t>
        </r>
      </text>
    </comment>
    <comment ref="B37" authorId="1" shapeId="0" xr:uid="{00000000-0006-0000-0600-000012000000}">
      <text>
        <r>
          <rPr>
            <b/>
            <sz val="9"/>
            <color rgb="FF000000"/>
            <rFont val="Tahoma"/>
            <family val="2"/>
          </rPr>
          <t xml:space="preserve">Cobrança com base no consumo de água, similar à estrutura tarifária de água e esgoto. Opção mais indicada para prestação integrada dos serviços e se o serviço de abastecimento de água estiver universalizado na área de cobertura do serviço de coleta de resíduos domiciliares. </t>
        </r>
        <r>
          <rPr>
            <sz val="9"/>
            <color rgb="FF000000"/>
            <rFont val="Tahoma"/>
            <family val="2"/>
          </rPr>
          <t xml:space="preserve">
</t>
        </r>
      </text>
    </comment>
    <comment ref="C38" authorId="1" shapeId="0" xr:uid="{00000000-0006-0000-0600-000013000000}">
      <text>
        <r>
          <rPr>
            <b/>
            <sz val="9"/>
            <color rgb="FF000000"/>
            <rFont val="Tahoma"/>
            <family val="2"/>
          </rPr>
          <t xml:space="preserve">Informação do prestador do serviço de abastecimento de água.
</t>
        </r>
        <r>
          <rPr>
            <b/>
            <sz val="9"/>
            <color rgb="FF000000"/>
            <rFont val="Tahoma"/>
            <family val="2"/>
          </rPr>
          <t xml:space="preserve">A definição sobre o volume a ser considerado — </t>
        </r>
        <r>
          <rPr>
            <b/>
            <sz val="9"/>
            <color rgb="FFFF0000"/>
            <rFont val="Tahoma"/>
            <family val="2"/>
          </rPr>
          <t>consumido ou faturado</t>
        </r>
        <r>
          <rPr>
            <b/>
            <sz val="9"/>
            <color rgb="FF000000"/>
            <rFont val="Tahoma"/>
            <family val="2"/>
          </rPr>
          <t xml:space="preserve"> — depende da estrutura tarifária adotada pelo serviço de abastecimento de água e da estrutura referencial de cálculo da taxa ou tarifa (TMRS) escolhida (Tabelas 3 e 4 da Planilha 6).   </t>
        </r>
        <r>
          <rPr>
            <sz val="9"/>
            <color rgb="FF000000"/>
            <rFont val="Tahoma"/>
            <family val="2"/>
          </rPr>
          <t xml:space="preserve">
</t>
        </r>
      </text>
    </comment>
    <comment ref="D38" authorId="1" shapeId="0" xr:uid="{00000000-0006-0000-0600-000014000000}">
      <text>
        <r>
          <rPr>
            <b/>
            <sz val="9"/>
            <color rgb="FF000000"/>
            <rFont val="Tahoma"/>
            <family val="2"/>
          </rPr>
          <t>Inserir dados se não houver informações na planilha 4</t>
        </r>
        <r>
          <rPr>
            <sz val="9"/>
            <color rgb="FF000000"/>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jbpconsult@outlook.com</author>
  </authors>
  <commentList>
    <comment ref="H4" authorId="0" shapeId="0" xr:uid="{00000000-0006-0000-0700-000001000000}">
      <text>
        <r>
          <rPr>
            <b/>
            <sz val="9"/>
            <color rgb="FF000000"/>
            <rFont val="Tahoma"/>
            <family val="2"/>
          </rPr>
          <t xml:space="preserve">Adotando Opção 1 de cálculo do VBC na Planilha 5, o cálculo do VBC é:
</t>
        </r>
        <r>
          <rPr>
            <b/>
            <sz val="9"/>
            <color rgb="FF000000"/>
            <rFont val="Tahoma"/>
            <family val="2"/>
          </rPr>
          <t xml:space="preserve">VBC = Custo R$/ton x (Qte Resíduos/Qte Domicílios) </t>
        </r>
        <r>
          <rPr>
            <sz val="9"/>
            <color rgb="FF000000"/>
            <rFont val="Tahoma"/>
            <family val="2"/>
          </rPr>
          <t xml:space="preserve">
</t>
        </r>
      </text>
    </comment>
    <comment ref="G25" authorId="0" shapeId="0" xr:uid="{00000000-0006-0000-0700-000002000000}">
      <text>
        <r>
          <rPr>
            <b/>
            <sz val="9"/>
            <color rgb="FF000000"/>
            <rFont val="Tahoma"/>
            <family val="2"/>
          </rPr>
          <t xml:space="preserve">Adotando Opção 1 de cálculo do VBC na Planilha 5, o cálculo do VBC é:
</t>
        </r>
        <r>
          <rPr>
            <b/>
            <sz val="9"/>
            <color rgb="FF000000"/>
            <rFont val="Tahoma"/>
            <family val="2"/>
          </rPr>
          <t xml:space="preserve">VBC = Custo R$/ton x (Qte Resíduos/Qte Domicílios) </t>
        </r>
        <r>
          <rPr>
            <sz val="9"/>
            <color rgb="FF000000"/>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jbpconsult@outlook.com</author>
  </authors>
  <commentList>
    <comment ref="D3" authorId="0" shapeId="0" xr:uid="{00000000-0006-0000-0900-000001000000}">
      <text>
        <r>
          <rPr>
            <b/>
            <sz val="10"/>
            <color indexed="81"/>
            <rFont val="Tahoma"/>
            <family val="2"/>
          </rPr>
          <t xml:space="preserve">Inclui bens destinados às atividades de coleta convencional e seletiva de resíduos domiciliares e outros resíduos urbanos.
</t>
        </r>
        <r>
          <rPr>
            <b/>
            <sz val="10"/>
            <color indexed="10"/>
            <rFont val="Tahoma"/>
            <family val="2"/>
          </rPr>
          <t>Não incluir veículos, equipamentos e instalações destinadas exclusivamente à coleta e ao tratamento de Resíduos de Serviços de Saúde (RSS) ou de Resíduos da Construção Civil (RCC).</t>
        </r>
      </text>
    </comment>
    <comment ref="F3" authorId="0" shapeId="0" xr:uid="{00000000-0006-0000-0900-000002000000}">
      <text>
        <r>
          <rPr>
            <b/>
            <sz val="10"/>
            <color indexed="81"/>
            <rFont val="Tahoma"/>
            <family val="2"/>
          </rPr>
          <t xml:space="preserve">Considerar edificações, instalações e equipamentos exclusivos para essas atividades, quando a unidade estiver situada na área do aterro ou da unidade de transbordo. </t>
        </r>
        <r>
          <rPr>
            <sz val="10"/>
            <color indexed="81"/>
            <rFont val="Tahoma"/>
            <family val="2"/>
          </rPr>
          <t xml:space="preserve">
Não considerar a parcela do terreno neste caso.</t>
        </r>
      </text>
    </comment>
    <comment ref="H3" authorId="0" shapeId="0" xr:uid="{00000000-0006-0000-0900-000003000000}">
      <text>
        <r>
          <rPr>
            <b/>
            <sz val="10"/>
            <color indexed="81"/>
            <rFont val="Tahoma"/>
            <family val="2"/>
          </rPr>
          <t>Considerar os ecopontos se destinados ao recebimento e/ou triagem de materiais e de resíduos domiciliares recicláveis e/ou destinados para transbordo para o aterro sanitário.</t>
        </r>
        <r>
          <rPr>
            <sz val="9"/>
            <color indexed="81"/>
            <rFont val="Tahoma"/>
            <family val="2"/>
          </rPr>
          <t xml:space="preserve">
</t>
        </r>
      </text>
    </comment>
    <comment ref="J3" authorId="0" shapeId="0" xr:uid="{00000000-0006-0000-0900-000004000000}">
      <text>
        <r>
          <rPr>
            <b/>
            <sz val="10"/>
            <color indexed="81"/>
            <rFont val="Tahoma"/>
            <family val="2"/>
          </rPr>
          <t>Unidade de destinação/disposição final de resísuos domiciliares e urbanos.</t>
        </r>
      </text>
    </comment>
    <comment ref="L3" authorId="0" shapeId="0" xr:uid="{00000000-0006-0000-0900-000005000000}">
      <text>
        <r>
          <rPr>
            <b/>
            <sz val="10"/>
            <color rgb="FF000000"/>
            <rFont val="Tahoma"/>
            <family val="2"/>
          </rPr>
          <t xml:space="preserve">Considerar somente os bens de uso exclusivo ou predominante em atividades do serviço de manejo de resíduos sólidos urbanos. </t>
        </r>
      </text>
    </comment>
    <comment ref="C4" authorId="0" shapeId="0" xr:uid="{00000000-0006-0000-0900-000006000000}">
      <text>
        <r>
          <rPr>
            <b/>
            <sz val="10"/>
            <color indexed="81"/>
            <rFont val="Tahoma"/>
            <family val="2"/>
          </rPr>
          <t>Considerar o percentual ou valor proporcional à vida útil esperada dos bens sempre que for possível estimar.</t>
        </r>
        <r>
          <rPr>
            <sz val="10"/>
            <color indexed="81"/>
            <rFont val="Tahoma"/>
            <family val="2"/>
          </rPr>
          <t xml:space="preserve">
</t>
        </r>
      </text>
    </comment>
    <comment ref="D4" authorId="0" shapeId="0" xr:uid="{00000000-0006-0000-0900-000007000000}">
      <text>
        <r>
          <rPr>
            <b/>
            <sz val="11"/>
            <color indexed="81"/>
            <rFont val="Tahoma"/>
            <family val="2"/>
          </rPr>
          <t>Informar o mês de aquisição ou de término da construção e/ou de início de operação, conforme o tipo do bem.</t>
        </r>
        <r>
          <rPr>
            <sz val="11"/>
            <color indexed="81"/>
            <rFont val="Tahoma"/>
            <family val="2"/>
          </rPr>
          <t xml:space="preserve">
</t>
        </r>
        <r>
          <rPr>
            <b/>
            <sz val="11"/>
            <color indexed="81"/>
            <rFont val="Tahoma"/>
            <family val="2"/>
          </rPr>
          <t>Para obras de edificações ou de implantação de aterro, informar o mês em que foi entregue para início de utilização.
No caso de terrenos, considerar o mês de entrega ou inicío da posse efetiva.
Se houver aquisição/construção de muitos bens da mesma espécie em anos/meses diferentes, inserir mais linhas para cada tipo de bem.</t>
        </r>
      </text>
    </comment>
    <comment ref="E4" authorId="0" shapeId="0" xr:uid="{00000000-0006-0000-0900-000008000000}">
      <text>
        <r>
          <rPr>
            <b/>
            <sz val="10"/>
            <color indexed="81"/>
            <rFont val="Tahoma"/>
            <family val="2"/>
          </rPr>
          <t xml:space="preserve">Informar o </t>
        </r>
        <r>
          <rPr>
            <b/>
            <sz val="10"/>
            <color indexed="10"/>
            <rFont val="Tahoma"/>
            <family val="2"/>
          </rPr>
          <t xml:space="preserve">valor original e o mês e ano </t>
        </r>
        <r>
          <rPr>
            <b/>
            <sz val="10"/>
            <color indexed="81"/>
            <rFont val="Tahoma"/>
            <family val="2"/>
          </rPr>
          <t xml:space="preserve">de aquisição ou de entrega da construção registrados na contabilidade e/ou no controle do patrimônio.
Para obras, considerar o custo final de construção e/ou implantação, inclusive despesas preliminares de estudos e projetos.
No caso de bens imóveis muito antigos ou sem registro contábil adequado, considerar o valor de reavaliação a preço de mercado ou de reposição atual e vida útil restante estimada.
Observar que as informações sobre bens móveis (veículos, máquinas, mobiliário etc.) normalmente estão registradas no Controle do Patrimônio (inventário). 
</t>
        </r>
        <r>
          <rPr>
            <sz val="10"/>
            <color indexed="81"/>
            <rFont val="Tahoma"/>
            <family val="2"/>
          </rPr>
          <t xml:space="preserve">
No caso de construção/implantação com pessoal e equipamentos próprios e com materiais adquiridos ou do almoxarifado geral da Prefeitura, o responsável pela execução deve apropriar todos os gastos realizados durante a execução (pessoal, materiais e equipamentos).
No caso de bens, especialmente veículos de coleta, utilizados parcialmente na prestação do serviço, considerar os valores proporcionais à média de tempo (diário, semanal ou mensal) de utilização no serviço.</t>
        </r>
      </text>
    </comment>
    <comment ref="F4" authorId="0" shapeId="0" xr:uid="{00000000-0006-0000-0900-000009000000}">
      <text>
        <r>
          <rPr>
            <b/>
            <sz val="10"/>
            <color rgb="FF000000"/>
            <rFont val="Tahoma"/>
            <family val="2"/>
          </rPr>
          <t>Informar o mês de aquisição ou de término da construção e/ou de início de operação, conforme o tipo do bem.</t>
        </r>
        <r>
          <rPr>
            <sz val="10"/>
            <color rgb="FF000000"/>
            <rFont val="Tahoma"/>
            <family val="2"/>
          </rPr>
          <t xml:space="preserve">
</t>
        </r>
        <r>
          <rPr>
            <b/>
            <sz val="10"/>
            <color rgb="FF000000"/>
            <rFont val="Tahoma"/>
            <family val="2"/>
          </rPr>
          <t>Para obras de edificações ou de implantação de aterro, informar o mês em que foi entregue para início de utilização.
No caso de terrenos, considerar o mês de entrega ou inicío da posse efetiva.
Se houver aquisição/construção de muitos bens da mesma espécie em anos/meses diferentes,inserir mais linhas para cada tipo de bem.</t>
        </r>
      </text>
    </comment>
    <comment ref="H4" authorId="0" shapeId="0" xr:uid="{00000000-0006-0000-0900-00000A000000}">
      <text>
        <r>
          <rPr>
            <b/>
            <sz val="10"/>
            <color rgb="FF000000"/>
            <rFont val="Tahoma"/>
            <family val="2"/>
          </rPr>
          <t>Informar o mês de aquisição ou de término da construção e/ou de início de operação, conforme o tipo do bem.</t>
        </r>
        <r>
          <rPr>
            <sz val="10"/>
            <color rgb="FF000000"/>
            <rFont val="Tahoma"/>
            <family val="2"/>
          </rPr>
          <t xml:space="preserve">
</t>
        </r>
        <r>
          <rPr>
            <b/>
            <sz val="10"/>
            <color rgb="FF000000"/>
            <rFont val="Tahoma"/>
            <family val="2"/>
          </rPr>
          <t>Para obras de edificações ou de implantação de aterro, informar o mês em que foi entregue para início de utilização.
No caso de terrenos, considerar o mês de entrega ou inicío da posse efetiva.
Se houver aquisição/construção de muitos bens da mesma espécie em anos/meses diferentes, inserir mais linhas para cada tipo de bem.</t>
        </r>
      </text>
    </comment>
    <comment ref="J4" authorId="0" shapeId="0" xr:uid="{00000000-0006-0000-0900-00000B000000}">
      <text>
        <r>
          <rPr>
            <b/>
            <sz val="10"/>
            <color indexed="81"/>
            <rFont val="Tahoma"/>
            <family val="2"/>
          </rPr>
          <t>Informar o mês de aquisição ou de término da construção e/ou de início de operação, conforme o tipo do bem.</t>
        </r>
        <r>
          <rPr>
            <sz val="10"/>
            <color indexed="81"/>
            <rFont val="Tahoma"/>
            <family val="2"/>
          </rPr>
          <t xml:space="preserve">
</t>
        </r>
        <r>
          <rPr>
            <b/>
            <sz val="10"/>
            <color indexed="81"/>
            <rFont val="Tahoma"/>
            <family val="2"/>
          </rPr>
          <t>Para obras de edificações ou de implantação de aterro, informar o mês em que foi entregue para início de utilização.
No caso de terrenos, considerar o mês de entrega ou inicío da posse efetiva.
Se houver aquisição/construção de muitos bens da mesma espécie em anos/meses diferentes, inserir mais linhas para cada tipo de bem.</t>
        </r>
      </text>
    </comment>
    <comment ref="L4" authorId="0" shapeId="0" xr:uid="{00000000-0006-0000-0900-00000C000000}">
      <text>
        <r>
          <rPr>
            <b/>
            <sz val="10"/>
            <color indexed="81"/>
            <rFont val="Tahoma"/>
            <family val="2"/>
          </rPr>
          <t>Informar o mês de aquisição ou de término da construção e/ou de início de operação, conforme o tipo do bem.</t>
        </r>
        <r>
          <rPr>
            <sz val="10"/>
            <color indexed="81"/>
            <rFont val="Tahoma"/>
            <family val="2"/>
          </rPr>
          <t xml:space="preserve">
</t>
        </r>
        <r>
          <rPr>
            <b/>
            <sz val="10"/>
            <color indexed="81"/>
            <rFont val="Tahoma"/>
            <family val="2"/>
          </rPr>
          <t>Para obras de edificações ou de implantação de aterro, informar o mês em que foi entregue para início de utilização.
No caso de terrenos, considerar o mês de entrega ou inicío da posse efetiva.
Se houver aquisição/construção de muitos bens da mesma espécie em anos/meses diferentes, inserir mais linhas para cada tipo de bem.</t>
        </r>
      </text>
    </comment>
    <comment ref="B5" authorId="0" shapeId="0" xr:uid="{00000000-0006-0000-0900-00000D000000}">
      <text>
        <r>
          <rPr>
            <b/>
            <sz val="10"/>
            <color rgb="FF000000"/>
            <rFont val="Tahoma"/>
            <family val="2"/>
          </rPr>
          <t>Terrenos com edificações ou atividades de natureza permanente, inclusive localizadas dentro da área do aterro sanitário (escritórios, pátio de operação, unidades de triagem, compostagem, transbordo, ecopontos etc.)</t>
        </r>
        <r>
          <rPr>
            <sz val="10"/>
            <color rgb="FF000000"/>
            <rFont val="Tahoma"/>
            <family val="2"/>
          </rPr>
          <t xml:space="preserve">
</t>
        </r>
      </text>
    </comment>
    <comment ref="B7" authorId="0" shapeId="0" xr:uid="{00000000-0006-0000-0900-00000E000000}">
      <text>
        <r>
          <rPr>
            <b/>
            <sz val="10"/>
            <color rgb="FF000000"/>
            <rFont val="Tahoma"/>
            <family val="2"/>
          </rPr>
          <t xml:space="preserve">Considerar o valor da parcela do terreno destinada ao aterramento de resíduos e a infraestruturas e instalações que serão desativadas ou encerradas com o aterro (área que não poderá ser vendida ou utilizada para qualquer outra atividade do serviço). </t>
        </r>
        <r>
          <rPr>
            <sz val="9"/>
            <color rgb="FF000000"/>
            <rFont val="Tahoma"/>
            <family val="2"/>
          </rPr>
          <t xml:space="preserve">
</t>
        </r>
      </text>
    </comment>
    <comment ref="C7" authorId="0" shapeId="0" xr:uid="{00000000-0006-0000-0900-00000F000000}">
      <text>
        <r>
          <rPr>
            <b/>
            <sz val="10"/>
            <color rgb="FF000000"/>
            <rFont val="Tahoma"/>
            <family val="2"/>
          </rPr>
          <t>Considerar a taxa percentual correspondente a toda a vida útil do terreno destinado ao aterramento de resíduos, inclusive expansão do projeto original.</t>
        </r>
        <r>
          <rPr>
            <sz val="10"/>
            <color rgb="FF000000"/>
            <rFont val="Tahoma"/>
            <family val="2"/>
          </rPr>
          <t xml:space="preserve">
Por exemplo: 4% para 25 anos, 2,5% para 40 anos e assim por diante</t>
        </r>
      </text>
    </comment>
    <comment ref="B9" authorId="0" shapeId="0" xr:uid="{00000000-0006-0000-0900-000010000000}">
      <text>
        <r>
          <rPr>
            <b/>
            <sz val="10"/>
            <color rgb="FF000000"/>
            <rFont val="Tahoma"/>
            <family val="2"/>
          </rPr>
          <t>Portaria, escritório, vestiário, refeitório, galpão de garagem ou estoque de materiais, unidade de tratamento de chorume, cercamento, iluminação etc.</t>
        </r>
        <r>
          <rPr>
            <sz val="9"/>
            <color rgb="FF000000"/>
            <rFont val="Tahoma"/>
            <family val="2"/>
          </rPr>
          <t xml:space="preserve">
</t>
        </r>
      </text>
    </comment>
    <comment ref="C9" authorId="0" shapeId="0" xr:uid="{00000000-0006-0000-0900-000011000000}">
      <text>
        <r>
          <rPr>
            <b/>
            <sz val="10"/>
            <color rgb="FF000000"/>
            <rFont val="Tahoma"/>
            <family val="2"/>
          </rPr>
          <t>Considerar a taxa percentual correspondente à vida útil de toda a unidade do aterro sanitário.</t>
        </r>
        <r>
          <rPr>
            <sz val="10"/>
            <color rgb="FF000000"/>
            <rFont val="Tahoma"/>
            <family val="2"/>
          </rPr>
          <t xml:space="preserve">
Por exemplo: 4% para 25 anos, 2,5% para 40 anos e assim por diante</t>
        </r>
      </text>
    </comment>
    <comment ref="C12" authorId="0" shapeId="0" xr:uid="{00000000-0006-0000-0900-000013000000}">
      <text>
        <r>
          <rPr>
            <b/>
            <sz val="10"/>
            <color rgb="FF000000"/>
            <rFont val="Tahoma"/>
            <family val="2"/>
          </rPr>
          <t>Para aterro em células implantadas sequencialemente, pode-se adotar taxa específica para cada nova célula, conforme sua vida útil, apropriando-se dos respectivos custos de construção separadamente. Isso permite distribuir as despesas de depreciação/exaustão de modo mais uniforme no tempo.</t>
        </r>
        <r>
          <rPr>
            <sz val="9"/>
            <color rgb="FF000000"/>
            <rFont val="Tahoma"/>
            <family val="2"/>
          </rPr>
          <t xml:space="preserve">
</t>
        </r>
      </text>
    </comment>
    <comment ref="B16" authorId="0" shapeId="0" xr:uid="{00000000-0006-0000-0900-000014000000}">
      <text>
        <r>
          <rPr>
            <b/>
            <sz val="10"/>
            <color rgb="FF000000"/>
            <rFont val="Tahoma"/>
            <family val="2"/>
          </rPr>
          <t>Inclusive de atividades localizadas dentro da área do aterro ou central de tratamento, que serão de uso permanente depois do encerramento da parte do aterro.</t>
        </r>
      </text>
    </comment>
    <comment ref="B29" authorId="0" shapeId="0" xr:uid="{00000000-0006-0000-0900-000015000000}">
      <text>
        <r>
          <rPr>
            <b/>
            <sz val="10"/>
            <color rgb="FF000000"/>
            <rFont val="Tahoma"/>
            <family val="2"/>
          </rPr>
          <t>Estas informações podem ser obtidas regularmente no Departamento de Pessoal da Prefeitura.</t>
        </r>
        <r>
          <rPr>
            <sz val="10"/>
            <color rgb="FF000000"/>
            <rFont val="Tahoma"/>
            <family val="2"/>
          </rPr>
          <t xml:space="preserve">
</t>
        </r>
        <r>
          <rPr>
            <sz val="10"/>
            <color rgb="FFFF0000"/>
            <rFont val="Tahoma"/>
            <family val="2"/>
          </rPr>
          <t>Desconsiderar ou excluir o serviço/atividade inexistente no Município.</t>
        </r>
      </text>
    </comment>
    <comment ref="G30" authorId="0" shapeId="0" xr:uid="{00000000-0006-0000-0900-000016000000}">
      <text>
        <r>
          <rPr>
            <b/>
            <sz val="10"/>
            <color rgb="FF000000"/>
            <rFont val="Tahoma"/>
            <family val="2"/>
          </rPr>
          <t>Para o ano corrente, gerenciar as despesas mês a mês e totalizar no final do ano. Inserindo nova coluna para o ano seguinte e substituir o ano nas colunas mensais.</t>
        </r>
        <r>
          <rPr>
            <sz val="9"/>
            <color rgb="FF000000"/>
            <rFont val="Tahoma"/>
            <family val="2"/>
          </rPr>
          <t xml:space="preserve">
</t>
        </r>
      </text>
    </comment>
    <comment ref="B34" authorId="0" shapeId="0" xr:uid="{00000000-0006-0000-0900-000017000000}">
      <text>
        <r>
          <rPr>
            <b/>
            <sz val="10"/>
            <color rgb="FF000000"/>
            <rFont val="Tahoma"/>
            <family val="2"/>
          </rPr>
          <t>Inserir mais linhas se for preciso</t>
        </r>
      </text>
    </comment>
    <comment ref="B41" authorId="0" shapeId="0" xr:uid="{00000000-0006-0000-0900-000018000000}">
      <text>
        <r>
          <rPr>
            <b/>
            <sz val="10"/>
            <color indexed="81"/>
            <rFont val="Tahoma"/>
            <family val="2"/>
          </rPr>
          <t>Inserir mais linhas se for preciso</t>
        </r>
      </text>
    </comment>
    <comment ref="B46" authorId="0" shapeId="0" xr:uid="{00000000-0006-0000-0900-000019000000}">
      <text>
        <r>
          <rPr>
            <b/>
            <sz val="10"/>
            <color rgb="FF000000"/>
            <rFont val="Tahoma"/>
            <family val="2"/>
          </rPr>
          <t>Inserir mais linhas se for preciso</t>
        </r>
      </text>
    </comment>
    <comment ref="B51" authorId="0" shapeId="0" xr:uid="{00000000-0006-0000-0900-00001A000000}">
      <text>
        <r>
          <rPr>
            <b/>
            <sz val="10"/>
            <color indexed="81"/>
            <rFont val="Tahoma"/>
            <family val="2"/>
          </rPr>
          <t>Inserir mais linhas se for preciso</t>
        </r>
      </text>
    </comment>
    <comment ref="B58" authorId="0" shapeId="0" xr:uid="{00000000-0006-0000-0900-00001B000000}">
      <text>
        <r>
          <rPr>
            <b/>
            <sz val="10"/>
            <color indexed="81"/>
            <rFont val="Tahoma"/>
            <family val="2"/>
          </rPr>
          <t>Inserir mais linhas se for preciso</t>
        </r>
      </text>
    </comment>
    <comment ref="B62" authorId="0" shapeId="0" xr:uid="{00000000-0006-0000-0900-00001C000000}">
      <text>
        <r>
          <rPr>
            <b/>
            <sz val="10"/>
            <color rgb="FF000000"/>
            <rFont val="Tahoma"/>
            <family val="2"/>
          </rPr>
          <t>Pessoal contratado substitutivo de pessoal próprio para atividades continuadas ou temporárias (vigilância, copa e limpeza, composição de equipes das atividades administrativas e operacionais).
Estas informações podem ser obtidas regularmente no Departamento de Pessoal da Prefeitura.</t>
        </r>
        <r>
          <rPr>
            <sz val="10"/>
            <color rgb="FF000000"/>
            <rFont val="Tahoma"/>
            <family val="2"/>
          </rPr>
          <t xml:space="preserve">
</t>
        </r>
        <r>
          <rPr>
            <sz val="10"/>
            <color rgb="FFFF0000"/>
            <rFont val="Tahoma"/>
            <family val="2"/>
          </rPr>
          <t>Desconsiderar ou excluir o serviço/atividade inexistente no Município).</t>
        </r>
      </text>
    </comment>
    <comment ref="G63" authorId="0" shapeId="0" xr:uid="{00000000-0006-0000-0900-00001D000000}">
      <text>
        <r>
          <rPr>
            <b/>
            <sz val="10"/>
            <color rgb="FF000000"/>
            <rFont val="Tahoma"/>
            <family val="2"/>
          </rPr>
          <t>Para o ano corrente, gerenciar as despesas mês a mês e totalizar no final do ano. Inserir nova coluna para o ano seguinte e substituir o ano nas colunas mensais.</t>
        </r>
      </text>
    </comment>
    <comment ref="B71" authorId="0" shapeId="0" xr:uid="{00000000-0006-0000-0900-00001E000000}">
      <text>
        <r>
          <rPr>
            <b/>
            <sz val="10"/>
            <color rgb="FF000000"/>
            <rFont val="Tahoma"/>
            <family val="2"/>
          </rPr>
          <t xml:space="preserve">Estas informações podem ser obtidas regularmente na área responsável pelo gerenciamento dos contratos.
No caso de contratos com serviços compartilhados por mais de uma atividade, informar os valores medidos ou estimados proporcionalmente para cada uma.   </t>
        </r>
        <r>
          <rPr>
            <sz val="10"/>
            <color rgb="FF000000"/>
            <rFont val="Tahoma"/>
            <family val="2"/>
          </rPr>
          <t xml:space="preserve">
</t>
        </r>
        <r>
          <rPr>
            <sz val="10"/>
            <color rgb="FFFF0000"/>
            <rFont val="Tahoma"/>
            <family val="2"/>
          </rPr>
          <t>Desconsiderar ou excluir o serviço/atividade inexistente no Município.</t>
        </r>
      </text>
    </comment>
    <comment ref="G72" authorId="0" shapeId="0" xr:uid="{00000000-0006-0000-0900-00001F000000}">
      <text>
        <r>
          <rPr>
            <b/>
            <sz val="10"/>
            <color indexed="81"/>
            <rFont val="Tahoma"/>
            <family val="2"/>
          </rPr>
          <t>Para o ano corrente, gerenciar as despesas mês a mês e totalizar no final do ano. Inserir nova coluna para o ano seguinte e substituir o ano nas colunas mensais</t>
        </r>
      </text>
    </comment>
    <comment ref="B80" authorId="0" shapeId="0" xr:uid="{00000000-0006-0000-0900-000020000000}">
      <text>
        <r>
          <rPr>
            <b/>
            <sz val="9"/>
            <color rgb="FF000000"/>
            <rFont val="Tahoma"/>
            <family val="2"/>
          </rPr>
          <t xml:space="preserve">Estas informações podem ser obtidas regularmente na área responsável pelo gerenciamento dos contratos.
</t>
        </r>
        <r>
          <rPr>
            <b/>
            <sz val="9"/>
            <color rgb="FF000000"/>
            <rFont val="Tahoma"/>
            <family val="2"/>
          </rPr>
          <t xml:space="preserve">No caso de contratos com bens compartilhados por mais de uma atividade, informar os valores medidos ou estimados proporcionalmente para cada uma. </t>
        </r>
        <r>
          <rPr>
            <sz val="9"/>
            <color rgb="FF000000"/>
            <rFont val="Tahoma"/>
            <family val="2"/>
          </rPr>
          <t xml:space="preserve">
</t>
        </r>
        <r>
          <rPr>
            <sz val="9"/>
            <color rgb="FFFF0000"/>
            <rFont val="Tahoma"/>
            <family val="2"/>
          </rPr>
          <t>Desconsiderar ou excluir o serviço/atividade inexistente no Município.</t>
        </r>
      </text>
    </comment>
    <comment ref="G81" authorId="0" shapeId="0" xr:uid="{00000000-0006-0000-0900-000021000000}">
      <text>
        <r>
          <rPr>
            <b/>
            <sz val="9"/>
            <color indexed="81"/>
            <rFont val="Tahoma"/>
            <family val="2"/>
          </rPr>
          <t>Para o ano corrente, gerenciar as despesas mês a mês e totalizar no final do ano. Inserir nova coluna para o ano seguinte e substituir o ano nas colunas mensais.</t>
        </r>
      </text>
    </comment>
    <comment ref="B89" authorId="0" shapeId="0" xr:uid="{00000000-0006-0000-0900-000022000000}">
      <text>
        <r>
          <rPr>
            <b/>
            <sz val="10"/>
            <color rgb="FF000000"/>
            <rFont val="Tahoma"/>
            <family val="2"/>
          </rPr>
          <t>Estas informações podem ser obtidas  junto à área responsável pelo gerenciamento da frota, ou pode ser estimada com base no gasto médio por veículo e máquinas da Prefeitura.</t>
        </r>
        <r>
          <rPr>
            <sz val="10"/>
            <color rgb="FF000000"/>
            <rFont val="Tahoma"/>
            <family val="2"/>
          </rPr>
          <t xml:space="preserve">
</t>
        </r>
        <r>
          <rPr>
            <sz val="10"/>
            <color rgb="FFFF0000"/>
            <rFont val="Tahoma"/>
            <family val="2"/>
          </rPr>
          <t>Desconsiderar ou excluir o serviço/atividade inexistente no Município.</t>
        </r>
      </text>
    </comment>
    <comment ref="G90" authorId="0" shapeId="0" xr:uid="{00000000-0006-0000-0900-000023000000}">
      <text>
        <r>
          <rPr>
            <b/>
            <sz val="10"/>
            <color indexed="81"/>
            <rFont val="Tahoma"/>
            <family val="2"/>
          </rPr>
          <t>Para o ano corrente, gerenciar as despesas mês a mês e totalizar no final do ano. Inserir nova coluna para o ano seguinte e substituir o ano nas colunas mensais.</t>
        </r>
      </text>
    </comment>
    <comment ref="B98" authorId="0" shapeId="0" xr:uid="{00000000-0006-0000-0900-000024000000}">
      <text>
        <r>
          <rPr>
            <b/>
            <sz val="10"/>
            <color rgb="FF000000"/>
            <rFont val="Tahoma"/>
            <family val="2"/>
          </rPr>
          <t xml:space="preserve">Estas despesas devem ser gerenciadas pelos responsáveis das atividades ou unidades administrativas e operacionais do serviço.
Considerar somente as despesas identificáveis e exclusivas das atividades reacionadas ao serviço.  </t>
        </r>
        <r>
          <rPr>
            <sz val="10"/>
            <color rgb="FF000000"/>
            <rFont val="Tahoma"/>
            <family val="2"/>
          </rPr>
          <t xml:space="preserve">
</t>
        </r>
        <r>
          <rPr>
            <sz val="10"/>
            <color rgb="FFFF0000"/>
            <rFont val="Tahoma"/>
            <family val="2"/>
          </rPr>
          <t>Desconsiderar ou excluir o serviço/atividade inexistente no Município.</t>
        </r>
      </text>
    </comment>
    <comment ref="G99" authorId="0" shapeId="0" xr:uid="{00000000-0006-0000-0900-000025000000}">
      <text>
        <r>
          <rPr>
            <b/>
            <sz val="10"/>
            <color indexed="81"/>
            <rFont val="Tahoma"/>
            <family val="2"/>
          </rPr>
          <t>Para o ano corrente, gerenciar as despesas mês a mês e totalizar no final do ano. Inserir nova coluna para o ano seguinte e substituir o ano nas colunas mensais.</t>
        </r>
      </text>
    </comment>
    <comment ref="B107" authorId="0" shapeId="0" xr:uid="{00000000-0006-0000-0900-000026000000}">
      <text>
        <r>
          <rPr>
            <b/>
            <sz val="10"/>
            <color rgb="FF000000"/>
            <rFont val="Tahoma"/>
            <family val="2"/>
          </rPr>
          <t xml:space="preserve">Estas despesas devem ser gerenciadas pelos responsáveis das atividades ou unidades administrativas e operacionais do serviço.
Considerar somente as despesas identificáveis e exclusivas das atividades reacionadas ao serviço.  </t>
        </r>
        <r>
          <rPr>
            <b/>
            <sz val="9"/>
            <color rgb="FF000000"/>
            <rFont val="Tahoma"/>
            <family val="2"/>
          </rPr>
          <t xml:space="preserve">
</t>
        </r>
      </text>
    </comment>
    <comment ref="G108" authorId="0" shapeId="0" xr:uid="{00000000-0006-0000-0900-000027000000}">
      <text>
        <r>
          <rPr>
            <b/>
            <sz val="10"/>
            <color rgb="FF000000"/>
            <rFont val="Tahoma"/>
            <family val="2"/>
          </rPr>
          <t>Para o ano corrente, gerenciar as despesas mês a mês e totalizar no final do ano. Inserir nova coluna para o ano seguinte e substituir o ano nas colunas mensais.</t>
        </r>
      </text>
    </comment>
    <comment ref="B109" authorId="0" shapeId="0" xr:uid="{00000000-0006-0000-0900-000028000000}">
      <text>
        <r>
          <rPr>
            <b/>
            <sz val="10"/>
            <color rgb="FF000000"/>
            <rFont val="Tahoma"/>
            <family val="2"/>
          </rPr>
          <t>Despesas com processamento, emissão e entrega de contas, e com tarifas bancárias de arrecadação.
Essa informação pode ser obtida na área responsável pela arrecadação da cobrança ou controle das movimentações bancárias.</t>
        </r>
        <r>
          <rPr>
            <sz val="10"/>
            <color rgb="FF000000"/>
            <rFont val="Tahoma"/>
            <family val="2"/>
          </rPr>
          <t xml:space="preserve">
Não considerar se a cobrança do serviço for feita junto com o IPTU, ou por empresa prestadora de outros serviços (nesse caso, estará incluída em serviços de terceiros.</t>
        </r>
      </text>
    </comment>
    <comment ref="B110" authorId="0" shapeId="0" xr:uid="{00000000-0006-0000-0900-000029000000}">
      <text>
        <r>
          <rPr>
            <b/>
            <sz val="10"/>
            <color rgb="FF000000"/>
            <rFont val="Tahoma"/>
            <family val="2"/>
          </rPr>
          <t>Despesas não incluídas nos itens anteriores.
Essas despesas devem ser gerenciadas pelos responsáveis pelas atividades ou unidades administrativas e operacionais do serviço.
Considerar somente as despesas identificáveis e exclusivas das atividades relacionadas ao serviço.</t>
        </r>
      </text>
    </comment>
    <comment ref="B111" authorId="0" shapeId="0" xr:uid="{00000000-0006-0000-0900-00002A000000}">
      <text>
        <r>
          <rPr>
            <b/>
            <sz val="10"/>
            <color rgb="FF000000"/>
            <rFont val="Tahoma"/>
            <family val="2"/>
          </rPr>
          <t>Despesas de ocorrência eventual ou em situações extraordinárias, não provisionadas ou imprevisíveis, tais como desativação de lixões, indenizações civis e passivos trabalhistas, ocorrências de greves, calamidades e catástrofes etc.
Essas despesas devem ser gerenciadas pelos responsáveis pelas atividades ou unidades administrativas e operacionais do serviço.
Considerar somente as despesas identificáveis e exclusivas das atividades relacionadas ao serviço.</t>
        </r>
      </text>
    </comment>
    <comment ref="B112" authorId="0" shapeId="0" xr:uid="{00000000-0006-0000-0900-00002B000000}">
      <text>
        <r>
          <rPr>
            <b/>
            <sz val="10"/>
            <color rgb="FF000000"/>
            <rFont val="Tahoma"/>
            <family val="2"/>
          </rPr>
          <t>Provisão de despesas com gastos futuros relativos a ações civis ou trabalhistas ajuizadas no ano, encerramento de aterro sanitário, desativação de lixão etc.
Essas despesas podem ser obtidas na área jurídica responsável pelas ações judiciais e no Departamento de Pessoal.</t>
        </r>
      </text>
    </comment>
    <comment ref="E116" authorId="0" shapeId="0" xr:uid="{00000000-0006-0000-0900-00002C000000}">
      <text>
        <r>
          <rPr>
            <b/>
            <sz val="10"/>
            <color indexed="81"/>
            <rFont val="Tahoma"/>
            <family val="2"/>
          </rPr>
          <t xml:space="preserve">Valores médios de 2017
</t>
        </r>
        <r>
          <rPr>
            <sz val="9"/>
            <color indexed="81"/>
            <rFont val="Tahoma"/>
            <family val="2"/>
          </rPr>
          <t xml:space="preserve">
</t>
        </r>
      </text>
    </comment>
  </commentList>
</comments>
</file>

<file path=xl/sharedStrings.xml><?xml version="1.0" encoding="utf-8"?>
<sst xmlns="http://schemas.openxmlformats.org/spreadsheetml/2006/main" count="839" uniqueCount="597">
  <si>
    <t>Quantidade de resíduos movimentados</t>
  </si>
  <si>
    <t>NOTAS</t>
  </si>
  <si>
    <t>Valores</t>
  </si>
  <si>
    <t>Valor de aquisição acumulado</t>
  </si>
  <si>
    <t>(-) Valor da depreciação acumulada</t>
  </si>
  <si>
    <t>ELEMENTOS DAS RECEITAS</t>
  </si>
  <si>
    <t>Elementos contábeis</t>
  </si>
  <si>
    <t>Alocações (bens)</t>
  </si>
  <si>
    <t>Veículos, máquinas e equipamentos operacionais</t>
  </si>
  <si>
    <t>Mobiliários e outros bens móveis</t>
  </si>
  <si>
    <t>(-) Valor da depreciação/exaustão acumulada</t>
  </si>
  <si>
    <t>2. Não incluir arrecadação de multas e de encargos por inadimplência</t>
  </si>
  <si>
    <t>3. Doações e subvenções destinadas/vinculadas especificamente aos serviços (custeio ou investimentos)</t>
  </si>
  <si>
    <t>ELEMENTOS DAS DESPESAS (principais grupos/subgrupos de contas)</t>
  </si>
  <si>
    <t>Bens imóveis (terrenos)</t>
  </si>
  <si>
    <t>Bens imóveis (edificações e instalações)</t>
  </si>
  <si>
    <t>Atividades de Coleta de Resíduos</t>
  </si>
  <si>
    <t>Fonte: Relatórios gerenciais dos serviços</t>
  </si>
  <si>
    <t>Fonte: Relatórios gerenciais do Prestador</t>
  </si>
  <si>
    <t>Forma de cobrança</t>
  </si>
  <si>
    <t>Serviço</t>
  </si>
  <si>
    <t>Coleta convencional e destinação de RDO</t>
  </si>
  <si>
    <t>Preço público</t>
  </si>
  <si>
    <t>Categoria/Tipologia de domicílios/usuários</t>
  </si>
  <si>
    <t>Disposição de RDO, RCC e RSS em unidades públicas (usuários contratados)</t>
  </si>
  <si>
    <t>Fontes: Relatórios contábeis e gerenciais  do prestador</t>
  </si>
  <si>
    <t>ELEMENTO DE DESPESAS (R$)</t>
  </si>
  <si>
    <t>Unidade</t>
  </si>
  <si>
    <t>Categoria</t>
  </si>
  <si>
    <t>Classe</t>
  </si>
  <si>
    <t>Frequência da coleta</t>
  </si>
  <si>
    <t>Subcategoria</t>
  </si>
  <si>
    <t>Residencial</t>
  </si>
  <si>
    <t>Social de baixa renda</t>
  </si>
  <si>
    <t>1 x semana</t>
  </si>
  <si>
    <t>3 x semana</t>
  </si>
  <si>
    <t>6 x semana</t>
  </si>
  <si>
    <t>Normal</t>
  </si>
  <si>
    <t>Industrial</t>
  </si>
  <si>
    <t>Pública e filantrópica</t>
  </si>
  <si>
    <t>Comercial e serviços</t>
  </si>
  <si>
    <t>Única</t>
  </si>
  <si>
    <t>Domicílio</t>
  </si>
  <si>
    <t>3 x sem</t>
  </si>
  <si>
    <t>TOTAIS</t>
  </si>
  <si>
    <t>Ativos imobilizados totais</t>
  </si>
  <si>
    <t>(-) Valor de depreciação/exaustão acumulado</t>
  </si>
  <si>
    <t>Valor de aquisição/construção acumulado</t>
  </si>
  <si>
    <t xml:space="preserve">Senha Provisória </t>
  </si>
  <si>
    <t>6.1</t>
  </si>
  <si>
    <t>6.2</t>
  </si>
  <si>
    <t>Terrenos</t>
  </si>
  <si>
    <t>Edificações e instalações</t>
  </si>
  <si>
    <t>Edificações e instalações de Transbordo</t>
  </si>
  <si>
    <t>Terrenos - uso permanente</t>
  </si>
  <si>
    <t>Edificações e instalações de uso permanente</t>
  </si>
  <si>
    <t>Unidades de Transbordo e Transporte para Central de Tratamento</t>
  </si>
  <si>
    <t>Terreno e instalações Aterro Sanitário (exaustão/amortiz.)</t>
  </si>
  <si>
    <t>Massa de resíduos recuperados nas unidades de triagem/processamento (ton)</t>
  </si>
  <si>
    <t>2.2 Serviços de coleta domiciliar convencional</t>
  </si>
  <si>
    <t>2.3 Serviços de coleta seletiva</t>
  </si>
  <si>
    <t>1.1 Pessoal próprio (inclui cedido de outros órgãos)</t>
  </si>
  <si>
    <t>1.2 Pessoal contratado (mão de obra terceirizada)</t>
  </si>
  <si>
    <t>2.5 Serviços de operação de unidade de transbordo e transporte</t>
  </si>
  <si>
    <t>2.6 Serviços de operação de central de tratamento ou aterro sanitário</t>
  </si>
  <si>
    <t>3.2 Central de operação da coleta (convencional e seletiva)</t>
  </si>
  <si>
    <t>3 Aluguel de imóveis</t>
  </si>
  <si>
    <t>3.1 Administração central</t>
  </si>
  <si>
    <t>3.4 Central de transbordo/triagem</t>
  </si>
  <si>
    <t>3.3 Galpão/área de triagem, compostagem e processamento (ecopontos)</t>
  </si>
  <si>
    <t>4.1 Uso geral (administração e apoio operacional)</t>
  </si>
  <si>
    <t>4.2 Coleta convencional</t>
  </si>
  <si>
    <t>4 Aluguel de veículos, máquinas e equipamentos</t>
  </si>
  <si>
    <t>4.3 Coleta seletiva</t>
  </si>
  <si>
    <t>4.5 Transbordo e transporte</t>
  </si>
  <si>
    <t>4.4 Unidade de triagem, compostagem e processamento (ecopontos)</t>
  </si>
  <si>
    <t>4.6 Central de tratamento ou aterro sanitário</t>
  </si>
  <si>
    <t>5 Combustível e manutenção de veículos, máquinas e equipamentos</t>
  </si>
  <si>
    <t>5.1 Uso geral (administração e apoio operacional)</t>
  </si>
  <si>
    <t>5.2 Coleta convencional</t>
  </si>
  <si>
    <t>5.3 Coleta seletiva</t>
  </si>
  <si>
    <t>5.4 Unidade de triagem, compostagem e processamento (ecopontos)</t>
  </si>
  <si>
    <t>5.5 Transbordo e transporte</t>
  </si>
  <si>
    <t>5.6 Central de tratamento ou aterro sanitário</t>
  </si>
  <si>
    <t>6 Energia elétrica</t>
  </si>
  <si>
    <t>6.1 Administração central</t>
  </si>
  <si>
    <t>6.2 Central de operação da coleta (convencional e seletiva)</t>
  </si>
  <si>
    <t>6.3 Unidade de triagem, compostagem e processamento (ecopontos)</t>
  </si>
  <si>
    <t>6.4 Central de transbordo/triagem</t>
  </si>
  <si>
    <t>6.5 Central de tratamento ou aterro sanitário</t>
  </si>
  <si>
    <t>7.1 Administração central</t>
  </si>
  <si>
    <t>7.2 Central de operação da coleta (convencional e seletiva)</t>
  </si>
  <si>
    <t>7.3 Unidade de triagem, compostagem e processamento (ecopontos)</t>
  </si>
  <si>
    <t>7.4 Central de transbordo/triagem</t>
  </si>
  <si>
    <t>7.5 Central de tratamento ou aterro sanitário</t>
  </si>
  <si>
    <t>8 Despesas com a cobrança e arrecadação de taxas e tarifas</t>
  </si>
  <si>
    <t>9 Despesas diversas</t>
  </si>
  <si>
    <t>1.1.2 Central de operação da coleta (convencional e seletiva)</t>
  </si>
  <si>
    <t>1.1.3 Unidade de triagem, compostagem e processamento (ecopontos)</t>
  </si>
  <si>
    <t>1.1.4 Central de transbordo/triagem</t>
  </si>
  <si>
    <t>1.1.5 Central de tratamento ou aterro sanitário</t>
  </si>
  <si>
    <t>1.2.1 Administração central</t>
  </si>
  <si>
    <t>1.2.2 Central de operação da coleta (convencional e seletiva)</t>
  </si>
  <si>
    <t>1.2.3 Unidade de triagem, compostagem e processamento (ecopontos)</t>
  </si>
  <si>
    <t>1.2.4 Central de transbordo/triagem</t>
  </si>
  <si>
    <t>1.2.5 Central de tratamento ou aterro sanitário</t>
  </si>
  <si>
    <t>Depreciação de ativos de unidades de processamento (triagem, compostagem), ecopontos</t>
  </si>
  <si>
    <t>7 Material de consumo</t>
  </si>
  <si>
    <t xml:space="preserve">9 Despesas diversas </t>
  </si>
  <si>
    <t>10 Despesas extraordinárias ou eventuais</t>
  </si>
  <si>
    <t xml:space="preserve">PIS/PASEP e outros tributos sobre a receita (C) </t>
  </si>
  <si>
    <t>Custo e ajustes regulatórios</t>
  </si>
  <si>
    <t xml:space="preserve">Acréscimos regulatórios (G)  </t>
  </si>
  <si>
    <t>Deduções regulatórias (H)</t>
  </si>
  <si>
    <t>Despesas com a regulação dos serviços (I)</t>
  </si>
  <si>
    <t xml:space="preserve">Opção 1 </t>
  </si>
  <si>
    <t>Opção 2</t>
  </si>
  <si>
    <t>Total de domicílios/usuários</t>
  </si>
  <si>
    <t>Fator de cálculo</t>
  </si>
  <si>
    <t>Opção 3</t>
  </si>
  <si>
    <t>Fatores de cálculo cumulativos</t>
  </si>
  <si>
    <t>Categoria de uso (a)</t>
  </si>
  <si>
    <t>Frequência da Coleta</t>
  </si>
  <si>
    <t>Consumo médio mensal de água (c)</t>
  </si>
  <si>
    <t>Alternada (b1)</t>
  </si>
  <si>
    <t>Diária (b2)</t>
  </si>
  <si>
    <t>Fator fixo</t>
  </si>
  <si>
    <t>Até 5 m³</t>
  </si>
  <si>
    <t>Fator variável por m³</t>
  </si>
  <si>
    <t>&gt; 5 a 15m³</t>
  </si>
  <si>
    <t>&gt; 15 a 25m³</t>
  </si>
  <si>
    <t>&gt; 25 a 35 m³</t>
  </si>
  <si>
    <t>&gt; 35 a 50 m³</t>
  </si>
  <si>
    <t>&gt; 50 m³ até o limite de 100 m³</t>
  </si>
  <si>
    <t>&gt; 50 m³ até o limite de 150 m³</t>
  </si>
  <si>
    <t xml:space="preserve"> </t>
  </si>
  <si>
    <t>&gt; 5 a 30 m³</t>
  </si>
  <si>
    <t>&gt; 30 a 100m³</t>
  </si>
  <si>
    <t>&gt; 100 a 500 m³</t>
  </si>
  <si>
    <t>&gt; 500 m³ até o limite de 1000 m³</t>
  </si>
  <si>
    <t>6.3</t>
  </si>
  <si>
    <t xml:space="preserve">Tabela 3.1 – Categoria Residencial e Pública </t>
  </si>
  <si>
    <t xml:space="preserve"> Tabela 3.2 – Categoria Comercial (inclusive prestadores de serviços)</t>
  </si>
  <si>
    <t>Tabela 3.3 – Categoria Industrial</t>
  </si>
  <si>
    <t>Opção 4</t>
  </si>
  <si>
    <t>Dados financeiros-contábeis dos serviços de manejo de resíduos</t>
  </si>
  <si>
    <t>RESIDENCIAL</t>
  </si>
  <si>
    <t>00 m³ a 10 m³</t>
  </si>
  <si>
    <t>11 m³ a 20 m³</t>
  </si>
  <si>
    <t>21 m³ a 30 m³</t>
  </si>
  <si>
    <t>31 m³ a 40 m³</t>
  </si>
  <si>
    <t>COMERCIAL</t>
  </si>
  <si>
    <t>6.4</t>
  </si>
  <si>
    <t>Massa de RDO coletada ANUALMENTE (coleta convencional)  (ton)</t>
  </si>
  <si>
    <t>Massa de resíduos recicláveis coletada ANUALMENTE (coleta seletiva)  (ton)</t>
  </si>
  <si>
    <t>Massa de RPU coletada ANUALMENTE (varrição, entulhos e outros) (ton)</t>
  </si>
  <si>
    <t>Ano Atual</t>
  </si>
  <si>
    <t>16 Despesas de regulação e fiscalização dos serviços (E)</t>
  </si>
  <si>
    <t>Fontes: Cadastro imobiliário de contribuintes do IPTU/TMRS e/ou Cadastro de usuários do prestador do serviço de manejo de resíduos ou de abastecimento de água.</t>
  </si>
  <si>
    <t>Data</t>
  </si>
  <si>
    <t>Despesas de juros e encargos de empréstimos (D)</t>
  </si>
  <si>
    <t>Saldo anterior</t>
  </si>
  <si>
    <t>Valor Básico de Cálculo (VBC)</t>
  </si>
  <si>
    <t>Anual</t>
  </si>
  <si>
    <t>Mensal</t>
  </si>
  <si>
    <t>Residencial normal</t>
  </si>
  <si>
    <t>De 10 a 20 m³</t>
  </si>
  <si>
    <t>Residencial social</t>
  </si>
  <si>
    <t>De 10 a 15 m³</t>
  </si>
  <si>
    <t>De 15 a 20 m³</t>
  </si>
  <si>
    <t>De 20 a 30 m³</t>
  </si>
  <si>
    <t>Comercial</t>
  </si>
  <si>
    <t>Pública</t>
  </si>
  <si>
    <t>5. Hipóteses de cobrança em regime de tarifa</t>
  </si>
  <si>
    <t>INDUSTRIAL</t>
  </si>
  <si>
    <t>11 m³ a 30 m³</t>
  </si>
  <si>
    <t>31 m³ a 50 m³</t>
  </si>
  <si>
    <t>101 m³ acima</t>
  </si>
  <si>
    <t>PÚBLICAS E ASSISTENCIAIS</t>
  </si>
  <si>
    <t>Células individuais de aterramento</t>
  </si>
  <si>
    <t xml:space="preserve">Terrenos </t>
  </si>
  <si>
    <t>Valor de construção acumulado</t>
  </si>
  <si>
    <t>Coleta de Resíduos</t>
  </si>
  <si>
    <t>Unidades de Triagem/Compostagem</t>
  </si>
  <si>
    <t>Unidade de Transbordo e Ecopontos</t>
  </si>
  <si>
    <t>Aterro ou Central de Tratamento</t>
  </si>
  <si>
    <t>Bens de Uso Geral do Serviço RSU</t>
  </si>
  <si>
    <t>Descrição dos bens</t>
  </si>
  <si>
    <t>Mês/Ano de Aquisição</t>
  </si>
  <si>
    <t>Valor</t>
  </si>
  <si>
    <t>Terrenos de uso permanente</t>
  </si>
  <si>
    <t>Células de aterramento</t>
  </si>
  <si>
    <t>Edificações, estruturas e instalações permanentes</t>
  </si>
  <si>
    <t>Apropriação das despesas administrativas e operacionais exclusivas com o serviço de manejo de resíduos sólidos urbanos</t>
  </si>
  <si>
    <t>Atividade ou área de alocação dos bens ==&gt;&gt;&gt;</t>
  </si>
  <si>
    <t>Cargo/Função</t>
  </si>
  <si>
    <t>(Nome 2...)</t>
  </si>
  <si>
    <t>(Nome 4...)</t>
  </si>
  <si>
    <t>.................</t>
  </si>
  <si>
    <t>(Nome 3...)</t>
  </si>
  <si>
    <t>1.1 Gerência e apoio administrativo</t>
  </si>
  <si>
    <t>2 Despesas com pessoal/mão de obra terceirizada</t>
  </si>
  <si>
    <t>2.1 Gerência e apoio administrativo</t>
  </si>
  <si>
    <t>5 Despesas com combustível e manutenção de veículos, máquinas e equipamentos</t>
  </si>
  <si>
    <t>7 Demais despesas</t>
  </si>
  <si>
    <t>3.1 Gerência e apoio administrativo</t>
  </si>
  <si>
    <t>4.1 Gerência e apoio administrativo</t>
  </si>
  <si>
    <t>5.1 Gerência e apoio administrativo</t>
  </si>
  <si>
    <t>6.1 Gerência e apoio administrativo</t>
  </si>
  <si>
    <t>7.1 Despesas com a cobrança e arrecadação de taxas e tarifas</t>
  </si>
  <si>
    <t xml:space="preserve">7.2 Despesas diversas </t>
  </si>
  <si>
    <t>7.3 Despesas extraordinárias ou eventuais</t>
  </si>
  <si>
    <t>II</t>
  </si>
  <si>
    <t>III</t>
  </si>
  <si>
    <t>Coleta</t>
  </si>
  <si>
    <t>Total</t>
  </si>
  <si>
    <t>Média/município</t>
  </si>
  <si>
    <t>10.001 a 20.000</t>
  </si>
  <si>
    <t>20.001 a 50.000</t>
  </si>
  <si>
    <t>50.001 a 100.000</t>
  </si>
  <si>
    <t>100.001 a 200.000</t>
  </si>
  <si>
    <t>200,001 a 500.000</t>
  </si>
  <si>
    <t>500.001 a 1000.000</t>
  </si>
  <si>
    <t xml:space="preserve">acima de 1000.001 </t>
  </si>
  <si>
    <t>Valores a preços de 2017</t>
  </si>
  <si>
    <t>Orientações, parâmetros e modelos de tabelas auxiliares para levantamento e controle gerencial dos custos dos serviços</t>
  </si>
  <si>
    <t>Nº ordem</t>
  </si>
  <si>
    <t>Termo/expressão/conceito</t>
  </si>
  <si>
    <t xml:space="preserve">Definição </t>
  </si>
  <si>
    <t>Fato gerador da cobrança</t>
  </si>
  <si>
    <t>Depreciação de ativo imobilizado</t>
  </si>
  <si>
    <t>Exaustão de ativo imobilizado</t>
  </si>
  <si>
    <t>Despesas indiretas (administrativas ou de apoio)</t>
  </si>
  <si>
    <t>Ativos imobilizados</t>
  </si>
  <si>
    <t>Todos os bens móveis e imóveis utilizados ou vinculados à prestação dos serviços.</t>
  </si>
  <si>
    <t>Ativo imobilizado líquido</t>
  </si>
  <si>
    <t>13 Despesas de depreciação e exaustão de ativos (B)</t>
  </si>
  <si>
    <t>Depreciação e exaustão de ativos imobilizados (B)</t>
  </si>
  <si>
    <t>Algumas informações e parâmetros referenciais para cálculo estimativo dos custos de serviços/atividades de manejo de resíduos sólidos urbanos</t>
  </si>
  <si>
    <t xml:space="preserve">Subtotal </t>
  </si>
  <si>
    <t>Subtotal</t>
  </si>
  <si>
    <t>De 30 a 50 m³</t>
  </si>
  <si>
    <t>De 50 a 150 m³</t>
  </si>
  <si>
    <t>Acima de 150 m³</t>
  </si>
  <si>
    <t>De 10 a 30 m³</t>
  </si>
  <si>
    <t>De 30 a 100 m³</t>
  </si>
  <si>
    <t>De 100 a 500 m³</t>
  </si>
  <si>
    <t>De 500 a 1000 m³</t>
  </si>
  <si>
    <t>De 40 a 100 m³</t>
  </si>
  <si>
    <t>Despesas com pessoal próprio</t>
  </si>
  <si>
    <t>Despesas com pessoal contratado</t>
  </si>
  <si>
    <t xml:space="preserve">Valor total pago ou devido no exercício a empresas terceirizadoras de mão de obra ou a profissionais autônomos, lotados em atividades continuadas, substituindo ou complementando o quadro de pessoal próprio. </t>
  </si>
  <si>
    <t>Administração central</t>
  </si>
  <si>
    <t>Materiais de consumo</t>
  </si>
  <si>
    <t>Despesas com a cobrança e arrecadação de taxas e tarifas</t>
  </si>
  <si>
    <t>Despesas extraordinárias ou eventuais</t>
  </si>
  <si>
    <t>Despesas financeiras</t>
  </si>
  <si>
    <t xml:space="preserve">Despesas de regulação e fiscalização dos serviços </t>
  </si>
  <si>
    <t>Valor devido à entidade reguladora e fiscalizadora da prestação do serviço, particularmente quando houver delegação contratual da prestação do serviço a terceiros.</t>
  </si>
  <si>
    <t>Centros de custos</t>
  </si>
  <si>
    <t>Relatórios detalhados da execução orçamentária e dos registros e movimentações contábeis das variações patrimoniais ativas e passivas, das receitas e das depesas do Município ou da entidade municipal autônoma (autarquia/empresa) responsável pela prestação do serviço.</t>
  </si>
  <si>
    <t>Taxa de remuneração do ativo imobilizado líquido</t>
  </si>
  <si>
    <t>Fonte: Prestador do serviço de abastecimento de água.</t>
  </si>
  <si>
    <t>Acréscimos regulatórios</t>
  </si>
  <si>
    <t>Deduções regulatórias</t>
  </si>
  <si>
    <t>Corresponde ao valor total de aquisição, construção ou implantação dos ativos imobilizados menos o valor total acumulado da depreciação e exaustão dos mesmos.</t>
  </si>
  <si>
    <t>Apresentação e Orientações Gerais sobre a Ferramenta</t>
  </si>
  <si>
    <t>Nome do Município e do Estado (UF)</t>
  </si>
  <si>
    <t>4. Valores arrecadados no ano relativos a multas e encargos (dívidas do ano e anteriores)</t>
  </si>
  <si>
    <t>5. Isenções e subsídios legais concedidos</t>
  </si>
  <si>
    <t>10. Venda de composto orgânico e materiais recicláveis</t>
  </si>
  <si>
    <t xml:space="preserve">11. Receitas de aplicações financeiras </t>
  </si>
  <si>
    <t xml:space="preserve">12. Receitas extraordinárias (indenizações recebidas) </t>
  </si>
  <si>
    <t>13. Alienação/venda de bens patrimoniais</t>
  </si>
  <si>
    <t>14. Outras receitas dos serviços (especificar)</t>
  </si>
  <si>
    <t>15. Repasses orçamentários do Tesouro Municipal (e)</t>
  </si>
  <si>
    <t>Dívida ativa</t>
  </si>
  <si>
    <t>Isenções e subsídios legais</t>
  </si>
  <si>
    <t>Taxa SELIC</t>
  </si>
  <si>
    <t>Categoria dos Imóveis</t>
  </si>
  <si>
    <t>Nº  de Economias  (domicílios)</t>
  </si>
  <si>
    <t>Nº de Ligações de Água</t>
  </si>
  <si>
    <t>TABELA AUXILIAR PARA LEVANTAMENTO E CONTROLE GERENCIAL DE ATIVOS IMOBILIZADOS DO SERVIÇO DE MANEJO DE RESÍDUOS</t>
  </si>
  <si>
    <t>Informar as despesas com serviços terceirizados nos períodos abaixo (Valores pagos/devidos a prestadores de serviços contratados)</t>
  </si>
  <si>
    <t>Informar as despesas com o pessoal/mão de obra terceirizada nos períodos abaixo (Valores pagos/devidos às empresas ou aos autônomos contratados)</t>
  </si>
  <si>
    <t>(Nome 1...)</t>
  </si>
  <si>
    <t xml:space="preserve">Taxa do Sistema Especial de Liquidação e de Custódia (SELIC) em que são transacionados títulos públicos federais. Funciona como taxa básica de juros da economia, referência para todas as taxas de juros do país, como as taxas de juros dos empréstimos, dos financiamentos e das aplicações financeiras.  </t>
  </si>
  <si>
    <t>Economia (de água)</t>
  </si>
  <si>
    <t>Unidade imobiliária autônoma correspondente a cada imóvel ou parte independente do mesmo, inclusive terreno não edificado, com registro individual no cadastro imobiliário do município ou inscrito no cadastro de usuários do prestador do serviço como economia ou unidade individual usuária dos serviços públicos de saneamento básico.</t>
  </si>
  <si>
    <t>Acima de 100 m³</t>
  </si>
  <si>
    <t>Acima 1000 m³</t>
  </si>
  <si>
    <t>Versão da ferramenta utilizada</t>
  </si>
  <si>
    <t>Versão Completa</t>
  </si>
  <si>
    <t>5.1</t>
  </si>
  <si>
    <t>5.2</t>
  </si>
  <si>
    <t xml:space="preserve">Fator Padrão Porte/área  </t>
  </si>
  <si>
    <t xml:space="preserve">VBCtmrs R$/domic </t>
  </si>
  <si>
    <t>% de municípios com cobrança do serviço</t>
  </si>
  <si>
    <t>% Receita Anual Arrecadada/ Despesa total</t>
  </si>
  <si>
    <t xml:space="preserve">12 Despesas indiretas </t>
  </si>
  <si>
    <t>1.1.1 Administração central</t>
  </si>
  <si>
    <t>Custo Contábil Total dos Serviços (A+B+C+D+E)</t>
  </si>
  <si>
    <t>Custo Contábil Total do Serviço (A+B+C+D)  (E)</t>
  </si>
  <si>
    <t>5.001 a 10.000</t>
  </si>
  <si>
    <t>41 m³ a 100 m³</t>
  </si>
  <si>
    <t>RESIDENCIAL SOCIAL</t>
  </si>
  <si>
    <t>11 m³ a 15 m³</t>
  </si>
  <si>
    <t>16 m³ a 20 m³</t>
  </si>
  <si>
    <t>51 m³ a 150 m³</t>
  </si>
  <si>
    <t>151 m³ acima</t>
  </si>
  <si>
    <t>31 m³ a 100 m³</t>
  </si>
  <si>
    <t>101 m³ a 500 m³</t>
  </si>
  <si>
    <t>501 m³ a 1000 m³</t>
  </si>
  <si>
    <t>1001 m³ acima</t>
  </si>
  <si>
    <t>Custo Regulatório Total do Serviço (E+F+G+H+I)  (J)</t>
  </si>
  <si>
    <t>Valores Básicos de Cálculo das Taxas ou Tarifas de Manejo de Resíduos (VBC)</t>
  </si>
  <si>
    <t>Consumo Medido no Mês</t>
  </si>
  <si>
    <t>Economias</t>
  </si>
  <si>
    <t>Consumo (m³)</t>
  </si>
  <si>
    <t>Revisão</t>
  </si>
  <si>
    <t>Regime e forma de prestação</t>
  </si>
  <si>
    <t>2.1 Serviços administrativos, limpeza e conservação predial</t>
  </si>
  <si>
    <t>2.4 Serviços de operação de unidade de triagem e compostagem e ecopontos</t>
  </si>
  <si>
    <t>Fontes: Relatórios contábeis e gerenciais do prestador</t>
  </si>
  <si>
    <t>Ano atual</t>
  </si>
  <si>
    <t>Ativos imobilizados — Saldo Líquido</t>
  </si>
  <si>
    <t>Até 10 m³ — Taxa Básica</t>
  </si>
  <si>
    <t>PIS/PASEP (Programa de Integração Social/Programa de Formação do Patrimônio do Servidor Público)</t>
  </si>
  <si>
    <t>Compreende as normas de regulação, os atos e procedimentos administrativos, que definem o regime de cobrança (tributário ou tarifário), o fato gerador, o contribuinte ou usuário devedor, a base e os critérios de cálculo, a estrutura e forma de cálculo da remuneração (taxa ou tarifa) devida pela disposição e prestação e pelo uso efetivo ou potencial do serviço público.</t>
  </si>
  <si>
    <t>7.4 Provisões de despesas contingentes — cíveis e trabalhistas</t>
  </si>
  <si>
    <t>Informar as despesas com aluguel e outros custos acessórios da locação de imóveis, veículos, máquinas e equipamentos.</t>
  </si>
  <si>
    <t>0 a 5.000</t>
  </si>
  <si>
    <t>Despesa anual média/hab atendido</t>
  </si>
  <si>
    <t>Despesa média/Ton RDO+RPU</t>
  </si>
  <si>
    <t>Despesa média anual/Trabalhador</t>
  </si>
  <si>
    <t>Fonte: SNIS 2017</t>
  </si>
  <si>
    <t>Informações complementares — ativos imobilizados e dados operacionais dos serviços</t>
  </si>
  <si>
    <t>Dados sobre categorias e domicílios/usuários dos serviços de manejo de resíduos e de abastecimento de água</t>
  </si>
  <si>
    <t>Versão completa — Cálculo do custo dos serviços e do Valor Básico de Cálculo (VBC) da Taxa/Tarifa de Manejo de Resíduos (TMRS)</t>
  </si>
  <si>
    <t>Versão simplificada — Cálculo do custo dos serviços e do Valor Básico de Cálculo (VBC) da Taxa/Tarifa de Manejo de Resíduos (TMRS)</t>
  </si>
  <si>
    <t>Tabelas referenciais de taxas ou tarifas de serviços de manejo de resíduos sólidos</t>
  </si>
  <si>
    <t>Tabela 1 — Estrutura referencial de cálculo da TMRS com base na categoria dos imóveis e na frequência da coleta (Opção 1)</t>
  </si>
  <si>
    <t>Tabela 2 — Estrutura referencial de cálculo da TMRS com base na categoria dos imóveis e na área construída (Opção 2)</t>
  </si>
  <si>
    <t>Tabela 3 — Estrutura referencial de cálculo da TMRS com base na categoria dos imóveis, na frequência da coleta e no consumo de água (Opção 3)</t>
  </si>
  <si>
    <t>Tabela 4 —  Estrutura referencial de cálculo da TMRS com base na categoria dos imóveis e no volume de água consumida (Opção 4)</t>
  </si>
  <si>
    <t>Tabela 5 — Hipóteses de cobrança de tarifa pela prestação efetiva dos serviços de coleta e destinação final de resíduos domiciliares</t>
  </si>
  <si>
    <t>Glossário de termos, expressões e conceitos técnicos utilizados nesta ferramenta</t>
  </si>
  <si>
    <t>Revisada por</t>
  </si>
  <si>
    <t>11 Provisões de despesas contingentes — cíveis e trabalhistas, desativação de aterro</t>
  </si>
  <si>
    <t>Total das despesas administrativas e operacionais (A)</t>
  </si>
  <si>
    <t>14 Despesas financeiras — juros e encargos de empréstimos (C)</t>
  </si>
  <si>
    <t>15 PIS/PASEP — sobre receitas do serviço RSU (D)</t>
  </si>
  <si>
    <t>Massa de resíduos coletada — Total (ton)</t>
  </si>
  <si>
    <t>Massa de resíduos entregues pelos geradores diretamente na central de tratamento (ton)</t>
  </si>
  <si>
    <t>Massa de resíduos entregues pelos geradores diretamente em unidades de triagem/processamento (ton)</t>
  </si>
  <si>
    <t>Massa TOTAL de resíduos destinados a unidades de transbordo (ton)</t>
  </si>
  <si>
    <t>Massa TOTAL de resíduos destinados a centrais ou aterros sanitários de terceiros (ton)</t>
  </si>
  <si>
    <t>Massa TOTAL de resíduos  destinados a centrais ou aterros sanitários próprios (ton)</t>
  </si>
  <si>
    <t>Bens de Uso Geral do Serviço RSU — Administrativos e Operacionais</t>
  </si>
  <si>
    <t xml:space="preserve">Nesta tabela, devem ser informados os valores acumulados de aquisição, construção ou implantação dos bens que compõem os ativos imobilizados vinculados à prestação do serviço, bem como os respectivos valores acumulados de depreciação, amortização ou exaustão. </t>
  </si>
  <si>
    <t>Mês/ano de referência</t>
  </si>
  <si>
    <t>Previsão de aumento do número de economias — ano atual (%)</t>
  </si>
  <si>
    <t>Cálculo do custo regulatório do serviço de manejo de resíduos sólidos urbanos</t>
  </si>
  <si>
    <t>Subtotal — Despesas administrativas e operacionais (A)</t>
  </si>
  <si>
    <t>Despesas indiretas (se não houver informações nos itens anteriores)</t>
  </si>
  <si>
    <t>Despesas tributárias</t>
  </si>
  <si>
    <t>Corresponde aos valores de acréscimos regulatórios referentes a custos ou despesas não especificadas na Planilha "2 DadosFinanServRSU", tais como restos a pagar de despesas de custeio deste serviço do ano anterior, sem cobertura de caixa; perdas de receitas por inadimplência ou por anistia; subsídio tributário/tarifário de isenções e outros benefícios sociais; outros custos admitidos pela regulação.</t>
  </si>
  <si>
    <t>Estrutura administrativa da Prefeitura ou da entidade municipal (autarquia/empresa) responsável pela prestação do serviço de manejo de resíduos sólidos urbanos, correspondente às atividades-meio da Administração, tais como Direção-geral, Secretaria/Departamento de Administração, Secretaria/Departamento de Finanças, Secretaria/Departamento de Planejamento, Procuradoria Jurídica etc.</t>
  </si>
  <si>
    <t>Ano-base de cálculo dos custos</t>
  </si>
  <si>
    <t>O último ano civil completo cujos custos realizados dos serviços serão tomados como base para a estimativa dos custos ou do Valor Básico de Cálculo (VBC) para o ano em que vigorarão as taxas ou tarifas calculadas.</t>
  </si>
  <si>
    <t>Balancetes analíticos</t>
  </si>
  <si>
    <t>Correspondem ao conjunto de unidades administrativas e/ou de atividades específicas relacionadas à prestação do serviço, para as quais se deseja apropriar e gerenciar os respectivos custos, tais como atividades da Administração Central, atividade de coleta convencional de resíduos, atividade de coleta seletiva, atividade de triagem e/ou de compostagem, atividade de implantação e operação de aterro sanitário etc.</t>
  </si>
  <si>
    <t>Custo contábil</t>
  </si>
  <si>
    <t>Custo do serviço apurado com base nas informações contábeis relativas às despesas correntes vinculadas ao serviço, mais as depesas de depreciação e exaustão de ativos imobilizados, inclusive despesas provisionadas.</t>
  </si>
  <si>
    <t>Custo regulatório</t>
  </si>
  <si>
    <t>Custo do serviço apurado depois dos ajustes de acréscimos e deduções regulatórias estabelecidos pela regulação, cujo valor constitui a base de cálculo (VBC) das taxas ou tarifas pela disposição e prestação do serviço de manejo de resíduos sólidos urbanos.</t>
  </si>
  <si>
    <t xml:space="preserve">Valores de deduções definidas pela regulação referentes a receitas acessórias e eventuais, receitas de multas e encargos por inadimplência, valores de multas ou encargos contratuais pagos a terceiros; despesa com publicidade não institucional; e outros gastos ineficientes previstos pela regulação. </t>
  </si>
  <si>
    <t xml:space="preserve">Parcela do valor de aquisição, construção ou implantação do ativo imobilizado vinculado ao serviço que é incorporada/apropriada ao custo da prestação do serviço, equivalente à fração (%) de desgaste anual desse bem, proporcional à sua vida útil estimada. Forma de recuperação do capital investido, para formação de fundo rotativo (art. 13, Lei nº 11.445/2007) para reposição dos bens após sua vida útil ou para financiar novos investimentos em expansão ou melhoria do serviço,
No caso dos bens móveis, que podem ser vendidos ao final de sua vida útil, o cálculo da depreciação incide sobre o valor de aquisição menos o percentual do valor residual esperado pelo qual o bem poderá ser vendido após a desativação (desmobilização) do seu uso no serviço. </t>
  </si>
  <si>
    <t>Despesas ou gastos com o processamento e a emissão de documentos/contas de arrecadação das taxas ou tarifas, bem como despesas com tarifas bancárias devidas pela arrecadação dos valores pela rede bancária ou de seus credenciados.</t>
  </si>
  <si>
    <t>Valor de todas as remunerações pagas ou devidas no exercício aos servidores/empregados próprios da Prefeitura ou da entidade municipal alocados à prestação do serviço de manejo de resíduos sólidos urbanos, inclusive provisões de férias e outros benefícios futuros dos servidores/empregados, bem como as despesas com contribuições previdenciárias patronais, vale-transporte, vale-alimentação, auxílio-educação e outros eventuais benefícios e vantagens.</t>
  </si>
  <si>
    <t>Despesas diretas — administrativas e operacionais</t>
  </si>
  <si>
    <t>Despesas ou  gastos em atividades administrativas e operacionais diretamente relacionadas com a prestação do serviço.</t>
  </si>
  <si>
    <t>Despesas de ocorrência eventual ou em situações extraordinárias, não provisionadas ou imprevisíveis, tais como desativação de lixões, indenizações civis e passivos trabalhistas, ocorrências de greves, calamidades e catástrofes etc.
Devem ser consideradas somente as despesas identificáveis e exclusivas das atividades relacionadas ao serviço.</t>
  </si>
  <si>
    <t>Despesas de juros e demais encargos contratuais, tais como taxa de risco, taxa de administração, correção monetária ou cambial, sobre empréstimos para investimentos em infraestruturas dos serviços ou para capital de giro.</t>
  </si>
  <si>
    <t>Parcela das despesas da administração geral da Prefeitura, correspondentes às suas atividades-meio (Secretarias de Administração, de Finanças, de Planejamento, Procuradoria Jurídica etc.) e, se for o caso, da(s) Secretaria(s) a que estejam subordinadas, de forma não exclusiva, as unidades (Departamento, Divisão, Setor etc.) responsáveis pela prestação do serviço de coleta e destinação final dos resíduos sólidos urbanos, cujo valor pode ser incorporado/apropriado ao custo do serviço.
O mesmo se aplica quando o serviço for prestado por autarquia ou empresa municipal que também seja responsável pela prestação de outros serviços.</t>
  </si>
  <si>
    <t xml:space="preserve">Dívidas vencidas, relativas a anos anteriores ao ano corrente, referentes a tributos e outras receitas correntes, inclusive taxas e tarifas devidas por usuários de serviços públicos. Geralmente, essas dívidas são registradas/lançadas em contas contábeis específicas do ativo patrimonial no encerramento do ano corrente ou logo no início do ano seguinte.  </t>
  </si>
  <si>
    <t xml:space="preserve">Definição igual à da depreciação que se aplica ao ativo correspondente ao aterro sanitário ou à parte dele que será desativada e encerrada definitivamente ao final de sua vida útil, quando já não poderá receber mais resíduos/rejeitos e cuja área não poderá ser vendida ou utilizada para qualquer atividade vinculada ao serviço. </t>
  </si>
  <si>
    <t>Utilização, efetiva ou potencial, de serviço público específico e divisível prestado ao contribuinte ou posto à sua disposição em efetivo funcionamento, consideradas as atividades e situações de sua prestação ou disposição em que poderão ser cobradas taxas ou tarifas diretamente dos usuários/contribuintes.</t>
  </si>
  <si>
    <t>Todos os materiais, exceto energia elétrica e combustíveis e lubrificantes, consumidos em quaisquer atividades da prestação dos serviços, incluindo uniformes, equipamentos individuais de segurança, material de escritório, material de limpeza e conservação, consumo de água etc.
Não inclui materiais de construção e outros empregados na construção, implantação, reposição ou reforma de quaisquer edificações ou infraestruturas operacionais vinculadas ao serviço, os quais devem ser apropriados como investimentos em ativos imobilizados.</t>
  </si>
  <si>
    <t>Contribuição social incidente sobre a receita total do serviço, originária da cobrança de taxas ou tarifas e de preços públicos, de repasses orçamentários ou subvenções e doações de outros entes públicos ou de terceiros e quaisquer receitas eventuais vinculadas ao serviço. A alíquota aplicável ao setor público é de 1%.</t>
  </si>
  <si>
    <t>Política de cobrança ou de remuneração de serviço público</t>
  </si>
  <si>
    <t>Provisões de despesas contingentes — cíveis, trabalhistas e outras</t>
  </si>
  <si>
    <t xml:space="preserve">Provisão de despesas previsíveis com gastos ou desembolsos futuros relativos a ações civis ou trabalhistas ajuizadas no ano; encerramento de aterro sanitário; desativação de lixão etc. </t>
  </si>
  <si>
    <t>Regime e forma de prestação do serviço</t>
  </si>
  <si>
    <t>Valor percentual estabelecido pela regulação do serviço como remuneração anual do ativo imobilizado em operação (capital investido), incidente sobre o valor ou saldo líquido médio anual dos ativos imobilizados, deduzidas a depreciação e exaustão, cujo montante pode/deve ser incorporado ao custo do serviço para efeito de determinação do custo regulatório e do Valor Básico de Cálculo (VBC) da taxa ou tarifa.</t>
  </si>
  <si>
    <t>Valor unitário do custo regulatório dos serviços que serve de base para o cálculo dos valores das taxas ou tarifas individuais aplicadas para cada usuário ou contribuinte, conforme os critérios de cálculo definidos pela regulação.
A planilha/aba "6 Tabelas_Taxas_PreçosUnitários" apresenta exemplos de critérios de cálculo das taxas ou tarifas individuais.</t>
  </si>
  <si>
    <t>RETORNAR AO SUMÁRIO</t>
  </si>
  <si>
    <t>Simulação da taxa ou tarifa para domicílio no limite superior de cada faixa</t>
  </si>
  <si>
    <t>Coleta em dias alternados</t>
  </si>
  <si>
    <t>Coleta diária</t>
  </si>
  <si>
    <t>Tabela 4 — Estrutura referencial de cálculo da TMRS com base na categoria dos imóveis e no volume de água consumida (Opção 4)</t>
  </si>
  <si>
    <t>Categorias e faixas de consumo mensal de água</t>
  </si>
  <si>
    <t>Fatores de cálculo dos valores unitários na faixa</t>
  </si>
  <si>
    <t>De 30 a 40 m³</t>
  </si>
  <si>
    <t>3. Essas hipóteses também se aplicam quando houver prestação em regime de gestão associada, por meio de consórcio ou de convênio de cooperação, em que há delegação por meio de contrato de programa.</t>
  </si>
  <si>
    <t>4. Nesses casos, a cobrança somente poderá incidir sobre os usuários efetivos do serviço, condição esta que deverá ser estabelecida pela regulação legal da cobrança, mediante critérios objetivos de aferição, tais como ser usuário ativo dos serviços de abastecimento de água, de esgotamento sanitário e/ou de energia elétrica; ou o imóvel, edificado ou não, estar sendo utilizado para qualquer atividade (moradia, comércio, serviço, indústria etc.); e haver adesão contratual do usuário, ainda que a adesão seja compulsória nos termos da lei.</t>
  </si>
  <si>
    <t xml:space="preserve">6. Os critérios de cálculo da tarifa podem ser iguais aos propostos para o cálculo da taxa ou outros definidos pela regulação, observando-se que, neste caso, se a legislação municipal não determinar o contrário, a regulação da tarifa poderá ser feita por decreto e, complementarmente, por normas do ente regulador. </t>
  </si>
  <si>
    <t>7. Se houver prestação do serviço de abastecimento de água universalizada na área de cobertura do serviço de coleta de resíduos sólidos domiciliares ou equiparados, a tarifa ou taxa de manejo de resíduos poderá ser calculada com base no consumo de água, utilizando estrutura similar à daquele serviço.</t>
  </si>
  <si>
    <t>Geralmente, o sistema de gestão patrimonial das Prefeituras só controla os bens móveis (veículos, mobiliários, computadores, máquinas etc.). A maioria dos municípios também não tem cadastro técnico e/ou registros regulares em cartórios de seus bens móveis e imóveis. As normas de contabilidade aplicáveis ao setor público orientam para que os municípios façam o controle e a contabilidade patrimonial, inclusive a depreciação de seus bens móveis e imóveis, especialmente os bens vinculados à prestação de serviços públicos continuados e remunerados por taxas ou tarifas.
De outro lado, para que se possa considerar as despesas de depreciação desses bens como custo dos serviços cobertos por taxas ou tarifas, é necessário que o Município ou o prestador dos serviços tenha algum tipo de controle contábil ou gerencial desses bens, que permita calcular/estimar essas despesas.
A tabela abaixo é um modelo que pode ser adotado para o controle gerencial dos bens móveis e imóveis (ativos imobilizados) vinculados aos serviços de manejo de resíduos sólidos urbanos, enquanto não forem implantados os procedimentos contábeis para esse fim.</t>
  </si>
  <si>
    <t>1.2 Serviço de coleta convencional e seletiva</t>
  </si>
  <si>
    <t>1.3 Serviço de triagem/compostagem</t>
  </si>
  <si>
    <t>1.4 Serviço de transbordo</t>
  </si>
  <si>
    <t>1.5 Serviço de operação do aterro sanitário</t>
  </si>
  <si>
    <t>4 Despesas com aluguéis de imóveis, veículos, máquinas  ou equipamentos</t>
  </si>
  <si>
    <t>Informar as despesas com combustível, lubrificantes e manutenção de veículos, máquinas e equipamentos</t>
  </si>
  <si>
    <t xml:space="preserve">Informar as despesas com insumos, energia, água e materiais de consumo </t>
  </si>
  <si>
    <t>Informar outras despesas com a prestação do serviço, conforme indicadas nesta tabela</t>
  </si>
  <si>
    <t>7 Materiais de consumo — Subtotal</t>
  </si>
  <si>
    <t>6 Energia elétrica — Subtotal</t>
  </si>
  <si>
    <t>3 Aluguel de imóveis — Subtotal</t>
  </si>
  <si>
    <t>4 Aluguel de veículos, máquinas e equipamentos — Subtotal</t>
  </si>
  <si>
    <t>1 Despesas com pessoal (proventos, encargos previdenciários e benefícios)</t>
  </si>
  <si>
    <t>1.1 Pessoal próprio (inclui cedido de outros órgãos) — Subtotal</t>
  </si>
  <si>
    <t>1.2 Pessoal contratado (mão de obra terceirizada) — Subtotal</t>
  </si>
  <si>
    <t>2 Serviços de terceiros (não inclui pessoal/mão de obra contratada ) — Subtotal</t>
  </si>
  <si>
    <t>Sub-total — Receita arrecadada + isenções e subsídios concedidos no ano (b)</t>
  </si>
  <si>
    <t>Sub-total — Receitas acessórias arrecadadas no ano (c)</t>
  </si>
  <si>
    <t>Sub-total — Outras receitas no ano (d)</t>
  </si>
  <si>
    <t>16. Empréstimos realizados — desembolsos recebidos no ano (f)</t>
  </si>
  <si>
    <t>Total - Receitas correntes e de capital (b+c+d+e+f+g)</t>
  </si>
  <si>
    <t>Sub-total — Receitas lançadas/provisionadas no ano (a)</t>
  </si>
  <si>
    <t>Tabela 1 — Informações cadastrais dos domicílios/usuários dos serviços</t>
  </si>
  <si>
    <t>Órgão ou entidade gestora do serviço</t>
  </si>
  <si>
    <t>Ano-base de cálculo dos custos (ano anterior ao de vigência da taxa ou tarifa)</t>
  </si>
  <si>
    <t>Parcela (%) da despesa de depreciação/exaustão dos ativos apropriada no custo do serviço</t>
  </si>
  <si>
    <t>Parcela (%) das despesas indiretas administrativas e de apoio apropriada no custo do serviço</t>
  </si>
  <si>
    <t>Parcela (%) do custo do serviço a ser cobrado dos usuários admitido pela política de cobrança</t>
  </si>
  <si>
    <t xml:space="preserve">Índice de reajuste para cálculo/estimativa do custo básico do ano atual </t>
  </si>
  <si>
    <t>Base de aplicação do índice de reajuste</t>
  </si>
  <si>
    <t>Taxa de remuneração dos investimentos em operação (capital investido)</t>
  </si>
  <si>
    <t>6. Recebimento de RDO de grandes geradores no aterro ou central de tratamento</t>
  </si>
  <si>
    <t>7. Recebimento de RCC no aterro ou central de tratamento</t>
  </si>
  <si>
    <t>8. Recebimento de resíduos volumosos no aterro ou central de tratamento</t>
  </si>
  <si>
    <t>9. Recebimento e tratamento de RSS no aterro ou central de tratamento</t>
  </si>
  <si>
    <t>2.7 Disposição de resíduos em unidades de transbordo ou central de tratamento de terceiros</t>
  </si>
  <si>
    <t xml:space="preserve">1. Considerar somente receitas diretas dos serviços (taxas ou tarifas) — Não incluir receitas de serviços acessórios </t>
  </si>
  <si>
    <t>Depreciação de ativos de unidades de transbordo e transporte</t>
  </si>
  <si>
    <t>Depreciação de bens de uso geral e da administração central e unidades de apoio técnico</t>
  </si>
  <si>
    <r>
      <t xml:space="preserve">Tabela 1 — Estrutura sintética das despesas com os </t>
    </r>
    <r>
      <rPr>
        <b/>
        <sz val="14"/>
        <color rgb="FFF49426"/>
        <rFont val="Calibri"/>
        <family val="2"/>
      </rPr>
      <t xml:space="preserve">serviços de manejo de resíduos </t>
    </r>
  </si>
  <si>
    <r>
      <t xml:space="preserve">Tabela 2 — Estrutura sintética da receita com os </t>
    </r>
    <r>
      <rPr>
        <b/>
        <sz val="14"/>
        <color rgb="FFF49426"/>
        <rFont val="Calibri"/>
        <family val="2"/>
      </rPr>
      <t>serviços de manejo de resíduos</t>
    </r>
  </si>
  <si>
    <r>
      <rPr>
        <sz val="10.5"/>
        <color rgb="FFF49426"/>
        <rFont val="Calibri"/>
        <family val="2"/>
      </rPr>
      <t xml:space="preserve">Tabela para coleta de informações das receitas dos serviços no sistema de contabilidade (balancetes analíticos das receitas) e/ou em relatórios gerenciais de controle das receitas lançadas e arrecadadas relativas aos serviços.
</t>
    </r>
    <r>
      <rPr>
        <sz val="10.5"/>
        <rFont val="Calibri"/>
        <family val="2"/>
      </rPr>
      <t xml:space="preserve">
</t>
    </r>
    <r>
      <rPr>
        <sz val="10.5"/>
        <color theme="0" tint="-0.14999847407452621"/>
        <rFont val="Calibri"/>
        <family val="2"/>
      </rPr>
      <t>+F7:F14</t>
    </r>
  </si>
  <si>
    <t>Ano-Base</t>
  </si>
  <si>
    <t>5 Combustível e manutenção de veículos, máquinas e equipamentos — Subtotal</t>
  </si>
  <si>
    <r>
      <t>Depreciação e</t>
    </r>
    <r>
      <rPr>
        <b/>
        <u/>
        <sz val="10.5"/>
        <color theme="1" tint="0.14999847407452621"/>
        <rFont val="Calibri"/>
        <family val="2"/>
      </rPr>
      <t xml:space="preserve"> </t>
    </r>
    <r>
      <rPr>
        <b/>
        <u/>
        <sz val="10.5"/>
        <color rgb="FFF49426"/>
        <rFont val="Calibri"/>
        <family val="2"/>
      </rPr>
      <t>exaustão</t>
    </r>
    <r>
      <rPr>
        <b/>
        <u/>
        <sz val="10.5"/>
        <color theme="1" tint="0.14999847407452621"/>
        <rFont val="Calibri"/>
        <family val="2"/>
      </rPr>
      <t xml:space="preserve"> </t>
    </r>
    <r>
      <rPr>
        <u/>
        <sz val="10.5"/>
        <color theme="1" tint="0.14999847407452621"/>
        <rFont val="Calibri"/>
        <family val="2"/>
      </rPr>
      <t>de ativos da central de tratamento ou aterro sanitário</t>
    </r>
  </si>
  <si>
    <r>
      <rPr>
        <b/>
        <u/>
        <sz val="10.5"/>
        <color rgb="FFF49426"/>
        <rFont val="Calibri"/>
        <family val="2"/>
      </rPr>
      <t>Depreciação</t>
    </r>
    <r>
      <rPr>
        <b/>
        <u/>
        <sz val="10.5"/>
        <color theme="1" tint="0.14999847407452621"/>
        <rFont val="Calibri"/>
        <family val="2"/>
      </rPr>
      <t xml:space="preserve"> </t>
    </r>
    <r>
      <rPr>
        <u/>
        <sz val="10.5"/>
        <color theme="1" tint="0.14999847407452621"/>
        <rFont val="Calibri"/>
        <family val="2"/>
      </rPr>
      <t xml:space="preserve">de ativos do sistema de coleta convencional e seletiva </t>
    </r>
  </si>
  <si>
    <t>2. Receitas de multas e encargos por inadimplência — valores lançados/provisionados no ano</t>
  </si>
  <si>
    <r>
      <rPr>
        <sz val="10.5"/>
        <color rgb="FFF49426"/>
        <rFont val="Calibri"/>
        <family val="2"/>
      </rPr>
      <t>Planilha para coleta de informações das despesas no sistema de contabilidade (balancetes analíticos das despesas) e/ou em relatórios gerenciais de controle das despesas com os serviços.</t>
    </r>
    <r>
      <rPr>
        <sz val="10.5"/>
        <color theme="0" tint="-0.14999847407452621"/>
        <rFont val="Calibri"/>
        <family val="2"/>
      </rPr>
      <t xml:space="preserve">
Esta planilha é recomendada quando houver outras atividades além da coleta e operação de aterro, quando o serviço for prestado por um único órgão ou autarquia municipal, ou quando existirem informações detalhadas por tipo/natureza da despesa.</t>
    </r>
  </si>
  <si>
    <r>
      <t>1. Receitas de taxas e tarifas — valores faturados/lançados no ano</t>
    </r>
    <r>
      <rPr>
        <b/>
        <vertAlign val="superscript"/>
        <sz val="10.5"/>
        <color rgb="FF005A6E"/>
        <rFont val="Calibri"/>
        <family val="2"/>
      </rPr>
      <t>(1)</t>
    </r>
    <r>
      <rPr>
        <b/>
        <sz val="10.5"/>
        <color rgb="FF005A6E"/>
        <rFont val="Calibri"/>
        <family val="2"/>
      </rPr>
      <t xml:space="preserve"> </t>
    </r>
  </si>
  <si>
    <r>
      <t xml:space="preserve">3. Valores arrecadados no ano - receita corrente + dívida ativa de taxas e tarifas </t>
    </r>
    <r>
      <rPr>
        <b/>
        <vertAlign val="superscript"/>
        <sz val="10.5"/>
        <color rgb="FF005A6E"/>
        <rFont val="Calibri"/>
        <family val="2"/>
      </rPr>
      <t xml:space="preserve">(2) </t>
    </r>
  </si>
  <si>
    <r>
      <t xml:space="preserve">Receitas acessórias arrecadadas no ano - receita corrente + dívida ativa </t>
    </r>
    <r>
      <rPr>
        <vertAlign val="superscript"/>
        <sz val="10.5"/>
        <color theme="1" tint="0.14999847407452621"/>
        <rFont val="Calibri"/>
        <family val="2"/>
      </rPr>
      <t xml:space="preserve">(2) </t>
    </r>
  </si>
  <si>
    <r>
      <t>17. Subvenções recebidas (repasses e doações de entes públicos e privados)</t>
    </r>
    <r>
      <rPr>
        <b/>
        <vertAlign val="superscript"/>
        <sz val="10.5"/>
        <color rgb="FF005A6E"/>
        <rFont val="Calibri"/>
        <family val="2"/>
      </rPr>
      <t>(3)</t>
    </r>
    <r>
      <rPr>
        <b/>
        <sz val="10.5"/>
        <color rgb="FF005A6E"/>
        <rFont val="Calibri"/>
        <family val="2"/>
      </rPr>
      <t xml:space="preserve"> (g)</t>
    </r>
  </si>
  <si>
    <t>Ano-base</t>
  </si>
  <si>
    <t xml:space="preserve">Tabela 1 — Estrutura sintética de dados financeiro-contábeis dos ativos imobilizados </t>
  </si>
  <si>
    <t xml:space="preserve">Unidades de Processamento de Resíduos (triagem, compostagem, outros) </t>
  </si>
  <si>
    <t>Unidades de Disposição Final (central de tratamento, aterro sanitário)</t>
  </si>
  <si>
    <t>Fonte: balancete analítico do ativo (se estiver adequado às novas normas de contabilidade pública) ou sistema de controle patrimonial</t>
  </si>
  <si>
    <t>Tabela 2 — INFORMAÇÕES OPERACIONAIS</t>
  </si>
  <si>
    <t>RETORNAR 
AO SUMÁRIO</t>
  </si>
  <si>
    <t>Tabela 2 — Informações sobre imóveis e consumo de água</t>
  </si>
  <si>
    <t xml:space="preserve">Faixas de Consumo de Água </t>
  </si>
  <si>
    <t>Total de imóveis/domicílios 
com serviço à disposição</t>
  </si>
  <si>
    <r>
      <rPr>
        <b/>
        <sz val="10.5"/>
        <color theme="1" tint="0.14999847407452621"/>
        <rFont val="Calibri"/>
        <family val="2"/>
      </rPr>
      <t>Taxa</t>
    </r>
    <r>
      <rPr>
        <sz val="10.5"/>
        <color theme="1" tint="0.14999847407452621"/>
        <rFont val="Calibri"/>
        <family val="2"/>
      </rPr>
      <t xml:space="preserve"> ou </t>
    </r>
    <r>
      <rPr>
        <b/>
        <sz val="10.5"/>
        <color theme="1" tint="0.14999847407452621"/>
        <rFont val="Calibri"/>
        <family val="2"/>
      </rPr>
      <t>Tarifa</t>
    </r>
    <r>
      <rPr>
        <sz val="10.5"/>
        <color theme="1" tint="0.14999847407452621"/>
        <rFont val="Calibri"/>
        <family val="2"/>
      </rPr>
      <t xml:space="preserve"> de Manejo de Resíduos Sólidos (</t>
    </r>
    <r>
      <rPr>
        <b/>
        <sz val="10.5"/>
        <color theme="1" tint="0.14999847407452621"/>
        <rFont val="Calibri"/>
        <family val="2"/>
      </rPr>
      <t>TMRS)</t>
    </r>
  </si>
  <si>
    <t>I — domicílios residenciais</t>
  </si>
  <si>
    <t>II — domicílios comerciais e de serviços — pequenos geradores de RDO</t>
  </si>
  <si>
    <t>III — domicílios industriais — pequenos geradores de RDO</t>
  </si>
  <si>
    <t>IV — domicílios públicos e filantrópicos de interesse público</t>
  </si>
  <si>
    <t>I — Grandes geradores de RDO e equiparados</t>
  </si>
  <si>
    <t xml:space="preserve">II — Geradores de RCC </t>
  </si>
  <si>
    <t>III — Geradores de RSS</t>
  </si>
  <si>
    <r>
      <rPr>
        <b/>
        <sz val="10"/>
        <color theme="0" tint="-0.499984740745262"/>
        <rFont val="Calibri"/>
        <family val="2"/>
      </rPr>
      <t>Obs.:</t>
    </r>
    <r>
      <rPr>
        <sz val="10"/>
        <color theme="0" tint="-0.499984740745262"/>
        <rFont val="Calibri"/>
        <family val="1"/>
      </rPr>
      <t xml:space="preserve"> Se for adotado critério de cálculo baseado no consumo de água, é necessário conhecer também o histograma mensal ou anual de medição (consumo medido), classificado por categoria de usuário e por faixa de consumo, conforme a estrutura tarifária existente, classificada de modo similar ao modelo da tabela abaixo. </t>
    </r>
  </si>
  <si>
    <t>Histograma de ligações, economias e consumo de água (modelo)</t>
  </si>
  <si>
    <t>Estimativa — ano atual 
(média mensal)</t>
  </si>
  <si>
    <r>
      <rPr>
        <b/>
        <sz val="10"/>
        <color theme="0" tint="-0.499984740745262"/>
        <rFont val="Calibri"/>
        <family val="2"/>
      </rPr>
      <t>Obs.:</t>
    </r>
    <r>
      <rPr>
        <sz val="10"/>
        <color theme="0" tint="-0.499984740745262"/>
        <rFont val="Calibri"/>
        <family val="1"/>
      </rPr>
      <t xml:space="preserve"> Ajustar esta tabela conforme a estrutura tarifária do serviço de abastecimento de água e a estrutura da Tabela 4 da Planilha 6.</t>
    </r>
  </si>
  <si>
    <t>2 Serviços de terceiros (coleta, transporte, operação de aterro, disposição de RSU etc.)</t>
  </si>
  <si>
    <r>
      <t>Esta planilha será utilizada se for escolhida a aplicação da</t>
    </r>
    <r>
      <rPr>
        <b/>
        <sz val="10.5"/>
        <color rgb="FFF49426"/>
        <rFont val="Calibri"/>
        <family val="2"/>
      </rPr>
      <t xml:space="preserve"> </t>
    </r>
    <r>
      <rPr>
        <b/>
        <u/>
        <sz val="10.5"/>
        <color rgb="FFF49426"/>
        <rFont val="Calibri"/>
        <family val="2"/>
      </rPr>
      <t>VERSÃO COMPLETA</t>
    </r>
    <r>
      <rPr>
        <b/>
        <sz val="10.5"/>
        <color rgb="FFF49426"/>
        <rFont val="Calibri"/>
        <family val="2"/>
      </rPr>
      <t xml:space="preserve"> </t>
    </r>
    <r>
      <rPr>
        <b/>
        <sz val="10.5"/>
        <color theme="0" tint="-4.9989318521683403E-2"/>
        <rFont val="Calibri"/>
        <family val="2"/>
      </rPr>
      <t>da ferramenta.
Os dados desta planilha são importados e processados automaticamente das planilhas 2, 3 e 4.</t>
    </r>
  </si>
  <si>
    <t xml:space="preserve">Despesas Diretas —
Administrativas e Operacionais </t>
  </si>
  <si>
    <t>11 Provisões de despesas contingentes — cíveis e trabalhistas</t>
  </si>
  <si>
    <t>Remuneração dos investimentos em operação — capital próprio (F)</t>
  </si>
  <si>
    <r>
      <t xml:space="preserve">Quantidade total de resíduos coletados </t>
    </r>
    <r>
      <rPr>
        <b/>
        <sz val="10.5"/>
        <color theme="1" tint="0.14999847407452621"/>
        <rFont val="Calibri"/>
        <family val="2"/>
      </rPr>
      <t>(ton)</t>
    </r>
  </si>
  <si>
    <r>
      <t xml:space="preserve">Quantidade total de domicílios com serviço à disposição </t>
    </r>
    <r>
      <rPr>
        <b/>
        <sz val="10.5"/>
        <color theme="1" tint="0.14999847407452621"/>
        <rFont val="Calibri"/>
        <family val="2"/>
      </rPr>
      <t>(domicílio)</t>
    </r>
  </si>
  <si>
    <r>
      <t xml:space="preserve">Volume total de água consumido ou faturado no ano </t>
    </r>
    <r>
      <rPr>
        <b/>
        <sz val="10.5"/>
        <color theme="1" tint="0.14999847407452621"/>
        <rFont val="Calibri"/>
        <family val="2"/>
      </rPr>
      <t>(m³)</t>
    </r>
  </si>
  <si>
    <r>
      <t>VBC — Custo médio unitário</t>
    </r>
    <r>
      <rPr>
        <b/>
        <sz val="10.5"/>
        <color rgb="FFF49426"/>
        <rFont val="Calibri"/>
        <family val="2"/>
      </rPr>
      <t xml:space="preserve"> por tonelada </t>
    </r>
    <r>
      <rPr>
        <b/>
        <sz val="10.5"/>
        <color theme="1" tint="0.14999847407452621"/>
        <rFont val="Calibri"/>
        <family val="2"/>
      </rPr>
      <t>coletada (R$/ton)</t>
    </r>
  </si>
  <si>
    <r>
      <t>VBC — Custo médio</t>
    </r>
    <r>
      <rPr>
        <b/>
        <sz val="10.5"/>
        <color rgb="FFF49426"/>
        <rFont val="Calibri"/>
        <family val="2"/>
      </rPr>
      <t xml:space="preserve"> anual por domicílio</t>
    </r>
    <r>
      <rPr>
        <b/>
        <sz val="10.5"/>
        <color theme="1" tint="0.14999847407452621"/>
        <rFont val="Calibri"/>
        <family val="2"/>
      </rPr>
      <t xml:space="preserve"> (R$/dom)</t>
    </r>
  </si>
  <si>
    <r>
      <t>VBC — Custo médio</t>
    </r>
    <r>
      <rPr>
        <b/>
        <sz val="10.5"/>
        <color rgb="FFF49426"/>
        <rFont val="Calibri"/>
        <family val="2"/>
      </rPr>
      <t xml:space="preserve"> mensal por domicílio</t>
    </r>
    <r>
      <rPr>
        <b/>
        <sz val="10.5"/>
        <color theme="1" tint="0.14999847407452621"/>
        <rFont val="Calibri"/>
        <family val="2"/>
      </rPr>
      <t xml:space="preserve"> (R$/dom)</t>
    </r>
  </si>
  <si>
    <r>
      <t>VBC — Custo médio unitário</t>
    </r>
    <r>
      <rPr>
        <b/>
        <sz val="10.5"/>
        <color rgb="FFF49426"/>
        <rFont val="Calibri"/>
        <family val="2"/>
      </rPr>
      <t xml:space="preserve"> por m³ </t>
    </r>
    <r>
      <rPr>
        <b/>
        <sz val="10.5"/>
        <color theme="1" tint="0.14999847407452621"/>
        <rFont val="Calibri"/>
        <family val="2"/>
      </rPr>
      <t>de água consumida (R$/m³)</t>
    </r>
  </si>
  <si>
    <t xml:space="preserve">Despesas Diretas — 
Administrativas e Operacionais </t>
  </si>
  <si>
    <r>
      <t>Quantidade total de domicílios com serviço à disposição (</t>
    </r>
    <r>
      <rPr>
        <b/>
        <sz val="10.5"/>
        <color theme="1" tint="0.14999847407452621"/>
        <rFont val="Calibri"/>
        <family val="2"/>
      </rPr>
      <t>domicílio</t>
    </r>
    <r>
      <rPr>
        <sz val="10.5"/>
        <color theme="1" tint="0.14999847407452621"/>
        <rFont val="Calibri"/>
        <family val="2"/>
      </rPr>
      <t>)</t>
    </r>
  </si>
  <si>
    <r>
      <t xml:space="preserve">VBC — Custo médio unitário </t>
    </r>
    <r>
      <rPr>
        <b/>
        <sz val="10.5"/>
        <color rgb="FFF49426"/>
        <rFont val="Calibri"/>
        <family val="2"/>
      </rPr>
      <t>por tonelada</t>
    </r>
    <r>
      <rPr>
        <b/>
        <sz val="10.5"/>
        <color theme="1" tint="0.14999847407452621"/>
        <rFont val="Calibri"/>
        <family val="2"/>
      </rPr>
      <t xml:space="preserve"> coletada (R$/ton)</t>
    </r>
  </si>
  <si>
    <r>
      <t xml:space="preserve">VBC — Custo médio </t>
    </r>
    <r>
      <rPr>
        <b/>
        <sz val="10.5"/>
        <color rgb="FFF49426"/>
        <rFont val="Calibri"/>
        <family val="2"/>
      </rPr>
      <t xml:space="preserve">anual por domicílio </t>
    </r>
    <r>
      <rPr>
        <b/>
        <sz val="10.5"/>
        <color theme="1" tint="0.14999847407452621"/>
        <rFont val="Calibri"/>
        <family val="2"/>
      </rPr>
      <t>(R$/dom)</t>
    </r>
  </si>
  <si>
    <r>
      <t>VBC — Custo médio</t>
    </r>
    <r>
      <rPr>
        <b/>
        <sz val="10.5"/>
        <color rgb="FFF49426"/>
        <rFont val="Calibri"/>
        <family val="2"/>
      </rPr>
      <t xml:space="preserve"> mensal por domicílio </t>
    </r>
    <r>
      <rPr>
        <b/>
        <sz val="10.5"/>
        <color theme="1" tint="0.14999847407452621"/>
        <rFont val="Calibri"/>
        <family val="2"/>
      </rPr>
      <t>(R$/dom)</t>
    </r>
  </si>
  <si>
    <r>
      <t>VBC — Custo médio unitário</t>
    </r>
    <r>
      <rPr>
        <b/>
        <sz val="10.5"/>
        <color rgb="FFF49426"/>
        <rFont val="Calibri"/>
        <family val="2"/>
      </rPr>
      <t xml:space="preserve"> por m³</t>
    </r>
    <r>
      <rPr>
        <b/>
        <sz val="10.5"/>
        <color theme="1" tint="0.14999847407452621"/>
        <rFont val="Calibri"/>
        <family val="2"/>
      </rPr>
      <t xml:space="preserve"> de água consumida (R$/m³)</t>
    </r>
  </si>
  <si>
    <t>(1) Lançamento anual da TMRS — a cobrança pode ser em parcela única ou mensal</t>
  </si>
  <si>
    <t>Tabela 2 — Estrutura referencial de cálculo da TMRS com base na categoria e no padrão dos imóveis 
(Opção 1 ou 2)</t>
  </si>
  <si>
    <t>Padrão/Área Construída</t>
  </si>
  <si>
    <t>Padrão popular — até 70 m²</t>
  </si>
  <si>
    <t>Padrão médio — de 71 a 200 m²</t>
  </si>
  <si>
    <t>Alto padrão — acima de 201 m²</t>
  </si>
  <si>
    <t>Pequeno porte — até 100 m²</t>
  </si>
  <si>
    <t>Médio porte — entre 100 e 300 m²</t>
  </si>
  <si>
    <t>Grande porte — acima de 300 m²</t>
  </si>
  <si>
    <t>Pequeno porte — até 200 m²</t>
  </si>
  <si>
    <t>Médio porte — entre 200 e 500 m²</t>
  </si>
  <si>
    <t>Grande porte — acima de 500 m²</t>
  </si>
  <si>
    <r>
      <t>Ano</t>
    </r>
    <r>
      <rPr>
        <b/>
        <sz val="12"/>
        <color rgb="FF0066FF"/>
        <rFont val="Calibri"/>
        <family val="2"/>
      </rPr>
      <t>-</t>
    </r>
    <r>
      <rPr>
        <b/>
        <sz val="12"/>
        <rFont val="Calibri"/>
        <family val="2"/>
      </rPr>
      <t>Base</t>
    </r>
  </si>
  <si>
    <t>Tabela 1 — Estrutura referencial de cálculo da TMRS com base 
na categoria dos imóveis e na frequência da coleta (Opção 1 ou 2)</t>
  </si>
  <si>
    <r>
      <t>VBC</t>
    </r>
    <r>
      <rPr>
        <vertAlign val="subscript"/>
        <sz val="12"/>
        <color rgb="FF04272E"/>
        <rFont val="Calibri"/>
        <family val="2"/>
      </rPr>
      <t>tmrs</t>
    </r>
    <r>
      <rPr>
        <sz val="12"/>
        <color rgb="FF04272E"/>
        <rFont val="Calibri"/>
        <family val="2"/>
      </rPr>
      <t xml:space="preserve"> R$/domic</t>
    </r>
  </si>
  <si>
    <r>
      <t>Taxa anual R$/Domic</t>
    </r>
    <r>
      <rPr>
        <vertAlign val="superscript"/>
        <sz val="12"/>
        <color rgb="FF04272E"/>
        <rFont val="Calibri"/>
        <family val="2"/>
      </rPr>
      <t>(1)</t>
    </r>
  </si>
  <si>
    <r>
      <t>Taxa anual</t>
    </r>
    <r>
      <rPr>
        <vertAlign val="superscript"/>
        <sz val="12"/>
        <color rgb="FF04272E"/>
        <rFont val="Calibri"/>
        <family val="2"/>
      </rPr>
      <t xml:space="preserve">(1) </t>
    </r>
    <r>
      <rPr>
        <sz val="12"/>
        <color rgb="FF04272E"/>
        <rFont val="Calibri"/>
        <family val="2"/>
      </rPr>
      <t>R$/domic</t>
    </r>
  </si>
  <si>
    <t>Tabela 3 — Estrutura referencial de cálculo da TMRS com base na categoria dos imóveis, 
na frequência da coleta e no consumo de água (Opção 3)</t>
  </si>
  <si>
    <r>
      <t>Fórmula de cálculo da TMRS =  VBC</t>
    </r>
    <r>
      <rPr>
        <vertAlign val="subscript"/>
        <sz val="10.5"/>
        <color theme="0" tint="-0.499984740745262"/>
        <rFont val="Calibri"/>
        <family val="2"/>
      </rPr>
      <t>TMRS</t>
    </r>
    <r>
      <rPr>
        <sz val="10.5"/>
        <color theme="0" tint="-0.499984740745262"/>
        <rFont val="Calibri"/>
        <family val="2"/>
      </rPr>
      <t xml:space="preserve"> x (Fator a x Fator b</t>
    </r>
    <r>
      <rPr>
        <vertAlign val="subscript"/>
        <sz val="10.5"/>
        <color theme="0" tint="-0.499984740745262"/>
        <rFont val="Calibri"/>
        <family val="2"/>
      </rPr>
      <t xml:space="preserve">1,2 </t>
    </r>
    <r>
      <rPr>
        <sz val="10.5"/>
        <color theme="0" tint="-0.499984740745262"/>
        <rFont val="Calibri"/>
        <family val="2"/>
      </rPr>
      <t>x Fator c)</t>
    </r>
  </si>
  <si>
    <r>
      <t xml:space="preserve">1.Quando o serviço for prestado mediante </t>
    </r>
    <r>
      <rPr>
        <b/>
        <sz val="10.5"/>
        <color rgb="FFF49426"/>
        <rFont val="Calibri"/>
        <family val="2"/>
      </rPr>
      <t>concessão comum</t>
    </r>
    <r>
      <rPr>
        <sz val="10.5"/>
        <color theme="1" tint="0.14999847407452621"/>
        <rFont val="Calibri"/>
        <family val="2"/>
      </rPr>
      <t>, incluindo todas as atividades de coleta até a destinação final adequada, a cobrança do serviço poderá ser feita diretamente pelo prestador, em regime de tarifa, por meio de documento de cobrança específico (conta/fatura). Neste caso, o prestador não receberá qualquer espécie de contraprestação do Município, exceto na forma de investimento, sendo a tarifa e outras receitas acessórias a fonte exclusiva de remuneração do serviço prestado.</t>
    </r>
  </si>
  <si>
    <r>
      <t xml:space="preserve">2. No caso de </t>
    </r>
    <r>
      <rPr>
        <b/>
        <sz val="10.5"/>
        <color rgb="FFF49426"/>
        <rFont val="Calibri"/>
        <family val="2"/>
      </rPr>
      <t>concessão patrocinada (PPP)</t>
    </r>
    <r>
      <rPr>
        <sz val="10.5"/>
        <color rgb="FFF49426"/>
        <rFont val="Calibri"/>
        <family val="2"/>
      </rPr>
      <t>,</t>
    </r>
    <r>
      <rPr>
        <sz val="10.5"/>
        <color theme="1" tint="0.14999847407452621"/>
        <rFont val="Calibri"/>
        <family val="2"/>
      </rPr>
      <t xml:space="preserve"> e desde que o prestador execute todas as etapas do serviço, também poderá ser adotado regime de tarifa. Nesse caso, a remuneração do serviço será coberta parcialmente pela tarifa e outras receitas acessórias e o restante será coberto por meio de contraprestação do Município, na forma pactuada no contrato.</t>
    </r>
  </si>
  <si>
    <r>
      <t xml:space="preserve">5. A jurisprudência existente não é conclusiva sobre a possibilidade de cobrança de tarifa desses serviços, quando houver </t>
    </r>
    <r>
      <rPr>
        <b/>
        <sz val="10.5"/>
        <color rgb="FFF49426"/>
        <rFont val="Calibri"/>
        <family val="2"/>
      </rPr>
      <t>prestação direta</t>
    </r>
    <r>
      <rPr>
        <b/>
        <sz val="10.5"/>
        <color theme="1" tint="0.14999847407452621"/>
        <rFont val="Calibri"/>
        <family val="2"/>
      </rPr>
      <t xml:space="preserve"> </t>
    </r>
    <r>
      <rPr>
        <sz val="10.5"/>
        <color theme="1" tint="0.14999847407452621"/>
        <rFont val="Calibri"/>
        <family val="2"/>
      </rPr>
      <t>por órgão ou entidade municipal. No entanto, por interpretação isonômica com a cobrança de tarifas pela prestação direta dos serviços de abastecimento de água e de esgotamento sanitário, pode-se concluir que também nesse caso pode ser adotado o regime de cobrança de tarifa dos usuários efetivos do serviço.</t>
    </r>
  </si>
  <si>
    <r>
      <t xml:space="preserve">8. Para os imóveis, edificados ou não, que não sejam caracterizados como usuários efetivos dos serviços, somente poderá haver cobrança de </t>
    </r>
    <r>
      <rPr>
        <b/>
        <sz val="10.5"/>
        <color rgb="FFF49426"/>
        <rFont val="Calibri"/>
        <family val="2"/>
      </rPr>
      <t>taxa pela disposição</t>
    </r>
    <r>
      <rPr>
        <sz val="10.5"/>
        <color theme="1" tint="0.14999847407452621"/>
        <rFont val="Calibri"/>
        <family val="2"/>
      </rPr>
      <t xml:space="preserve"> e uso potencial desses serviços. Essa receita pertence ao Município ou à entidade pública prestadora do serviço, mas pode ser vinculada  para o pagamento de contraprestação ao prestador ou para realização de investimentos em infraestruturas do serviço, no caso de prestação em regime de concessão.</t>
    </r>
  </si>
  <si>
    <r>
      <rPr>
        <b/>
        <u/>
        <sz val="10.5"/>
        <color theme="1" tint="0.14999847407452621"/>
        <rFont val="Calibri"/>
        <family val="2"/>
      </rPr>
      <t>Isenções</t>
    </r>
    <r>
      <rPr>
        <sz val="10.5"/>
        <color theme="1" tint="0.14999847407452621"/>
        <rFont val="Calibri"/>
        <family val="2"/>
      </rPr>
      <t xml:space="preserve"> — benefícios fiscais de não pagamento de tributos (impostos, taxas e contribuições) ou de preços públicos (tarifas) concedidos por lei para determinadas categorias de contribuintes ou de usuários de serviços públicos.
</t>
    </r>
    <r>
      <rPr>
        <b/>
        <u/>
        <sz val="10.5"/>
        <color theme="1" tint="0.14999847407452621"/>
        <rFont val="Calibri"/>
        <family val="2"/>
      </rPr>
      <t>Subsídios</t>
    </r>
    <r>
      <rPr>
        <sz val="10.5"/>
        <color theme="1" tint="0.14999847407452621"/>
        <rFont val="Calibri"/>
        <family val="2"/>
      </rPr>
      <t xml:space="preserve"> — benefícios financeiros geralmente concedidos a cidadãos de baixa renda ou a usuários de serviços públicos, sob a forma de desconto integral ou parcial do preço do bem ou serviço (por exemplo, farmácia popular, bolsa escolar) ou da taxa ou tarifa de serviço público, ou mediante pagamento ou repasse de um valor monetário destinado à aquisição ou ao pagamento do bem ou serviço pelo próprio beneficiário.</t>
    </r>
  </si>
  <si>
    <r>
      <t xml:space="preserve">A Constituição Federal (art, 175) admite dois regimes de prestação do serviço público: o </t>
    </r>
    <r>
      <rPr>
        <b/>
        <sz val="10.5"/>
        <color theme="1" tint="0.14999847407452621"/>
        <rFont val="Calibri"/>
        <family val="2"/>
      </rPr>
      <t>Regime de Prestação Direta</t>
    </r>
    <r>
      <rPr>
        <sz val="10.5"/>
        <color theme="1" tint="0.14999847407452621"/>
        <rFont val="Calibri"/>
        <family val="2"/>
      </rPr>
      <t>, que pode ser</t>
    </r>
    <r>
      <rPr>
        <b/>
        <sz val="10.5"/>
        <color theme="1" tint="0.14999847407452621"/>
        <rFont val="Calibri"/>
        <family val="2"/>
      </rPr>
      <t xml:space="preserve"> centralizada</t>
    </r>
    <r>
      <rPr>
        <sz val="10.5"/>
        <color theme="1" tint="0.14999847407452621"/>
        <rFont val="Calibri"/>
        <family val="2"/>
      </rPr>
      <t xml:space="preserve"> ou </t>
    </r>
    <r>
      <rPr>
        <b/>
        <sz val="10.5"/>
        <color theme="1" tint="0.14999847407452621"/>
        <rFont val="Calibri"/>
        <family val="2"/>
      </rPr>
      <t>descentralizada</t>
    </r>
    <r>
      <rPr>
        <sz val="10.5"/>
        <color theme="1" tint="0.14999847407452621"/>
        <rFont val="Calibri"/>
        <family val="2"/>
      </rPr>
      <t xml:space="preserve">, e o </t>
    </r>
    <r>
      <rPr>
        <b/>
        <sz val="10.5"/>
        <color theme="1" tint="0.14999847407452621"/>
        <rFont val="Calibri"/>
        <family val="2"/>
      </rPr>
      <t>Regime de Prestação Indireta</t>
    </r>
    <r>
      <rPr>
        <sz val="10.5"/>
        <color theme="1" tint="0.14999847407452621"/>
        <rFont val="Calibri"/>
        <family val="2"/>
      </rPr>
      <t xml:space="preserve">, mediante delegação a terceiros, que pode ser em regime de concessão precedida de licitação ou, em regime de gestão associada, autorizada por consórcio público ou por convênio de cooperação. 
No regime de prestação direta, a forma de prestação pode ser </t>
    </r>
    <r>
      <rPr>
        <b/>
        <sz val="10.5"/>
        <color theme="1" tint="0.14999847407452621"/>
        <rFont val="Calibri"/>
        <family val="2"/>
      </rPr>
      <t>centralizada</t>
    </r>
    <r>
      <rPr>
        <sz val="10.5"/>
        <color theme="1" tint="0.14999847407452621"/>
        <rFont val="Calibri"/>
        <family val="2"/>
      </rPr>
      <t xml:space="preserve">, feita por órgão da estrutura interna da Administração Direta, ou </t>
    </r>
    <r>
      <rPr>
        <b/>
        <sz val="10.5"/>
        <color theme="1" tint="0.14999847407452621"/>
        <rFont val="Calibri"/>
        <family val="2"/>
      </rPr>
      <t>descentralizada</t>
    </r>
    <r>
      <rPr>
        <sz val="10.5"/>
        <color theme="1" tint="0.14999847407452621"/>
        <rFont val="Calibri"/>
        <family val="2"/>
      </rPr>
      <t xml:space="preserve">, feita por autarquia ou empresa municipal, integrante da Administração Indireta do Município, inclusive consórcio público do qual participe, quando este for o próprio prestador.
No Regime de Prestação Indireta, a prestação pode ser feita por qualquer entidade privada ou estatal, mediante </t>
    </r>
    <r>
      <rPr>
        <b/>
        <sz val="10.5"/>
        <color theme="1" tint="0.14999847407452621"/>
        <rFont val="Calibri"/>
        <family val="2"/>
      </rPr>
      <t>contrato de concessão</t>
    </r>
    <r>
      <rPr>
        <sz val="10.5"/>
        <color theme="1" tint="0.14999847407452621"/>
        <rFont val="Calibri"/>
        <family val="2"/>
      </rPr>
      <t xml:space="preserve"> precedida de licitação ou, no âmbito da gestão associada, por entidade pública ou estatal de outro ente da Federação, mediante contrato de programa, autorizada por consórcio público do qual o Município participe ou por convênio de cooperação. </t>
    </r>
  </si>
  <si>
    <r>
      <rPr>
        <b/>
        <sz val="12"/>
        <color rgb="FF04272E"/>
        <rFont val="Calibri"/>
        <family val="2"/>
      </rPr>
      <t xml:space="preserve">    </t>
    </r>
    <r>
      <rPr>
        <b/>
        <u/>
        <sz val="12"/>
        <color rgb="FF04272E"/>
        <rFont val="Calibri"/>
        <family val="2"/>
      </rPr>
      <t xml:space="preserve"> RETORNAR para o SUMÁRIO</t>
    </r>
  </si>
  <si>
    <t>A ferramenta pode ser aplicada para qualquer forma de prestação do serviço pelo Município, porém é recomendada principalmente para os casos de prestação direta por órgão da Administração Direta (Secretaria, Departamento, Divisão, Setor etc. da Prefeitura) ou por entidade da Administração Indireta (Autarquia ou Empresa Municipal).</t>
  </si>
  <si>
    <t>RETORNAR
 AO SUMÁRIO</t>
  </si>
  <si>
    <r>
      <rPr>
        <b/>
        <sz val="12"/>
        <color rgb="FF04272E"/>
        <rFont val="Calibri"/>
        <family val="2"/>
      </rPr>
      <t xml:space="preserve">      </t>
    </r>
    <r>
      <rPr>
        <b/>
        <u/>
        <sz val="12"/>
        <color rgb="FF04272E"/>
        <rFont val="Calibri"/>
        <family val="2"/>
      </rPr>
      <t>RETORNAR AO SUMÁRIO</t>
    </r>
  </si>
  <si>
    <t>Taxa de depreciação anual (%)</t>
  </si>
  <si>
    <t xml:space="preserve">Esta tabela destina-se a apoiar os gestores do serviço para o levantamento ou cálculo estimativo e gerenciamento das despesas administrativas e operacionais com o serviço de manejo de resíduos sólidos urbanos, caso não disponham de informações identificáveis dessas despesas no sistema de contabilidade da Prefeitura.
Serve também para estimar o custo do serviço no primeiro ano de sua implantação, para efeito de instituição e cálculo das taxas ou tarifas que vigorarão nesse primeiro ano.
Os valores subtotais das despesas dos itens 1 a 6 e das despesas do item 7 devem ser transportados (copiados) para a planilha/aba "5 Cálculo_Custo e VBC" dessa ferramenta. </t>
  </si>
  <si>
    <t>2.2 Serviço de coleta convencional e seletiva</t>
  </si>
  <si>
    <t>2.3 Serviço de triagem/compostagem</t>
  </si>
  <si>
    <t>2.4 Serviço de transbordo</t>
  </si>
  <si>
    <t>2.5 Serviço de operação do aterro sanitário</t>
  </si>
  <si>
    <t>3.2 Serviço de coleta convencional e seletiva</t>
  </si>
  <si>
    <t>3.3 Serviço de triagem/compostagem</t>
  </si>
  <si>
    <t>3.4 Serviço de transbordo</t>
  </si>
  <si>
    <t>3.5 Serviço de operação do aterro sanitário</t>
  </si>
  <si>
    <t>4.2 Serviço de coleta convencional e seletiva</t>
  </si>
  <si>
    <t>4.3 Serviço de triagem/compostagem</t>
  </si>
  <si>
    <t>4.4 Serviço de transbordo</t>
  </si>
  <si>
    <t>4.5 Serviço de operação do aterro sanitário</t>
  </si>
  <si>
    <t>5.2 Serviço de coleta convencional e seletiva</t>
  </si>
  <si>
    <t>5.3 Serviço de triagem/compostagem</t>
  </si>
  <si>
    <t>5.4 Serviço de transbordo</t>
  </si>
  <si>
    <t>5.5 Serviço de operação do aterro sanitário</t>
  </si>
  <si>
    <t>6.2 Serviço de coleta convencional e seletiva</t>
  </si>
  <si>
    <t>6.3 Serviço de triagem/compostagem</t>
  </si>
  <si>
    <t>6.4 Serviço de transbordo</t>
  </si>
  <si>
    <t>6.5 Serviço de operação do aterro sanitário</t>
  </si>
  <si>
    <t>Faixa populacional do município (hab.)</t>
  </si>
  <si>
    <t>Quantidade média de pessoal — próprio + terceirizado</t>
  </si>
  <si>
    <t>Quant de veículos — coleta</t>
  </si>
  <si>
    <t>Desvio-Padrão Médio</t>
  </si>
  <si>
    <t>3 Despesas com serviços terceirizados (exceto mão de obra)</t>
  </si>
  <si>
    <t>6 Despesas com insumos, energia, água e materiais de consumo (exceto combustível)</t>
  </si>
  <si>
    <r>
      <rPr>
        <b/>
        <sz val="12"/>
        <color rgb="FF04272E"/>
        <rFont val="Calibri"/>
        <family val="2"/>
      </rPr>
      <t xml:space="preserve">   </t>
    </r>
    <r>
      <rPr>
        <b/>
        <u/>
        <sz val="12"/>
        <color rgb="FF04272E"/>
        <rFont val="Calibri"/>
        <family val="2"/>
      </rPr>
      <t>RETORNAR para o SUMÁRIO</t>
    </r>
  </si>
  <si>
    <t>Terreno exclusivo do aterro sanitário</t>
  </si>
  <si>
    <t xml:space="preserve">Edificações, instalações e infraestruturas gerais exclusivas do aterro sanitário </t>
  </si>
  <si>
    <r>
      <t xml:space="preserve">1 Despesas com pessoal próprio
</t>
    </r>
    <r>
      <rPr>
        <sz val="12"/>
        <color rgb="FF04272E"/>
        <rFont val="Calibri"/>
        <family val="2"/>
      </rPr>
      <t>(Informar os nomes do pessoal lotado nas atividades abaixo)</t>
    </r>
  </si>
  <si>
    <t xml:space="preserve"> Informar as despesas com pessoal nos períodos abaixo (remunerações, contribuições previdenciárias, assistência médica, vale-refeição e outros benefícios)</t>
  </si>
  <si>
    <r>
      <t xml:space="preserve">A tabela abaixo apresenta informações e parâmetros extraídos do Sistema Nacional de Informações sobre Saneamento (SNIS) relativo ao ano de 2017, publicado em 2018 no site </t>
    </r>
    <r>
      <rPr>
        <i/>
        <sz val="10.5"/>
        <color theme="0" tint="-4.9989318521683403E-2"/>
        <rFont val="Calibri"/>
        <family val="2"/>
      </rPr>
      <t>www.snis.gov.br</t>
    </r>
    <r>
      <rPr>
        <sz val="10.5"/>
        <color theme="0" tint="-4.9989318521683403E-2"/>
        <rFont val="Calibri"/>
        <family val="2"/>
      </rPr>
      <t>, abrangendo 3.556 municípios brasileiros.
Portanto, para eventual utilização dos valores de despesas apontados nesta tabela, deve-se atualizá-los com as informações do SNIS de ano mais recente e corrigidos para o ano corrente, utilizando o índice de reajuste adotado pelo município indicado na planilha/aba "1 Identificação e Parâmetros" — linha 13, colunas J e K.</t>
    </r>
  </si>
  <si>
    <r>
      <rPr>
        <b/>
        <sz val="18"/>
        <color rgb="FFF49426"/>
        <rFont val="Calibri"/>
        <family val="2"/>
      </rPr>
      <t xml:space="preserve">            SUMÁRIO</t>
    </r>
    <r>
      <rPr>
        <b/>
        <sz val="12"/>
        <color rgb="FFF49426"/>
        <rFont val="Calibri"/>
        <family val="2"/>
      </rPr>
      <t xml:space="preserve"> </t>
    </r>
    <r>
      <rPr>
        <b/>
        <sz val="10"/>
        <color rgb="FFF49426"/>
        <rFont val="Calibri"/>
        <family val="2"/>
      </rPr>
      <t>(Clique no número da planilha ou da tabela para acessar)</t>
    </r>
  </si>
  <si>
    <t xml:space="preserve">               Planilhas e tabelas</t>
  </si>
  <si>
    <t xml:space="preserve">           Elaborada por</t>
  </si>
  <si>
    <r>
      <t xml:space="preserve">Esta ferramenta pode ser utilizada de duas formas:
</t>
    </r>
    <r>
      <rPr>
        <b/>
        <u/>
        <sz val="11"/>
        <color rgb="FFF49426"/>
        <rFont val="Calibri"/>
        <family val="2"/>
      </rPr>
      <t>1) Aplicação completa</t>
    </r>
    <r>
      <rPr>
        <sz val="11"/>
        <color theme="1" tint="0.14999847407452621"/>
        <rFont val="Calibri"/>
        <family val="2"/>
      </rPr>
      <t xml:space="preserve">, utilizando todas as planilhas ou abas, identificadas abaixo com os números de 1 a 6, exceto a aba 5.2. Essa aplicação é recomendada quando houver informações financeiras e contábeis detalhadas </t>
    </r>
    <r>
      <rPr>
        <b/>
        <u/>
        <sz val="11"/>
        <color theme="1" tint="0.14999847407452621"/>
        <rFont val="Calibri"/>
        <family val="2"/>
      </rPr>
      <t>e</t>
    </r>
    <r>
      <rPr>
        <sz val="11"/>
        <color theme="1" tint="0.14999847407452621"/>
        <rFont val="Calibri"/>
        <family val="2"/>
      </rPr>
      <t xml:space="preserve"> a prestação envolver diversas atividades, tais como coleta convencional, coleta seletiva, triagem, compostagem, transbordo, operação de aterro sanitário etc., </t>
    </r>
    <r>
      <rPr>
        <b/>
        <u/>
        <sz val="11"/>
        <color theme="1" tint="0.14999847407452621"/>
        <rFont val="Calibri"/>
        <family val="2"/>
      </rPr>
      <t>ou</t>
    </r>
    <r>
      <rPr>
        <sz val="11"/>
        <color theme="1" tint="0.14999847407452621"/>
        <rFont val="Calibri"/>
        <family val="2"/>
      </rPr>
      <t xml:space="preserve"> quando o serviço for prestado por um único órgão ou entidade; ou
</t>
    </r>
    <r>
      <rPr>
        <b/>
        <u/>
        <sz val="11"/>
        <color rgb="FFF49426"/>
        <rFont val="Calibri"/>
        <family val="2"/>
      </rPr>
      <t>2) Aplicação simplificada</t>
    </r>
    <r>
      <rPr>
        <sz val="11"/>
        <color theme="1" tint="0.14999847407452621"/>
        <rFont val="Calibri"/>
        <family val="2"/>
      </rPr>
      <t xml:space="preserve">, utilizando somente as planilhas (abas) números 1, 5.2 e 6 abaixo. Essa aplicação é recomendada quando não houver informações detalhadas das despesas dos serviços </t>
    </r>
    <r>
      <rPr>
        <b/>
        <u/>
        <sz val="11"/>
        <color theme="1" tint="0.14999847407452621"/>
        <rFont val="Calibri"/>
        <family val="2"/>
      </rPr>
      <t>ou</t>
    </r>
    <r>
      <rPr>
        <sz val="11"/>
        <color theme="1" tint="0.14999847407452621"/>
        <rFont val="Calibri"/>
        <family val="2"/>
      </rPr>
      <t xml:space="preserve"> quando a prestação envolver somente as atividades de coleta de resíduos domiciliares (coleta de lixo) e operação de aterro sanitário.
</t>
    </r>
    <r>
      <rPr>
        <b/>
        <sz val="11"/>
        <color theme="1" tint="0.14999847407452621"/>
        <rFont val="Calibri"/>
        <family val="2"/>
      </rPr>
      <t>Qualquer que seja a forma escolhida, os campos da planilha</t>
    </r>
    <r>
      <rPr>
        <sz val="11"/>
        <color theme="1" tint="0.14999847407452621"/>
        <rFont val="Calibri"/>
        <family val="2"/>
      </rPr>
      <t xml:space="preserve"> </t>
    </r>
    <r>
      <rPr>
        <b/>
        <sz val="11"/>
        <color theme="1" tint="0.14999847407452621"/>
        <rFont val="Calibri"/>
        <family val="2"/>
      </rPr>
      <t>"1 Identificação e Parâmetros" devem ser</t>
    </r>
    <r>
      <rPr>
        <b/>
        <sz val="11"/>
        <color rgb="FFF49426"/>
        <rFont val="Calibri"/>
        <family val="2"/>
      </rPr>
      <t xml:space="preserve"> OBRIGATORIAMENTE </t>
    </r>
    <r>
      <rPr>
        <b/>
        <sz val="11"/>
        <color theme="1" tint="0.14999847407452621"/>
        <rFont val="Calibri"/>
        <family val="2"/>
      </rPr>
      <t>preenchidos.</t>
    </r>
  </si>
  <si>
    <r>
      <t xml:space="preserve">Para facilitar sua aplicação, esta ferramenta tem duas planilhas (abas) auxiliares: 
a) </t>
    </r>
    <r>
      <rPr>
        <b/>
        <sz val="11"/>
        <color theme="1" tint="0.14999847407452621"/>
        <rFont val="Calibri"/>
        <family val="2"/>
      </rPr>
      <t>P</t>
    </r>
    <r>
      <rPr>
        <b/>
        <u/>
        <sz val="11"/>
        <color theme="1" tint="0.14999847407452621"/>
        <rFont val="Calibri"/>
        <family val="2"/>
      </rPr>
      <t>lanilha 7</t>
    </r>
    <r>
      <rPr>
        <sz val="11"/>
        <color theme="1" tint="0.14999847407452621"/>
        <rFont val="Calibri"/>
        <family val="2"/>
      </rPr>
      <t xml:space="preserve">, contendo um </t>
    </r>
    <r>
      <rPr>
        <b/>
        <sz val="11"/>
        <color theme="1" tint="0.14999847407452621"/>
        <rFont val="Calibri"/>
        <family val="2"/>
      </rPr>
      <t xml:space="preserve">glossário </t>
    </r>
    <r>
      <rPr>
        <sz val="11"/>
        <color theme="1" tint="0.14999847407452621"/>
        <rFont val="Calibri"/>
        <family val="2"/>
      </rPr>
      <t>explicativo das expressões e dos conceitos utilizados;</t>
    </r>
    <r>
      <rPr>
        <b/>
        <sz val="11"/>
        <color theme="1" tint="0.14999847407452621"/>
        <rFont val="Calibri"/>
        <family val="2"/>
      </rPr>
      <t xml:space="preserve">
</t>
    </r>
    <r>
      <rPr>
        <sz val="11"/>
        <color theme="1" tint="0.14999847407452621"/>
        <rFont val="Calibri"/>
        <family val="2"/>
      </rPr>
      <t xml:space="preserve">b) </t>
    </r>
    <r>
      <rPr>
        <b/>
        <sz val="11"/>
        <color theme="1" tint="0.14999847407452621"/>
        <rFont val="Calibri"/>
        <family val="2"/>
      </rPr>
      <t>P</t>
    </r>
    <r>
      <rPr>
        <b/>
        <u/>
        <sz val="11"/>
        <color theme="1" tint="0.14999847407452621"/>
        <rFont val="Calibri"/>
        <family val="2"/>
      </rPr>
      <t>lanilha 8</t>
    </r>
    <r>
      <rPr>
        <sz val="11"/>
        <color theme="1" tint="0.14999847407452621"/>
        <rFont val="Calibri"/>
        <family val="2"/>
      </rPr>
      <t xml:space="preserve">, contendo </t>
    </r>
    <r>
      <rPr>
        <b/>
        <sz val="11"/>
        <color theme="1" tint="0.14999847407452621"/>
        <rFont val="Calibri"/>
        <family val="2"/>
      </rPr>
      <t>orientações e tabelas auxiliares</t>
    </r>
    <r>
      <rPr>
        <sz val="11"/>
        <color theme="1" tint="0.14999847407452621"/>
        <rFont val="Calibri"/>
        <family val="2"/>
      </rPr>
      <t xml:space="preserve"> para levantamento de informações para o cálculo ou a estimação das despesas mais importantes para a composição do custo dos serviços, inclusive sobre o ativo imobilizado e cálculo da depreciação. Esta planilha também mostra uma tabela de </t>
    </r>
    <r>
      <rPr>
        <b/>
        <sz val="11"/>
        <color theme="1" tint="0.14999847407452621"/>
        <rFont val="Calibri"/>
        <family val="2"/>
      </rPr>
      <t xml:space="preserve">parâmetros extraídos do Sistema Nacional de Informações sobre Saneamento </t>
    </r>
    <r>
      <rPr>
        <sz val="11"/>
        <color theme="1" tint="0.14999847407452621"/>
        <rFont val="Calibri"/>
        <family val="2"/>
      </rPr>
      <t>(SNIS), mantido pela Secretaria Nacional de Saneamento do Ministério do Desenvolvimento Regional (SNSA/MDR).
O glossário das expressões e as tabelas auxiliares podem ser acessados por meio de link marcado nos campos das planilhas em que estes elementos são utilizados.</t>
    </r>
  </si>
  <si>
    <t>Santo do Pau Oco - MN</t>
  </si>
  <si>
    <t>Secretaria do Meio Ambiente</t>
  </si>
  <si>
    <t>Prestação direta por órgão da Admnistração Direta</t>
  </si>
  <si>
    <t>INPC</t>
  </si>
  <si>
    <t>1 - Reajuste de todas parcelas</t>
  </si>
  <si>
    <t>João da Silva Fulano de Tal</t>
  </si>
  <si>
    <t>Final</t>
  </si>
  <si>
    <t>José Filho de Sicrano</t>
  </si>
  <si>
    <r>
      <t xml:space="preserve">Esta planilha somente deve ser utilizada se for escolhida a aplicação da </t>
    </r>
    <r>
      <rPr>
        <b/>
        <u/>
        <sz val="10.5"/>
        <color theme="0" tint="-4.9989318521683403E-2"/>
        <rFont val="Calibri"/>
        <family val="2"/>
      </rPr>
      <t>VERSÃO SIMPLIFICADA</t>
    </r>
    <r>
      <rPr>
        <b/>
        <sz val="10.5"/>
        <color theme="0" tint="-4.9989318521683403E-2"/>
        <rFont val="Calibri"/>
        <family val="2"/>
      </rPr>
      <t xml:space="preserve"> da ferramenta.
Neste caso, as informações das despesas podem ser inseridas diretamente nesta planilha.</t>
    </r>
  </si>
  <si>
    <t>Esta ferramenta compõe uma modelagem simplificada da metodologia de cálculo dos custos do serviço de manejo de resíduos sólidos urbanos e do valor básico de cálculo (VBC) das taxas ou tarifas devidas pela disposição e prestação desse serviço, conforme a regulação municipal e as diretrizes da Lei Federal nº 11.445/2007.
Não devem integrar os custos dos serviços de manejo de resíduos sólidos urbanos as despesas e os gastos com atividades específicas e exclusivas do Serviço de Limpeza Urbana, tais como varrição de vias e logradouros públicos, podas de árvores e manutenção de praças e jardins, limpeza de bocas de lobo etc.</t>
  </si>
  <si>
    <t>Legenda de cores das células:</t>
  </si>
  <si>
    <t xml:space="preserve"> Verde - Informação a ser fornecida pelo usuário</t>
  </si>
  <si>
    <t xml:space="preserve"> Vermelho - Erro de cálculo nesta célula</t>
  </si>
  <si>
    <t xml:space="preserve"> Amarelo - Resultado de cálculo</t>
  </si>
  <si>
    <t xml:space="preserve"> Branco - Outros resultados de cálculo</t>
  </si>
  <si>
    <t>Azul - Células de totalização, resultados de cálculo a medida que você alimenta os dados</t>
  </si>
  <si>
    <t>Campos sem informações. Células bloqueadas para inserção de dados</t>
  </si>
  <si>
    <t>ATENÇÃO: Preencher/alterar somente as células em verde.</t>
  </si>
  <si>
    <r>
      <rPr>
        <sz val="12"/>
        <color theme="0" tint="-4.9989318521683403E-2"/>
        <rFont val="Calibri"/>
        <family val="2"/>
      </rPr>
      <t>Taxas de</t>
    </r>
    <r>
      <rPr>
        <sz val="12"/>
        <rFont val="Calibri"/>
        <family val="2"/>
      </rPr>
      <t xml:space="preserve"> </t>
    </r>
    <r>
      <rPr>
        <sz val="12"/>
        <color rgb="FFF49426"/>
        <rFont val="Calibri"/>
        <family val="2"/>
      </rPr>
      <t>depreciação, amortização</t>
    </r>
    <r>
      <rPr>
        <sz val="12"/>
        <color theme="0" tint="-4.9989318521683403E-2"/>
        <rFont val="Calibri"/>
        <family val="2"/>
      </rPr>
      <t xml:space="preserve"> </t>
    </r>
    <r>
      <rPr>
        <sz val="12"/>
        <color theme="9"/>
        <rFont val="Calibri"/>
        <family val="2"/>
      </rPr>
      <t>e exaustão</t>
    </r>
    <r>
      <rPr>
        <sz val="12"/>
        <color theme="0" tint="-4.9989318521683403E-2"/>
        <rFont val="Calibri"/>
        <family val="2"/>
      </rPr>
      <t xml:space="preserve"> sugeridas</t>
    </r>
    <r>
      <rPr>
        <sz val="12"/>
        <rFont val="Calibri"/>
        <family val="2"/>
      </rPr>
      <t xml:space="preserve">
</t>
    </r>
    <r>
      <rPr>
        <b/>
        <sz val="12"/>
        <color rgb="FFF49426"/>
        <rFont val="Calibri"/>
        <family val="2"/>
      </rPr>
      <t>(% por ano)</t>
    </r>
  </si>
  <si>
    <t>Preço unitário da taxa/tarifa por faixa                         R$/m³ de água</t>
  </si>
  <si>
    <t>VBC — Valor Básico de Cálculo R$/m³ de água</t>
  </si>
  <si>
    <t>Simulação de taxa/tarifa individual (média da faixa)                         R$ / Domicílio / mês</t>
  </si>
  <si>
    <r>
      <t>Desenvolvedores (GOPA Infra-Adelphi):</t>
    </r>
    <r>
      <rPr>
        <sz val="10"/>
        <rFont val="Arial"/>
        <family val="2"/>
      </rPr>
      <t xml:space="preserve"> João Peixoto </t>
    </r>
  </si>
  <si>
    <r>
      <t>Equipe Técnica ProteGEEr (GOPA Infra-Adelphi):</t>
    </r>
    <r>
      <rPr>
        <sz val="10"/>
        <rFont val="Arial"/>
        <family val="2"/>
      </rPr>
      <t xml:space="preserve"> Jan Janssen, Guilherme Gonçalves e Rebeca Borges</t>
    </r>
  </si>
  <si>
    <r>
      <t>Contato:</t>
    </r>
    <r>
      <rPr>
        <sz val="10"/>
        <rFont val="Arial"/>
        <family val="2"/>
      </rPr>
      <t xml:space="preserve"> sanearbrasil@mdr.gov.br</t>
    </r>
  </si>
  <si>
    <r>
      <t xml:space="preserve">Acesse o </t>
    </r>
    <r>
      <rPr>
        <b/>
        <sz val="11"/>
        <color rgb="FF005A6E"/>
        <rFont val="Calibri"/>
        <family val="2"/>
      </rPr>
      <t>Manual de Utilização da Planilha de Cálculo de Taxas ou Tarifas dos Serviços de Manejo de Resíduos Sólidos Urbanos</t>
    </r>
    <r>
      <rPr>
        <sz val="11"/>
        <color rgb="FF005A6E"/>
        <rFont val="Calibri"/>
        <family val="2"/>
      </rPr>
      <t xml:space="preserve"> disponível para </t>
    </r>
    <r>
      <rPr>
        <u/>
        <sz val="11"/>
        <color rgb="FF005A6E"/>
        <rFont val="Calibri"/>
        <family val="2"/>
      </rPr>
      <t>download</t>
    </r>
    <r>
      <rPr>
        <sz val="11"/>
        <color rgb="FF005A6E"/>
        <rFont val="Calibri"/>
        <family val="2"/>
      </rPr>
      <t xml:space="preserve"> no site: https://www.gov.br/mdr/pt-br/assuntos/saneamento/protegeer</t>
    </r>
  </si>
  <si>
    <r>
      <t>Elaborado por:</t>
    </r>
    <r>
      <rPr>
        <sz val="10"/>
        <rFont val="Arial"/>
        <family val="2"/>
      </rPr>
      <t xml:space="preserve"> Ministério do Desenvolvimento Regional e Fundação Nacional da Saúde</t>
    </r>
  </si>
  <si>
    <r>
      <t>Por meio do:</t>
    </r>
    <r>
      <rPr>
        <sz val="10"/>
        <rFont val="Arial"/>
        <family val="2"/>
      </rPr>
      <t xml:space="preserve"> Ministério do Meio Ambiente, Proteção da Natureza e Segurança Nuclear da Alemanha, Deutsche Gesellschaft für Internationale Zusammenarbeit (GIZ) GmbH e Projeto de Cooperação para Proteção do Clima na Gestão de Resíduos Sólidos Urbanos - ProteGEEr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</si>
</sst>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R$&quot;\ * #,##0.00_-;\-&quot;R$&quot;\ * #,##0.00_-;_-&quot;R$&quot;\ * &quot;-&quot;??_-;_-@_-"/>
    <numFmt numFmtId="43" formatCode="_-* #,##0.00_-;\-* #,##0.00_-;_-* &quot;-&quot;??_-;_-@_-"/>
    <numFmt numFmtId="164" formatCode="#,##0_ ;[Red]\-#,##0\ "/>
    <numFmt numFmtId="165" formatCode="[$-416]mmmm\-yy;@"/>
    <numFmt numFmtId="166" formatCode="0_ ;[Red]\-0\ "/>
    <numFmt numFmtId="167" formatCode="#,##0.00_ ;[Red]\-#,##0.00\ "/>
    <numFmt numFmtId="168" formatCode="0.0"/>
    <numFmt numFmtId="169" formatCode="0.0%"/>
    <numFmt numFmtId="170" formatCode="&quot;R$&quot;#,##0.00"/>
    <numFmt numFmtId="171" formatCode="#,##0.0"/>
    <numFmt numFmtId="172" formatCode="#,##0.0000"/>
    <numFmt numFmtId="173" formatCode="_-* #,##0_-;\-* #,##0_-;_-* &quot;-&quot;??_-;_-@_-"/>
    <numFmt numFmtId="174" formatCode="_-* #,##0.000_-;\-* #,##0.000_-;_-* &quot;-&quot;??_-;_-@_-"/>
  </numFmts>
  <fonts count="136" x14ac:knownFonts="1">
    <font>
      <sz val="10"/>
      <name val="Arial"/>
      <family val="2"/>
    </font>
    <font>
      <sz val="11"/>
      <color theme="1"/>
      <name val="Calibri"/>
      <family val="2"/>
      <scheme val="minor"/>
    </font>
    <font>
      <sz val="11"/>
      <color theme="1"/>
      <name val="Calibri"/>
      <family val="2"/>
      <scheme val="minor"/>
    </font>
    <font>
      <sz val="10"/>
      <name val="Arial"/>
      <family val="2"/>
    </font>
    <font>
      <b/>
      <sz val="12"/>
      <name val="Arial"/>
      <family val="2"/>
    </font>
    <font>
      <b/>
      <sz val="11"/>
      <name val="Arial"/>
      <family val="2"/>
    </font>
    <font>
      <sz val="11"/>
      <name val="Arial"/>
      <family val="2"/>
    </font>
    <font>
      <b/>
      <sz val="9"/>
      <color indexed="81"/>
      <name val="Tahoma"/>
      <family val="2"/>
    </font>
    <font>
      <sz val="9"/>
      <color indexed="81"/>
      <name val="Tahoma"/>
      <family val="2"/>
    </font>
    <font>
      <sz val="9"/>
      <name val="Arial"/>
      <family val="2"/>
    </font>
    <font>
      <sz val="11"/>
      <color rgb="FFFF0000"/>
      <name val="Arial"/>
      <family val="2"/>
    </font>
    <font>
      <u/>
      <sz val="10"/>
      <color theme="10"/>
      <name val="Arial"/>
      <family val="2"/>
    </font>
    <font>
      <b/>
      <sz val="10"/>
      <color rgb="FFFF0000"/>
      <name val="Arial"/>
      <family val="2"/>
    </font>
    <font>
      <sz val="12"/>
      <name val="Arial"/>
      <family val="2"/>
    </font>
    <font>
      <sz val="10"/>
      <color rgb="FFFF0000"/>
      <name val="Arial"/>
      <family val="2"/>
    </font>
    <font>
      <b/>
      <sz val="9"/>
      <color rgb="FF000000"/>
      <name val="Tahoma"/>
      <family val="2"/>
    </font>
    <font>
      <sz val="9"/>
      <color rgb="FF000000"/>
      <name val="Tahoma"/>
      <family val="2"/>
    </font>
    <font>
      <b/>
      <sz val="12"/>
      <name val="Calibri"/>
      <family val="2"/>
    </font>
    <font>
      <b/>
      <sz val="11"/>
      <name val="Calibri"/>
      <family val="2"/>
    </font>
    <font>
      <sz val="11"/>
      <name val="Calibri"/>
      <family val="2"/>
    </font>
    <font>
      <sz val="10"/>
      <name val="Calibri"/>
      <family val="2"/>
    </font>
    <font>
      <b/>
      <u/>
      <sz val="12"/>
      <name val="Calibri"/>
      <family val="2"/>
    </font>
    <font>
      <b/>
      <sz val="12"/>
      <color rgb="FF95D6D3"/>
      <name val="Calibri"/>
      <family val="2"/>
    </font>
    <font>
      <b/>
      <sz val="12"/>
      <color rgb="FF04272E"/>
      <name val="Calibri"/>
      <family val="2"/>
    </font>
    <font>
      <sz val="10.5"/>
      <color rgb="FF04272E"/>
      <name val="Calibri"/>
      <family val="2"/>
    </font>
    <font>
      <sz val="10.5"/>
      <name val="Calibri"/>
      <family val="2"/>
    </font>
    <font>
      <u/>
      <sz val="10.5"/>
      <color rgb="FF005A6E"/>
      <name val="Calibri"/>
      <family val="2"/>
    </font>
    <font>
      <u/>
      <sz val="10.5"/>
      <name val="Calibri"/>
      <family val="2"/>
    </font>
    <font>
      <b/>
      <sz val="10.5"/>
      <name val="Calibri"/>
      <family val="2"/>
    </font>
    <font>
      <b/>
      <sz val="10.5"/>
      <color rgb="FFFF0000"/>
      <name val="Calibri"/>
      <family val="2"/>
    </font>
    <font>
      <b/>
      <u/>
      <sz val="10.5"/>
      <color rgb="FF005A6E"/>
      <name val="Calibri"/>
      <family val="2"/>
    </font>
    <font>
      <sz val="10.5"/>
      <color theme="1" tint="0.14999847407452621"/>
      <name val="Calibri"/>
      <family val="2"/>
    </font>
    <font>
      <b/>
      <sz val="10.5"/>
      <color theme="1" tint="0.14999847407452621"/>
      <name val="Calibri"/>
      <family val="2"/>
    </font>
    <font>
      <sz val="12"/>
      <name val="Calibri"/>
      <family val="2"/>
    </font>
    <font>
      <b/>
      <sz val="14"/>
      <color rgb="FF04272E"/>
      <name val="Calibri"/>
      <family val="2"/>
    </font>
    <font>
      <sz val="12"/>
      <color theme="1" tint="0.14999847407452621"/>
      <name val="Calibri"/>
      <family val="2"/>
    </font>
    <font>
      <b/>
      <sz val="12"/>
      <color rgb="FFF49426"/>
      <name val="Calibri"/>
      <family val="2"/>
    </font>
    <font>
      <b/>
      <sz val="14"/>
      <color rgb="FF95D6D3"/>
      <name val="Calibri"/>
      <family val="2"/>
    </font>
    <font>
      <b/>
      <sz val="14"/>
      <color rgb="FFF49426"/>
      <name val="Calibri"/>
      <family val="2"/>
    </font>
    <font>
      <b/>
      <sz val="10"/>
      <color rgb="FFF49426"/>
      <name val="Calibri"/>
      <family val="2"/>
    </font>
    <font>
      <b/>
      <sz val="9"/>
      <color rgb="FFFF0000"/>
      <name val="Tahoma"/>
      <family val="2"/>
    </font>
    <font>
      <b/>
      <u/>
      <sz val="10.5"/>
      <color rgb="FF04272E"/>
      <name val="Calibri"/>
      <family val="2"/>
    </font>
    <font>
      <b/>
      <sz val="10.5"/>
      <color indexed="8"/>
      <name val="Calibri"/>
      <family val="2"/>
    </font>
    <font>
      <sz val="10.5"/>
      <color indexed="8"/>
      <name val="Calibri"/>
      <family val="2"/>
    </font>
    <font>
      <b/>
      <sz val="10.5"/>
      <color rgb="FFF49426"/>
      <name val="Calibri"/>
      <family val="2"/>
    </font>
    <font>
      <sz val="10.5"/>
      <color rgb="FFFF0000"/>
      <name val="Calibri"/>
      <family val="2"/>
    </font>
    <font>
      <sz val="10.5"/>
      <color rgb="FFF49426"/>
      <name val="Calibri"/>
      <family val="2"/>
    </font>
    <font>
      <sz val="10.5"/>
      <color theme="0" tint="-0.14999847407452621"/>
      <name val="Calibri"/>
      <family val="2"/>
    </font>
    <font>
      <sz val="10"/>
      <color rgb="FFFF0000"/>
      <name val="Calibri"/>
      <family val="2"/>
    </font>
    <font>
      <b/>
      <sz val="11"/>
      <color rgb="FF04272E"/>
      <name val="Calibri"/>
      <family val="2"/>
    </font>
    <font>
      <b/>
      <sz val="10.5"/>
      <color rgb="FF04272E"/>
      <name val="Calibri"/>
      <family val="2"/>
    </font>
    <font>
      <b/>
      <u/>
      <sz val="12"/>
      <color rgb="FF04272E"/>
      <name val="Calibri"/>
      <family val="2"/>
    </font>
    <font>
      <u/>
      <sz val="10.5"/>
      <color theme="1" tint="0.14999847407452621"/>
      <name val="Calibri"/>
      <family val="2"/>
    </font>
    <font>
      <b/>
      <sz val="10.5"/>
      <color theme="0" tint="-4.9989318521683403E-2"/>
      <name val="Calibri"/>
      <family val="2"/>
    </font>
    <font>
      <b/>
      <u/>
      <sz val="10.5"/>
      <color theme="1" tint="0.14999847407452621"/>
      <name val="Calibri"/>
      <family val="2"/>
    </font>
    <font>
      <b/>
      <u/>
      <sz val="10.5"/>
      <color rgb="FFF49426"/>
      <name val="Calibri"/>
      <family val="2"/>
    </font>
    <font>
      <sz val="12"/>
      <name val="Arial"/>
      <family val="1"/>
    </font>
    <font>
      <b/>
      <sz val="12"/>
      <color rgb="FF04272E"/>
      <name val="Calibri"/>
      <family val="1"/>
    </font>
    <font>
      <sz val="12"/>
      <name val="Calibri"/>
      <family val="1"/>
    </font>
    <font>
      <sz val="10.5"/>
      <color theme="0" tint="-4.9989318521683403E-2"/>
      <name val="Calibri"/>
      <family val="2"/>
    </font>
    <font>
      <sz val="10"/>
      <color theme="1" tint="0.14999847407452621"/>
      <name val="Calibri"/>
      <family val="2"/>
    </font>
    <font>
      <b/>
      <sz val="10.5"/>
      <color rgb="FF005A6E"/>
      <name val="Calibri"/>
      <family val="2"/>
    </font>
    <font>
      <sz val="10"/>
      <color theme="0" tint="-0.499984740745262"/>
      <name val="Calibri"/>
      <family val="2"/>
    </font>
    <font>
      <sz val="10.5"/>
      <color rgb="FF005A6E"/>
      <name val="Calibri"/>
      <family val="2"/>
    </font>
    <font>
      <sz val="10"/>
      <color theme="1" tint="0.499984740745262"/>
      <name val="Calibri"/>
      <family val="2"/>
    </font>
    <font>
      <b/>
      <vertAlign val="superscript"/>
      <sz val="10.5"/>
      <color rgb="FF005A6E"/>
      <name val="Calibri"/>
      <family val="2"/>
    </font>
    <font>
      <vertAlign val="superscript"/>
      <sz val="10.5"/>
      <color theme="1" tint="0.14999847407452621"/>
      <name val="Calibri"/>
      <family val="2"/>
    </font>
    <font>
      <b/>
      <sz val="12"/>
      <color theme="1" tint="0.14999847407452621"/>
      <name val="Calibri"/>
      <family val="2"/>
    </font>
    <font>
      <b/>
      <sz val="12"/>
      <color theme="0"/>
      <name val="Calibri"/>
      <family val="2"/>
    </font>
    <font>
      <sz val="11"/>
      <color rgb="FFFF0000"/>
      <name val="Calibri"/>
      <family val="2"/>
    </font>
    <font>
      <b/>
      <sz val="12"/>
      <color rgb="FF0066FF"/>
      <name val="Calibri"/>
      <family val="2"/>
    </font>
    <font>
      <sz val="10.5"/>
      <color theme="1" tint="0.499984740745262"/>
      <name val="Calibri"/>
      <family val="2"/>
    </font>
    <font>
      <b/>
      <u/>
      <sz val="14"/>
      <color rgb="FF95D6D3"/>
      <name val="Calibri"/>
      <family val="2"/>
    </font>
    <font>
      <sz val="10.5"/>
      <color theme="9" tint="-0.249977111117893"/>
      <name val="Calibri"/>
      <family val="2"/>
    </font>
    <font>
      <sz val="10.5"/>
      <color theme="0" tint="-0.499984740745262"/>
      <name val="Calibri"/>
      <family val="2"/>
    </font>
    <font>
      <sz val="12"/>
      <color rgb="FFF49426"/>
      <name val="Calibri"/>
      <family val="2"/>
    </font>
    <font>
      <sz val="10.5"/>
      <color rgb="FFFF0000"/>
      <name val="Calibri"/>
      <family val="1"/>
    </font>
    <font>
      <sz val="10.5"/>
      <name val="Calibri"/>
      <family val="1"/>
    </font>
    <font>
      <sz val="10.5"/>
      <color indexed="8"/>
      <name val="Calibri"/>
      <family val="1"/>
    </font>
    <font>
      <sz val="12"/>
      <color theme="0" tint="-4.9989318521683403E-2"/>
      <name val="Calibri"/>
      <family val="2"/>
    </font>
    <font>
      <b/>
      <sz val="10.5"/>
      <color rgb="FF005A6E"/>
      <name val="Calibri"/>
      <family val="1"/>
    </font>
    <font>
      <sz val="10.5"/>
      <color theme="1" tint="0.14999847407452621"/>
      <name val="Calibri"/>
      <family val="1"/>
    </font>
    <font>
      <b/>
      <sz val="14"/>
      <color rgb="FF95D6D3"/>
      <name val="Calibri"/>
      <family val="1"/>
    </font>
    <font>
      <sz val="10"/>
      <color theme="0" tint="-0.499984740745262"/>
      <name val="Calibri"/>
      <family val="1"/>
    </font>
    <font>
      <b/>
      <sz val="10"/>
      <color theme="0" tint="-0.499984740745262"/>
      <name val="Calibri"/>
      <family val="2"/>
    </font>
    <font>
      <b/>
      <sz val="10.5"/>
      <color theme="0" tint="-4.9989318521683403E-2"/>
      <name val="Calibri"/>
      <family val="1"/>
    </font>
    <font>
      <b/>
      <sz val="10.5"/>
      <color theme="1" tint="0.14999847407452621"/>
      <name val="Calibri"/>
      <family val="1"/>
    </font>
    <font>
      <sz val="10"/>
      <color rgb="FF005A6E"/>
      <name val="Arial"/>
      <family val="1"/>
    </font>
    <font>
      <b/>
      <u/>
      <sz val="10.5"/>
      <color rgb="FF005A6E"/>
      <name val="Calibri"/>
      <family val="1"/>
    </font>
    <font>
      <b/>
      <u/>
      <sz val="9"/>
      <color rgb="FFFF0000"/>
      <name val="Tahoma"/>
      <family val="2"/>
    </font>
    <font>
      <b/>
      <u/>
      <sz val="12"/>
      <color theme="1" tint="0.14999847407452621"/>
      <name val="Calibri"/>
      <family val="2"/>
    </font>
    <font>
      <sz val="9"/>
      <color rgb="FFFF0000"/>
      <name val="Tahoma"/>
      <family val="2"/>
    </font>
    <font>
      <b/>
      <sz val="12"/>
      <color indexed="8"/>
      <name val="Calibri"/>
      <family val="2"/>
    </font>
    <font>
      <sz val="12"/>
      <color rgb="FF04272E"/>
      <name val="Calibri"/>
      <family val="2"/>
    </font>
    <font>
      <b/>
      <sz val="12"/>
      <color theme="9" tint="-0.249977111117893"/>
      <name val="Calibri"/>
      <family val="2"/>
    </font>
    <font>
      <b/>
      <u/>
      <sz val="12"/>
      <color rgb="FF005A6E"/>
      <name val="Calibri"/>
      <family val="2"/>
    </font>
    <font>
      <vertAlign val="subscript"/>
      <sz val="12"/>
      <color rgb="FF04272E"/>
      <name val="Calibri"/>
      <family val="2"/>
    </font>
    <font>
      <vertAlign val="superscript"/>
      <sz val="12"/>
      <color rgb="FF04272E"/>
      <name val="Calibri"/>
      <family val="2"/>
    </font>
    <font>
      <sz val="10.5"/>
      <color rgb="FF95D6D3"/>
      <name val="Calibri"/>
      <family val="2"/>
    </font>
    <font>
      <vertAlign val="subscript"/>
      <sz val="10.5"/>
      <color theme="0" tint="-0.499984740745262"/>
      <name val="Calibri"/>
      <family val="2"/>
    </font>
    <font>
      <b/>
      <u/>
      <sz val="10"/>
      <color rgb="FF005A6E"/>
      <name val="Calibri"/>
      <family val="2"/>
    </font>
    <font>
      <b/>
      <sz val="18"/>
      <color rgb="FFF49426"/>
      <name val="Calibri"/>
      <family val="2"/>
    </font>
    <font>
      <sz val="14"/>
      <color rgb="FF95D6D3"/>
      <name val="Calibri"/>
      <family val="2"/>
    </font>
    <font>
      <sz val="10.5"/>
      <color theme="1"/>
      <name val="Calibri"/>
      <family val="2"/>
    </font>
    <font>
      <i/>
      <sz val="10.5"/>
      <color theme="0" tint="-4.9989318521683403E-2"/>
      <name val="Calibri"/>
      <family val="2"/>
    </font>
    <font>
      <b/>
      <sz val="14"/>
      <color theme="1" tint="0.14999847407452621"/>
      <name val="Calibri"/>
      <family val="2"/>
    </font>
    <font>
      <sz val="11"/>
      <color theme="1" tint="0.14999847407452621"/>
      <name val="Calibri"/>
      <family val="2"/>
    </font>
    <font>
      <b/>
      <u/>
      <sz val="11"/>
      <color rgb="FFF49426"/>
      <name val="Calibri"/>
      <family val="2"/>
    </font>
    <font>
      <b/>
      <u/>
      <sz val="11"/>
      <color theme="1" tint="0.14999847407452621"/>
      <name val="Calibri"/>
      <family val="2"/>
    </font>
    <font>
      <b/>
      <sz val="11"/>
      <color theme="1" tint="0.14999847407452621"/>
      <name val="Calibri"/>
      <family val="2"/>
    </font>
    <font>
      <b/>
      <sz val="11"/>
      <color rgb="FFF49426"/>
      <name val="Calibri"/>
      <family val="2"/>
    </font>
    <font>
      <sz val="14"/>
      <name val="Calibri"/>
      <family val="2"/>
    </font>
    <font>
      <sz val="10.5"/>
      <color rgb="FFE32914"/>
      <name val="Calibri"/>
      <family val="2"/>
    </font>
    <font>
      <b/>
      <u/>
      <sz val="10.5"/>
      <color theme="0" tint="-4.9989318521683403E-2"/>
      <name val="Calibri"/>
      <family val="2"/>
    </font>
    <font>
      <sz val="10.5"/>
      <color rgb="FFCCDCCF"/>
      <name val="Calibri"/>
      <family val="2"/>
    </font>
    <font>
      <sz val="10.4"/>
      <color theme="1" tint="0.14999847407452621"/>
      <name val="Calibri"/>
      <family val="1"/>
    </font>
    <font>
      <sz val="10.4"/>
      <color theme="1" tint="0.14999847407452621"/>
      <name val="Calibri"/>
      <family val="2"/>
    </font>
    <font>
      <sz val="10"/>
      <color theme="1" tint="0.14999847407452621"/>
      <name val="Arial"/>
      <family val="1"/>
    </font>
    <font>
      <b/>
      <sz val="11"/>
      <color theme="0"/>
      <name val="Calibri"/>
      <family val="2"/>
    </font>
    <font>
      <sz val="10"/>
      <color rgb="FF000000"/>
      <name val="Tahoma"/>
      <family val="2"/>
    </font>
    <font>
      <b/>
      <sz val="10"/>
      <color rgb="FF000000"/>
      <name val="Tahoma"/>
      <family val="2"/>
    </font>
    <font>
      <b/>
      <sz val="10"/>
      <color rgb="FFFF0000"/>
      <name val="Tahoma"/>
      <family val="2"/>
    </font>
    <font>
      <b/>
      <sz val="10"/>
      <color rgb="FF000000"/>
      <name val="Segoe UI"/>
      <family val="2"/>
    </font>
    <font>
      <b/>
      <sz val="10"/>
      <color indexed="81"/>
      <name val="Tahoma"/>
      <family val="2"/>
    </font>
    <font>
      <sz val="10"/>
      <color indexed="81"/>
      <name val="Tahoma"/>
      <family val="2"/>
    </font>
    <font>
      <sz val="9"/>
      <color indexed="81"/>
      <name val="Segoe UI"/>
      <family val="2"/>
    </font>
    <font>
      <b/>
      <sz val="10"/>
      <color indexed="81"/>
      <name val="Segoe UI"/>
      <family val="2"/>
    </font>
    <font>
      <b/>
      <sz val="10"/>
      <color indexed="10"/>
      <name val="Tahoma"/>
      <family val="2"/>
    </font>
    <font>
      <b/>
      <sz val="11"/>
      <color indexed="81"/>
      <name val="Tahoma"/>
      <family val="2"/>
    </font>
    <font>
      <sz val="11"/>
      <color indexed="81"/>
      <name val="Tahoma"/>
      <family val="2"/>
    </font>
    <font>
      <sz val="10"/>
      <color rgb="FFFF0000"/>
      <name val="Tahoma"/>
      <family val="2"/>
    </font>
    <font>
      <sz val="12"/>
      <color theme="9"/>
      <name val="Calibri"/>
      <family val="2"/>
    </font>
    <font>
      <b/>
      <sz val="10"/>
      <name val="Arial"/>
      <family val="2"/>
    </font>
    <font>
      <sz val="11"/>
      <color rgb="FF005A6E"/>
      <name val="Calibri"/>
      <family val="2"/>
    </font>
    <font>
      <b/>
      <sz val="11"/>
      <color rgb="FF005A6E"/>
      <name val="Calibri"/>
      <family val="2"/>
    </font>
    <font>
      <u/>
      <sz val="11"/>
      <color rgb="FF005A6E"/>
      <name val="Calibri"/>
      <family val="2"/>
    </font>
  </fonts>
  <fills count="2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95D6D3"/>
        <bgColor indexed="64"/>
      </patternFill>
    </fill>
    <fill>
      <patternFill patternType="solid">
        <fgColor rgb="FF04272E"/>
        <bgColor indexed="64"/>
      </patternFill>
    </fill>
    <fill>
      <patternFill patternType="solid">
        <fgColor rgb="FFF9B100"/>
        <bgColor indexed="64"/>
      </patternFill>
    </fill>
    <fill>
      <patternFill patternType="solid">
        <fgColor rgb="FFCBDDDF"/>
        <bgColor indexed="64"/>
      </patternFill>
    </fill>
    <fill>
      <patternFill patternType="solid">
        <fgColor theme="1" tint="0.249977111117893"/>
        <bgColor indexed="64"/>
      </patternFill>
    </fill>
    <fill>
      <patternFill patternType="solid">
        <fgColor rgb="FF95D6D3"/>
        <bgColor indexed="26"/>
      </patternFill>
    </fill>
    <fill>
      <patternFill patternType="solid">
        <fgColor rgb="FFC6E0B3"/>
        <bgColor indexed="64"/>
      </patternFill>
    </fill>
    <fill>
      <patternFill patternType="solid">
        <fgColor rgb="FFF9C300"/>
        <bgColor indexed="64"/>
      </patternFill>
    </fill>
    <fill>
      <patternFill patternType="solid">
        <fgColor rgb="FFC6E0B3"/>
        <bgColor indexed="26"/>
      </patternFill>
    </fill>
    <fill>
      <patternFill patternType="solid">
        <fgColor rgb="FFC6E0B3"/>
        <bgColor indexed="9"/>
      </patternFill>
    </fill>
    <fill>
      <patternFill patternType="solid">
        <fgColor theme="6" tint="0.59999389629810485"/>
        <bgColor indexed="64"/>
      </patternFill>
    </fill>
    <fill>
      <patternFill patternType="solid">
        <fgColor theme="6" tint="0.79998168889431442"/>
        <bgColor indexed="64"/>
      </patternFill>
    </fill>
    <fill>
      <patternFill patternType="solid">
        <fgColor rgb="FFE32915"/>
        <bgColor indexed="64"/>
      </patternFill>
    </fill>
    <fill>
      <patternFill patternType="solid">
        <fgColor rgb="FFC6E0B3"/>
        <bgColor rgb="FF548135"/>
      </patternFill>
    </fill>
    <fill>
      <patternFill patternType="solid">
        <fgColor theme="0" tint="-0.14999847407452621"/>
        <bgColor indexed="64"/>
      </patternFill>
    </fill>
  </fills>
  <borders count="58">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double">
        <color rgb="FF04272E"/>
      </bottom>
      <diagonal/>
    </border>
    <border>
      <left/>
      <right/>
      <top/>
      <bottom style="thin">
        <color rgb="FF04272E"/>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rgb="FF04272E"/>
      </left>
      <right/>
      <top/>
      <bottom/>
      <diagonal/>
    </border>
    <border>
      <left style="thin">
        <color rgb="FF04272E"/>
      </left>
      <right/>
      <top/>
      <bottom style="thin">
        <color rgb="FF04272E"/>
      </bottom>
      <diagonal/>
    </border>
    <border>
      <left/>
      <right style="thin">
        <color rgb="FF04272E"/>
      </right>
      <top/>
      <bottom/>
      <diagonal/>
    </border>
    <border>
      <left/>
      <right style="thin">
        <color rgb="FF04272E"/>
      </right>
      <top/>
      <bottom style="thin">
        <color rgb="FF04272E"/>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style="thin">
        <color indexed="64"/>
      </right>
      <top/>
      <bottom style="thin">
        <color theme="0" tint="-0.499984740745262"/>
      </bottom>
      <diagonal/>
    </border>
    <border>
      <left/>
      <right style="thin">
        <color indexed="64"/>
      </right>
      <top/>
      <bottom/>
      <diagonal/>
    </border>
    <border>
      <left style="thin">
        <color indexed="64"/>
      </left>
      <right/>
      <top/>
      <bottom/>
      <diagonal/>
    </border>
    <border>
      <left style="thin">
        <color indexed="64"/>
      </left>
      <right style="thin">
        <color theme="0" tint="-0.499984740745262"/>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indexed="64"/>
      </left>
      <right style="thin">
        <color indexed="64"/>
      </right>
      <top/>
      <bottom style="thin">
        <color theme="0" tint="-0.499984740745262"/>
      </bottom>
      <diagonal/>
    </border>
    <border>
      <left/>
      <right style="thin">
        <color indexed="64"/>
      </right>
      <top style="thin">
        <color theme="0" tint="-0.499984740745262"/>
      </top>
      <bottom/>
      <diagonal/>
    </border>
    <border>
      <left style="thin">
        <color indexed="64"/>
      </left>
      <right style="thin">
        <color indexed="64"/>
      </right>
      <top style="thin">
        <color theme="0" tint="-0.499984740745262"/>
      </top>
      <bottom style="thin">
        <color indexed="64"/>
      </bottom>
      <diagonal/>
    </border>
    <border>
      <left style="thin">
        <color indexed="64"/>
      </left>
      <right style="thin">
        <color indexed="64"/>
      </right>
      <top style="thin">
        <color theme="0" tint="-0.499984740745262"/>
      </top>
      <bottom/>
      <diagonal/>
    </border>
    <border>
      <left style="thin">
        <color indexed="64"/>
      </left>
      <right/>
      <top/>
      <bottom style="thin">
        <color theme="0" tint="-0.499984740745262"/>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indexed="64"/>
      </right>
      <top style="thin">
        <color theme="0" tint="-0.499984740745262"/>
      </top>
      <bottom/>
      <diagonal/>
    </border>
    <border>
      <left style="thin">
        <color indexed="64"/>
      </left>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theme="0" tint="-0.499984740745262"/>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thin">
        <color theme="0" tint="-0.499984740745262"/>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indexed="64"/>
      </bottom>
      <diagonal/>
    </border>
    <border>
      <left style="thin">
        <color theme="0" tint="-0.499984740745262"/>
      </left>
      <right style="thin">
        <color theme="0" tint="-0.499984740745262"/>
      </right>
      <top/>
      <bottom/>
      <diagonal/>
    </border>
    <border>
      <left style="thin">
        <color indexed="64"/>
      </left>
      <right style="thin">
        <color theme="0" tint="-0.499984740745262"/>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s>
  <cellStyleXfs count="10">
    <xf numFmtId="0" fontId="0" fillId="0" borderId="0"/>
    <xf numFmtId="9" fontId="3" fillId="0" borderId="0" applyFont="0" applyFill="0" applyBorder="0" applyAlignment="0" applyProtection="0"/>
    <xf numFmtId="0" fontId="2" fillId="0" borderId="0"/>
    <xf numFmtId="0" fontId="2" fillId="0" borderId="0"/>
    <xf numFmtId="165" fontId="9" fillId="0" borderId="0"/>
    <xf numFmtId="0" fontId="3" fillId="0" borderId="0"/>
    <xf numFmtId="0" fontId="1" fillId="0" borderId="0"/>
    <xf numFmtId="0" fontId="1" fillId="0" borderId="0"/>
    <xf numFmtId="43" fontId="3" fillId="0" borderId="0" applyFont="0" applyFill="0" applyBorder="0" applyAlignment="0" applyProtection="0"/>
    <xf numFmtId="0" fontId="11" fillId="0" borderId="0" applyNumberFormat="0" applyFill="0" applyBorder="0" applyAlignment="0" applyProtection="0"/>
  </cellStyleXfs>
  <cellXfs count="676">
    <xf numFmtId="0" fontId="0" fillId="0" borderId="0" xfId="0"/>
    <xf numFmtId="0" fontId="0" fillId="2" borderId="0" xfId="0" applyFill="1"/>
    <xf numFmtId="10" fontId="0" fillId="0" borderId="0" xfId="1" applyNumberFormat="1" applyFont="1"/>
    <xf numFmtId="43" fontId="0" fillId="0" borderId="0" xfId="8" applyFont="1"/>
    <xf numFmtId="0" fontId="0" fillId="0" borderId="0" xfId="0" applyAlignment="1">
      <alignment horizontal="center" vertical="center"/>
    </xf>
    <xf numFmtId="0" fontId="13" fillId="0" borderId="0" xfId="0" applyFont="1" applyAlignment="1">
      <alignment vertical="center"/>
    </xf>
    <xf numFmtId="0" fontId="0" fillId="2" borderId="0" xfId="0" applyFill="1" applyBorder="1"/>
    <xf numFmtId="0" fontId="6" fillId="0" borderId="0" xfId="0" applyFont="1"/>
    <xf numFmtId="0" fontId="0" fillId="0" borderId="0" xfId="0" applyBorder="1"/>
    <xf numFmtId="0" fontId="5" fillId="0" borderId="0" xfId="0" applyFont="1"/>
    <xf numFmtId="0" fontId="6" fillId="0" borderId="0" xfId="0" applyFont="1" applyAlignment="1">
      <alignment horizontal="center" vertical="center"/>
    </xf>
    <xf numFmtId="0" fontId="0" fillId="2" borderId="0" xfId="0" applyFont="1" applyFill="1"/>
    <xf numFmtId="0" fontId="0" fillId="0" borderId="0" xfId="0" applyFont="1"/>
    <xf numFmtId="0" fontId="14" fillId="2" borderId="0" xfId="0" applyFont="1" applyFill="1"/>
    <xf numFmtId="0" fontId="14" fillId="0" borderId="0" xfId="0" applyFont="1"/>
    <xf numFmtId="0" fontId="10" fillId="0" borderId="0" xfId="0" applyFont="1"/>
    <xf numFmtId="0" fontId="20" fillId="2" borderId="0" xfId="0" applyFont="1" applyFill="1" applyBorder="1"/>
    <xf numFmtId="0" fontId="20" fillId="0" borderId="0" xfId="0" applyFont="1" applyBorder="1"/>
    <xf numFmtId="0" fontId="17" fillId="2" borderId="0" xfId="0" applyFont="1" applyFill="1" applyBorder="1"/>
    <xf numFmtId="0" fontId="21" fillId="2" borderId="0" xfId="0" applyFont="1" applyFill="1" applyBorder="1"/>
    <xf numFmtId="0" fontId="0" fillId="0" borderId="11" xfId="0" applyBorder="1"/>
    <xf numFmtId="0" fontId="24" fillId="5" borderId="0" xfId="0" applyFont="1" applyFill="1" applyBorder="1" applyAlignment="1">
      <alignment horizontal="center"/>
    </xf>
    <xf numFmtId="0" fontId="29" fillId="2" borderId="0" xfId="0" applyFont="1" applyFill="1" applyBorder="1"/>
    <xf numFmtId="0" fontId="25" fillId="2" borderId="0" xfId="0" applyFont="1" applyFill="1" applyBorder="1"/>
    <xf numFmtId="0" fontId="31" fillId="2" borderId="0" xfId="0" applyFont="1" applyFill="1" applyBorder="1"/>
    <xf numFmtId="0" fontId="20" fillId="2" borderId="0" xfId="0" applyFont="1" applyFill="1"/>
    <xf numFmtId="0" fontId="0" fillId="0" borderId="0" xfId="0" applyAlignment="1">
      <alignment vertical="center"/>
    </xf>
    <xf numFmtId="0" fontId="0" fillId="0" borderId="0" xfId="0" applyBorder="1" applyAlignment="1">
      <alignment vertical="center"/>
    </xf>
    <xf numFmtId="0" fontId="20" fillId="2" borderId="0" xfId="0" applyFont="1" applyFill="1" applyBorder="1" applyAlignment="1">
      <alignment vertical="center"/>
    </xf>
    <xf numFmtId="0" fontId="20" fillId="0" borderId="0" xfId="0" applyFont="1" applyBorder="1" applyAlignment="1">
      <alignment vertical="center"/>
    </xf>
    <xf numFmtId="43" fontId="20" fillId="0" borderId="0" xfId="8" applyFont="1" applyBorder="1" applyAlignment="1">
      <alignment vertical="center"/>
    </xf>
    <xf numFmtId="164" fontId="20" fillId="0" borderId="0" xfId="0" applyNumberFormat="1" applyFont="1" applyBorder="1" applyAlignment="1">
      <alignment vertical="center"/>
    </xf>
    <xf numFmtId="4" fontId="20" fillId="0" borderId="0" xfId="0" applyNumberFormat="1" applyFont="1" applyBorder="1" applyAlignment="1">
      <alignment vertical="center"/>
    </xf>
    <xf numFmtId="10" fontId="20" fillId="0" borderId="0" xfId="1" applyNumberFormat="1" applyFont="1" applyBorder="1" applyAlignment="1">
      <alignment vertical="center"/>
    </xf>
    <xf numFmtId="0" fontId="56" fillId="0" borderId="0" xfId="0" applyFont="1" applyAlignment="1">
      <alignment vertical="center"/>
    </xf>
    <xf numFmtId="0" fontId="58" fillId="2" borderId="0" xfId="0" applyFont="1" applyFill="1" applyAlignment="1">
      <alignment vertical="center"/>
    </xf>
    <xf numFmtId="0" fontId="25" fillId="2" borderId="0" xfId="0" applyFont="1" applyFill="1" applyBorder="1" applyAlignment="1">
      <alignment horizontal="left" vertical="center" wrapText="1"/>
    </xf>
    <xf numFmtId="0" fontId="64" fillId="2" borderId="0" xfId="2" applyFont="1" applyFill="1" applyBorder="1" applyAlignment="1">
      <alignment vertical="center"/>
    </xf>
    <xf numFmtId="0" fontId="57" fillId="5" borderId="15" xfId="0" applyFont="1" applyFill="1" applyBorder="1" applyAlignment="1">
      <alignment horizontal="center" vertical="center" wrapText="1"/>
    </xf>
    <xf numFmtId="0" fontId="68" fillId="9" borderId="0" xfId="0" applyFont="1" applyFill="1" applyBorder="1" applyAlignment="1">
      <alignment vertical="center"/>
    </xf>
    <xf numFmtId="0" fontId="20" fillId="9" borderId="0" xfId="0" applyFont="1" applyFill="1" applyBorder="1" applyAlignment="1">
      <alignment vertical="center"/>
    </xf>
    <xf numFmtId="0" fontId="25" fillId="0" borderId="0" xfId="0" applyFont="1"/>
    <xf numFmtId="0" fontId="25" fillId="2" borderId="0" xfId="0" applyFont="1" applyFill="1"/>
    <xf numFmtId="164" fontId="25" fillId="2" borderId="0" xfId="0" applyNumberFormat="1" applyFont="1" applyFill="1" applyBorder="1" applyAlignment="1">
      <alignment horizontal="right" vertical="center" wrapText="1"/>
    </xf>
    <xf numFmtId="0" fontId="28" fillId="2" borderId="0" xfId="0" applyFont="1" applyFill="1"/>
    <xf numFmtId="0" fontId="71" fillId="2" borderId="0" xfId="0" applyFont="1" applyFill="1" applyAlignment="1">
      <alignment vertical="center"/>
    </xf>
    <xf numFmtId="0" fontId="31" fillId="0" borderId="15" xfId="0" applyFont="1" applyBorder="1" applyAlignment="1">
      <alignment vertical="center" wrapText="1"/>
    </xf>
    <xf numFmtId="0" fontId="31" fillId="0" borderId="15" xfId="0" applyFont="1" applyBorder="1" applyAlignment="1">
      <alignment horizontal="left" vertical="center"/>
    </xf>
    <xf numFmtId="0" fontId="46" fillId="0" borderId="15" xfId="0" applyFont="1" applyBorder="1" applyAlignment="1">
      <alignment horizontal="left" vertical="center"/>
    </xf>
    <xf numFmtId="0" fontId="46" fillId="2" borderId="15" xfId="0" applyFont="1" applyFill="1" applyBorder="1" applyAlignment="1">
      <alignment horizontal="left" vertical="center"/>
    </xf>
    <xf numFmtId="0" fontId="74" fillId="2" borderId="0" xfId="0" applyFont="1" applyFill="1"/>
    <xf numFmtId="0" fontId="62" fillId="2" borderId="0" xfId="0" applyFont="1" applyFill="1"/>
    <xf numFmtId="0" fontId="62" fillId="2" borderId="0" xfId="0" applyFont="1" applyFill="1" applyAlignment="1">
      <alignment vertical="center"/>
    </xf>
    <xf numFmtId="166" fontId="61" fillId="0" borderId="3" xfId="0" applyNumberFormat="1" applyFont="1" applyFill="1" applyBorder="1" applyAlignment="1">
      <alignment horizontal="center" vertical="center" wrapText="1"/>
    </xf>
    <xf numFmtId="0" fontId="77" fillId="0" borderId="0" xfId="0" applyFont="1"/>
    <xf numFmtId="0" fontId="77" fillId="2" borderId="0" xfId="0" applyFont="1" applyFill="1"/>
    <xf numFmtId="0" fontId="77" fillId="2" borderId="0" xfId="0" applyFont="1" applyFill="1" applyAlignment="1">
      <alignment horizontal="left" wrapText="1"/>
    </xf>
    <xf numFmtId="0" fontId="41" fillId="7" borderId="0" xfId="9" applyFont="1" applyFill="1" applyBorder="1" applyAlignment="1">
      <alignment horizontal="center" vertical="center" wrapText="1"/>
    </xf>
    <xf numFmtId="0" fontId="80" fillId="0" borderId="15" xfId="0" applyFont="1" applyFill="1" applyBorder="1" applyAlignment="1">
      <alignment horizontal="left" vertical="center" wrapText="1"/>
    </xf>
    <xf numFmtId="0" fontId="83" fillId="2" borderId="0" xfId="0" applyFont="1" applyFill="1" applyAlignment="1">
      <alignment vertical="center"/>
    </xf>
    <xf numFmtId="0" fontId="77" fillId="2" borderId="0" xfId="0" applyFont="1" applyFill="1" applyBorder="1"/>
    <xf numFmtId="0" fontId="78" fillId="0" borderId="15" xfId="0" applyFont="1" applyFill="1" applyBorder="1" applyAlignment="1">
      <alignment horizontal="left" vertical="center" wrapText="1"/>
    </xf>
    <xf numFmtId="3" fontId="61" fillId="0" borderId="15" xfId="0" applyNumberFormat="1" applyFont="1" applyFill="1" applyBorder="1" applyAlignment="1">
      <alignment horizontal="center" vertical="center" wrapText="1"/>
    </xf>
    <xf numFmtId="3" fontId="80" fillId="0" borderId="15" xfId="0" applyNumberFormat="1" applyFont="1" applyFill="1" applyBorder="1" applyAlignment="1">
      <alignment horizontal="center" vertical="center" wrapText="1"/>
    </xf>
    <xf numFmtId="0" fontId="14" fillId="0" borderId="0" xfId="0" applyFont="1" applyBorder="1"/>
    <xf numFmtId="9" fontId="25" fillId="2" borderId="0" xfId="1" applyFont="1" applyFill="1" applyAlignment="1">
      <alignment horizontal="center"/>
    </xf>
    <xf numFmtId="0" fontId="31" fillId="0" borderId="15" xfId="0" applyFont="1" applyBorder="1" applyAlignment="1">
      <alignment horizontal="center" vertical="center"/>
    </xf>
    <xf numFmtId="0" fontId="52" fillId="0" borderId="15" xfId="9" applyFont="1" applyBorder="1" applyAlignment="1">
      <alignment horizontal="left" vertical="center" wrapText="1"/>
    </xf>
    <xf numFmtId="0" fontId="61" fillId="0" borderId="15" xfId="0" applyFont="1" applyFill="1" applyBorder="1" applyAlignment="1">
      <alignment horizontal="left" vertical="center" wrapText="1"/>
    </xf>
    <xf numFmtId="164" fontId="61" fillId="0" borderId="15" xfId="0" applyNumberFormat="1" applyFont="1" applyFill="1" applyBorder="1" applyAlignment="1">
      <alignment horizontal="center" vertical="center" wrapText="1"/>
    </xf>
    <xf numFmtId="0" fontId="61" fillId="0" borderId="15" xfId="0" applyFont="1" applyFill="1" applyBorder="1" applyAlignment="1">
      <alignment horizontal="left" vertical="top" wrapText="1"/>
    </xf>
    <xf numFmtId="164" fontId="50" fillId="5" borderId="15" xfId="0" applyNumberFormat="1" applyFont="1" applyFill="1" applyBorder="1" applyAlignment="1">
      <alignment horizontal="center" vertical="center" wrapText="1"/>
    </xf>
    <xf numFmtId="0" fontId="52" fillId="0" borderId="15" xfId="9" applyFont="1" applyFill="1" applyBorder="1" applyAlignment="1">
      <alignment vertical="center" wrapText="1"/>
    </xf>
    <xf numFmtId="0" fontId="52" fillId="0" borderId="15" xfId="9" applyFont="1" applyFill="1" applyBorder="1" applyAlignment="1">
      <alignment horizontal="left" vertical="center" wrapText="1"/>
    </xf>
    <xf numFmtId="0" fontId="25" fillId="2" borderId="0" xfId="0" applyFont="1" applyFill="1" applyAlignment="1">
      <alignment horizontal="left" vertical="center"/>
    </xf>
    <xf numFmtId="0" fontId="0" fillId="0" borderId="0" xfId="0" applyAlignment="1">
      <alignment horizontal="left" vertical="center"/>
    </xf>
    <xf numFmtId="0" fontId="0" fillId="0" borderId="0" xfId="0" applyFont="1" applyAlignment="1">
      <alignment horizontal="left" vertical="center"/>
    </xf>
    <xf numFmtId="0" fontId="32" fillId="0" borderId="15" xfId="0" applyFont="1" applyBorder="1" applyAlignment="1">
      <alignment horizontal="left" vertical="center" wrapText="1"/>
    </xf>
    <xf numFmtId="4" fontId="42" fillId="0" borderId="15" xfId="0" applyNumberFormat="1" applyFont="1" applyFill="1" applyBorder="1" applyAlignment="1">
      <alignment horizontal="center" vertical="center" wrapText="1"/>
    </xf>
    <xf numFmtId="164" fontId="23" fillId="5" borderId="15" xfId="0" applyNumberFormat="1" applyFont="1" applyFill="1" applyBorder="1" applyAlignment="1">
      <alignment horizontal="center" vertical="center" wrapText="1"/>
    </xf>
    <xf numFmtId="164" fontId="67" fillId="5" borderId="21" xfId="0" applyNumberFormat="1" applyFont="1" applyFill="1" applyBorder="1" applyAlignment="1">
      <alignment horizontal="center" vertical="center" wrapText="1"/>
    </xf>
    <xf numFmtId="0" fontId="45" fillId="2" borderId="0" xfId="0" applyFont="1" applyFill="1"/>
    <xf numFmtId="0" fontId="31" fillId="2" borderId="0" xfId="0" applyFont="1" applyFill="1"/>
    <xf numFmtId="0" fontId="32" fillId="2" borderId="0" xfId="0" applyFont="1" applyFill="1"/>
    <xf numFmtId="0" fontId="31" fillId="2" borderId="0" xfId="0" applyFont="1" applyFill="1" applyBorder="1" applyAlignment="1">
      <alignment wrapText="1"/>
    </xf>
    <xf numFmtId="0" fontId="31" fillId="0" borderId="0" xfId="0" applyFont="1"/>
    <xf numFmtId="0" fontId="31" fillId="2" borderId="0" xfId="0" applyFont="1" applyFill="1" applyBorder="1" applyAlignment="1">
      <alignment vertical="top" wrapText="1"/>
    </xf>
    <xf numFmtId="0" fontId="32" fillId="2" borderId="0" xfId="0" applyFont="1" applyFill="1" applyBorder="1" applyAlignment="1">
      <alignment horizontal="left" vertical="center"/>
    </xf>
    <xf numFmtId="0" fontId="32" fillId="2" borderId="0" xfId="0" applyFont="1" applyFill="1" applyBorder="1" applyAlignment="1">
      <alignment vertical="center" wrapText="1"/>
    </xf>
    <xf numFmtId="0" fontId="31" fillId="0" borderId="1" xfId="0" applyFont="1" applyBorder="1" applyAlignment="1">
      <alignment horizontal="right"/>
    </xf>
    <xf numFmtId="0" fontId="31" fillId="0" borderId="2" xfId="0" applyFont="1" applyBorder="1" applyAlignment="1">
      <alignment horizontal="right"/>
    </xf>
    <xf numFmtId="0" fontId="17" fillId="5" borderId="15" xfId="0" applyFont="1" applyFill="1" applyBorder="1" applyAlignment="1">
      <alignment horizontal="center" vertical="center" wrapText="1"/>
    </xf>
    <xf numFmtId="3" fontId="23" fillId="10" borderId="15" xfId="0" applyNumberFormat="1" applyFont="1" applyFill="1" applyBorder="1" applyAlignment="1">
      <alignment horizontal="center" vertical="center" wrapText="1"/>
    </xf>
    <xf numFmtId="164" fontId="94" fillId="5" borderId="15" xfId="0" applyNumberFormat="1" applyFont="1" applyFill="1" applyBorder="1" applyAlignment="1">
      <alignment horizontal="center" vertical="center"/>
    </xf>
    <xf numFmtId="164" fontId="67" fillId="5" borderId="15" xfId="0" applyNumberFormat="1" applyFont="1" applyFill="1" applyBorder="1" applyAlignment="1">
      <alignment horizontal="center" vertical="center" wrapText="1"/>
    </xf>
    <xf numFmtId="0" fontId="17" fillId="5" borderId="15" xfId="0" applyFont="1" applyFill="1" applyBorder="1" applyAlignment="1">
      <alignment horizontal="center" vertical="center"/>
    </xf>
    <xf numFmtId="0" fontId="24" fillId="7" borderId="0" xfId="0" applyFont="1" applyFill="1" applyBorder="1" applyAlignment="1">
      <alignment horizontal="left" vertical="center"/>
    </xf>
    <xf numFmtId="0" fontId="51" fillId="7" borderId="0" xfId="9" applyFont="1" applyFill="1" applyBorder="1" applyAlignment="1">
      <alignment horizontal="left" vertical="center"/>
    </xf>
    <xf numFmtId="0" fontId="31" fillId="7" borderId="0" xfId="0" applyFont="1" applyFill="1" applyBorder="1"/>
    <xf numFmtId="0" fontId="93" fillId="7" borderId="0" xfId="0" applyFont="1" applyFill="1" applyAlignment="1">
      <alignment horizontal="left" vertical="center"/>
    </xf>
    <xf numFmtId="0" fontId="93" fillId="7" borderId="0" xfId="0" applyFont="1" applyFill="1" applyBorder="1" applyAlignment="1">
      <alignment horizontal="right" vertical="center"/>
    </xf>
    <xf numFmtId="0" fontId="51" fillId="7" borderId="0" xfId="9" applyFont="1" applyFill="1" applyBorder="1" applyAlignment="1">
      <alignment horizontal="right" vertical="center"/>
    </xf>
    <xf numFmtId="0" fontId="44" fillId="0" borderId="15" xfId="0" applyFont="1" applyFill="1" applyBorder="1" applyAlignment="1">
      <alignment vertical="center" wrapText="1"/>
    </xf>
    <xf numFmtId="0" fontId="44" fillId="0" borderId="21" xfId="0" applyFont="1" applyFill="1" applyBorder="1" applyAlignment="1">
      <alignment vertical="center" wrapText="1"/>
    </xf>
    <xf numFmtId="0" fontId="31" fillId="5" borderId="13" xfId="0" applyFont="1" applyFill="1" applyBorder="1"/>
    <xf numFmtId="0" fontId="24" fillId="5" borderId="13" xfId="0" applyFont="1" applyFill="1" applyBorder="1"/>
    <xf numFmtId="0" fontId="31" fillId="5" borderId="23" xfId="0" applyFont="1" applyFill="1" applyBorder="1"/>
    <xf numFmtId="0" fontId="31" fillId="5" borderId="24" xfId="0" applyFont="1" applyFill="1" applyBorder="1"/>
    <xf numFmtId="0" fontId="74" fillId="2" borderId="0" xfId="0" applyFont="1" applyFill="1" applyBorder="1" applyAlignment="1">
      <alignment horizontal="left" vertical="center"/>
    </xf>
    <xf numFmtId="0" fontId="31" fillId="0" borderId="0" xfId="0" applyFont="1" applyFill="1"/>
    <xf numFmtId="0" fontId="0" fillId="0" borderId="0" xfId="0" applyFill="1"/>
    <xf numFmtId="0" fontId="0" fillId="0" borderId="0" xfId="0" applyFill="1" applyBorder="1" applyAlignment="1">
      <alignment vertical="top" wrapText="1"/>
    </xf>
    <xf numFmtId="0" fontId="14" fillId="0" borderId="0" xfId="0" applyFont="1" applyFill="1"/>
    <xf numFmtId="0" fontId="14" fillId="0" borderId="0" xfId="0" applyFont="1" applyFill="1" applyBorder="1" applyAlignment="1">
      <alignment vertical="top" wrapText="1"/>
    </xf>
    <xf numFmtId="0" fontId="0" fillId="0" borderId="0" xfId="0" applyFill="1" applyBorder="1"/>
    <xf numFmtId="0" fontId="31" fillId="2" borderId="0" xfId="0" applyFont="1" applyFill="1" applyAlignment="1">
      <alignment horizontal="center" vertical="center"/>
    </xf>
    <xf numFmtId="0" fontId="35" fillId="2" borderId="0" xfId="0" applyFont="1" applyFill="1" applyBorder="1" applyAlignment="1">
      <alignment horizontal="right" vertical="center"/>
    </xf>
    <xf numFmtId="0" fontId="6" fillId="2" borderId="0" xfId="0" applyFont="1" applyFill="1"/>
    <xf numFmtId="0" fontId="51" fillId="7" borderId="0" xfId="9" applyFont="1" applyFill="1" applyAlignment="1">
      <alignment horizontal="left" vertical="center"/>
    </xf>
    <xf numFmtId="0" fontId="69" fillId="0" borderId="0" xfId="0" applyFont="1"/>
    <xf numFmtId="0" fontId="19" fillId="2" borderId="0" xfId="0" applyFont="1" applyFill="1"/>
    <xf numFmtId="0" fontId="18" fillId="2" borderId="0" xfId="0" applyFont="1" applyFill="1"/>
    <xf numFmtId="0" fontId="49" fillId="5" borderId="15" xfId="0" applyFont="1" applyFill="1" applyBorder="1" applyAlignment="1">
      <alignment horizontal="center" vertical="center"/>
    </xf>
    <xf numFmtId="0" fontId="3" fillId="0" borderId="0" xfId="0" applyFont="1" applyFill="1"/>
    <xf numFmtId="0" fontId="12" fillId="0" borderId="0" xfId="0" applyFont="1" applyFill="1"/>
    <xf numFmtId="0" fontId="51" fillId="7" borderId="0" xfId="9" applyNumberFormat="1" applyFont="1" applyFill="1" applyBorder="1" applyAlignment="1" applyProtection="1">
      <alignment horizontal="center" vertical="center"/>
      <protection locked="0"/>
    </xf>
    <xf numFmtId="0" fontId="34" fillId="2" borderId="0" xfId="0" applyFont="1" applyFill="1" applyBorder="1" applyAlignment="1">
      <alignment vertical="center"/>
    </xf>
    <xf numFmtId="0" fontId="100" fillId="5" borderId="0" xfId="9" applyFont="1" applyFill="1" applyBorder="1" applyAlignment="1">
      <alignment horizontal="center" vertical="center"/>
    </xf>
    <xf numFmtId="0" fontId="61" fillId="2" borderId="0" xfId="0" applyFont="1" applyFill="1" applyBorder="1" applyAlignment="1">
      <alignment vertical="center"/>
    </xf>
    <xf numFmtId="0" fontId="61" fillId="2" borderId="0" xfId="0" applyFont="1" applyFill="1" applyBorder="1"/>
    <xf numFmtId="0" fontId="36" fillId="2" borderId="0" xfId="0" applyFont="1" applyFill="1" applyBorder="1"/>
    <xf numFmtId="169" fontId="30" fillId="0" borderId="24" xfId="9" applyNumberFormat="1" applyFont="1" applyFill="1" applyBorder="1" applyAlignment="1" applyProtection="1">
      <alignment horizontal="center" vertical="center"/>
      <protection locked="0"/>
    </xf>
    <xf numFmtId="43" fontId="20" fillId="2" borderId="0" xfId="8" applyFont="1" applyFill="1"/>
    <xf numFmtId="0" fontId="56" fillId="2" borderId="0" xfId="0" applyFont="1" applyFill="1" applyAlignment="1">
      <alignment vertical="center"/>
    </xf>
    <xf numFmtId="0" fontId="0" fillId="2" borderId="0" xfId="0" applyFill="1" applyBorder="1" applyAlignment="1">
      <alignment vertical="center"/>
    </xf>
    <xf numFmtId="0" fontId="0" fillId="2" borderId="0" xfId="0" quotePrefix="1" applyFill="1" applyBorder="1" applyAlignment="1">
      <alignment vertical="center"/>
    </xf>
    <xf numFmtId="0" fontId="41" fillId="7" borderId="0" xfId="9" applyFont="1" applyFill="1" applyBorder="1" applyAlignment="1">
      <alignment horizontal="center" vertical="center"/>
    </xf>
    <xf numFmtId="0" fontId="25" fillId="0" borderId="0" xfId="0" applyFont="1" applyFill="1"/>
    <xf numFmtId="0" fontId="76" fillId="2" borderId="0" xfId="0" applyFont="1" applyFill="1"/>
    <xf numFmtId="0" fontId="51" fillId="7" borderId="0" xfId="9" applyFont="1" applyFill="1" applyBorder="1" applyAlignment="1">
      <alignment horizontal="center" vertical="center"/>
    </xf>
    <xf numFmtId="0" fontId="31" fillId="2" borderId="0" xfId="0" applyFont="1" applyFill="1" applyAlignment="1">
      <alignment horizontal="center"/>
    </xf>
    <xf numFmtId="0" fontId="0" fillId="2" borderId="0" xfId="0" applyFill="1" applyAlignment="1">
      <alignment horizontal="left" vertical="center"/>
    </xf>
    <xf numFmtId="0" fontId="0" fillId="2" borderId="0" xfId="0" applyFont="1" applyFill="1" applyAlignment="1">
      <alignment horizontal="left" vertical="center"/>
    </xf>
    <xf numFmtId="0" fontId="25" fillId="2" borderId="0" xfId="0" applyFont="1" applyFill="1" applyBorder="1" applyAlignment="1">
      <alignment horizontal="center"/>
    </xf>
    <xf numFmtId="0" fontId="90" fillId="7" borderId="0" xfId="9" applyFont="1" applyFill="1" applyBorder="1" applyAlignment="1">
      <alignment horizontal="center" vertical="center" wrapText="1"/>
    </xf>
    <xf numFmtId="0" fontId="93" fillId="7" borderId="0" xfId="0" applyFont="1" applyFill="1" applyBorder="1" applyAlignment="1">
      <alignment horizontal="left" vertical="center"/>
    </xf>
    <xf numFmtId="0" fontId="51" fillId="7" borderId="0" xfId="9" applyFont="1" applyFill="1" applyBorder="1" applyAlignment="1">
      <alignment horizontal="left" vertical="center" wrapText="1"/>
    </xf>
    <xf numFmtId="0" fontId="28" fillId="2" borderId="0" xfId="0" applyFont="1" applyFill="1" applyAlignment="1">
      <alignment horizontal="center"/>
    </xf>
    <xf numFmtId="0" fontId="25" fillId="2" borderId="0" xfId="0" applyFont="1" applyFill="1" applyAlignment="1">
      <alignment horizontal="center" vertical="center"/>
    </xf>
    <xf numFmtId="0" fontId="98" fillId="6" borderId="0" xfId="0" applyFont="1" applyFill="1"/>
    <xf numFmtId="0" fontId="37" fillId="6" borderId="0" xfId="0" applyFont="1" applyFill="1" applyAlignment="1">
      <alignment horizontal="center" vertical="center"/>
    </xf>
    <xf numFmtId="0" fontId="37" fillId="6" borderId="0" xfId="0" applyFont="1" applyFill="1" applyAlignment="1">
      <alignment vertical="center"/>
    </xf>
    <xf numFmtId="0" fontId="59" fillId="6" borderId="0" xfId="0" applyFont="1" applyFill="1"/>
    <xf numFmtId="0" fontId="25" fillId="2" borderId="0" xfId="0" applyFont="1" applyFill="1" applyAlignment="1">
      <alignment vertical="center"/>
    </xf>
    <xf numFmtId="0" fontId="102" fillId="6" borderId="0" xfId="0" applyFont="1" applyFill="1" applyAlignment="1">
      <alignment vertical="center"/>
    </xf>
    <xf numFmtId="0" fontId="23" fillId="5" borderId="15" xfId="0" applyFont="1" applyFill="1" applyBorder="1" applyAlignment="1">
      <alignment vertical="center"/>
    </xf>
    <xf numFmtId="0" fontId="23" fillId="5" borderId="15" xfId="0" applyFont="1" applyFill="1" applyBorder="1" applyAlignment="1">
      <alignment vertical="center" wrapText="1"/>
    </xf>
    <xf numFmtId="0" fontId="25" fillId="0" borderId="15" xfId="0" applyFont="1" applyBorder="1" applyAlignment="1" applyProtection="1">
      <alignment horizontal="center" vertical="center"/>
      <protection locked="0"/>
    </xf>
    <xf numFmtId="0" fontId="25" fillId="0" borderId="15" xfId="0" applyFont="1" applyBorder="1" applyAlignment="1" applyProtection="1">
      <alignment vertical="center"/>
      <protection locked="0"/>
    </xf>
    <xf numFmtId="169" fontId="31" fillId="0" borderId="15" xfId="1" applyNumberFormat="1" applyFont="1" applyBorder="1" applyAlignment="1">
      <alignment horizontal="center" vertical="center"/>
    </xf>
    <xf numFmtId="170" fontId="31" fillId="0" borderId="15" xfId="0" applyNumberFormat="1" applyFont="1" applyBorder="1" applyAlignment="1">
      <alignment horizontal="center" vertical="center"/>
    </xf>
    <xf numFmtId="1" fontId="31" fillId="0" borderId="15" xfId="0" applyNumberFormat="1" applyFont="1" applyBorder="1" applyAlignment="1">
      <alignment horizontal="center" vertical="center"/>
    </xf>
    <xf numFmtId="0" fontId="17" fillId="2" borderId="0" xfId="0" applyFont="1" applyFill="1" applyBorder="1" applyAlignment="1">
      <alignment vertical="center"/>
    </xf>
    <xf numFmtId="0" fontId="17" fillId="2" borderId="0" xfId="0" applyFont="1" applyFill="1" applyBorder="1" applyAlignment="1">
      <alignment horizontal="center" vertical="center"/>
    </xf>
    <xf numFmtId="0" fontId="35" fillId="2" borderId="0" xfId="0" applyFont="1" applyFill="1" applyBorder="1" applyAlignment="1">
      <alignment horizontal="center"/>
    </xf>
    <xf numFmtId="0" fontId="17" fillId="2" borderId="0" xfId="0" applyFont="1" applyFill="1" applyBorder="1" applyAlignment="1"/>
    <xf numFmtId="0" fontId="35" fillId="2" borderId="0" xfId="0" applyFont="1" applyFill="1" applyBorder="1" applyAlignment="1">
      <alignment horizontal="left"/>
    </xf>
    <xf numFmtId="0" fontId="20" fillId="2" borderId="0" xfId="0" applyFont="1" applyFill="1" applyBorder="1" applyAlignment="1">
      <alignment horizontal="center"/>
    </xf>
    <xf numFmtId="0" fontId="57" fillId="5" borderId="15" xfId="0" applyFont="1" applyFill="1" applyBorder="1" applyAlignment="1">
      <alignment horizontal="center" vertical="center"/>
    </xf>
    <xf numFmtId="0" fontId="31" fillId="0" borderId="15" xfId="0" applyFont="1" applyBorder="1" applyAlignment="1">
      <alignment horizontal="left" vertical="center" wrapText="1"/>
    </xf>
    <xf numFmtId="0" fontId="31" fillId="0" borderId="3" xfId="0" applyFont="1" applyFill="1" applyBorder="1" applyAlignment="1">
      <alignment horizontal="right" vertical="center" wrapText="1"/>
    </xf>
    <xf numFmtId="166" fontId="67" fillId="5" borderId="15" xfId="0" applyNumberFormat="1" applyFont="1" applyFill="1" applyBorder="1" applyAlignment="1">
      <alignment horizontal="center" vertical="center" wrapText="1"/>
    </xf>
    <xf numFmtId="0" fontId="61" fillId="0" borderId="3" xfId="0" applyFont="1" applyFill="1" applyBorder="1" applyAlignment="1">
      <alignment horizontal="left" vertical="center"/>
    </xf>
    <xf numFmtId="0" fontId="23" fillId="5" borderId="15" xfId="0" applyFont="1" applyFill="1" applyBorder="1" applyAlignment="1">
      <alignment horizontal="center" vertical="center" wrapText="1"/>
    </xf>
    <xf numFmtId="0" fontId="23" fillId="10" borderId="15" xfId="0" applyFont="1" applyFill="1" applyBorder="1" applyAlignment="1">
      <alignment horizontal="center" vertical="center" wrapText="1"/>
    </xf>
    <xf numFmtId="0" fontId="31" fillId="4" borderId="15" xfId="0" applyFont="1" applyFill="1" applyBorder="1" applyAlignment="1">
      <alignment horizontal="left" vertical="center" wrapText="1"/>
    </xf>
    <xf numFmtId="0" fontId="50" fillId="5" borderId="15" xfId="0" applyFont="1" applyFill="1" applyBorder="1" applyAlignment="1">
      <alignment horizontal="center" vertical="center" wrapText="1"/>
    </xf>
    <xf numFmtId="0" fontId="30" fillId="0" borderId="15" xfId="9" applyFont="1" applyFill="1" applyBorder="1" applyAlignment="1">
      <alignment horizontal="left" vertical="center" wrapText="1"/>
    </xf>
    <xf numFmtId="0" fontId="92" fillId="5" borderId="15" xfId="0" applyFont="1" applyFill="1" applyBorder="1" applyAlignment="1">
      <alignment horizontal="center" vertical="center" wrapText="1"/>
    </xf>
    <xf numFmtId="0" fontId="31" fillId="2" borderId="15" xfId="0" applyFont="1" applyFill="1" applyBorder="1" applyAlignment="1">
      <alignment horizontal="left" vertical="center"/>
    </xf>
    <xf numFmtId="0" fontId="31" fillId="2" borderId="15" xfId="0" applyFont="1" applyFill="1" applyBorder="1" applyAlignment="1">
      <alignment horizontal="center" vertical="center"/>
    </xf>
    <xf numFmtId="0" fontId="93" fillId="5" borderId="15" xfId="0" applyFont="1" applyFill="1" applyBorder="1" applyAlignment="1">
      <alignment horizontal="center" vertical="center"/>
    </xf>
    <xf numFmtId="0" fontId="93" fillId="5" borderId="15" xfId="0" applyFont="1" applyFill="1" applyBorder="1" applyAlignment="1">
      <alignment horizontal="center" vertical="center" wrapText="1"/>
    </xf>
    <xf numFmtId="0" fontId="32" fillId="0" borderId="15" xfId="0" applyFont="1" applyBorder="1" applyAlignment="1">
      <alignment vertical="center" wrapText="1"/>
    </xf>
    <xf numFmtId="0" fontId="105" fillId="2" borderId="24" xfId="0" applyFont="1" applyFill="1" applyBorder="1" applyAlignment="1" applyProtection="1">
      <alignment horizontal="center"/>
      <protection locked="0"/>
    </xf>
    <xf numFmtId="0" fontId="62" fillId="2" borderId="10" xfId="2" applyFont="1" applyFill="1" applyBorder="1" applyAlignment="1">
      <alignment vertical="center"/>
    </xf>
    <xf numFmtId="10" fontId="20" fillId="2" borderId="0" xfId="1" applyNumberFormat="1" applyFont="1" applyFill="1" applyBorder="1" applyAlignment="1">
      <alignment vertical="center"/>
    </xf>
    <xf numFmtId="0" fontId="20" fillId="2" borderId="4" xfId="0" applyFont="1" applyFill="1" applyBorder="1" applyAlignment="1">
      <alignment vertical="center"/>
    </xf>
    <xf numFmtId="0" fontId="57" fillId="5" borderId="25" xfId="0" applyFont="1" applyFill="1" applyBorder="1" applyAlignment="1">
      <alignment horizontal="center" vertical="center"/>
    </xf>
    <xf numFmtId="0" fontId="57" fillId="5" borderId="25" xfId="0" applyFont="1" applyFill="1" applyBorder="1" applyAlignment="1">
      <alignment horizontal="center" vertical="center" wrapText="1"/>
    </xf>
    <xf numFmtId="0" fontId="61" fillId="0" borderId="29" xfId="0" applyFont="1" applyBorder="1" applyAlignment="1">
      <alignment vertical="center"/>
    </xf>
    <xf numFmtId="0" fontId="32" fillId="5" borderId="29" xfId="0" applyFont="1" applyFill="1" applyBorder="1" applyAlignment="1">
      <alignment vertical="center"/>
    </xf>
    <xf numFmtId="0" fontId="30" fillId="0" borderId="29" xfId="9" applyFont="1" applyBorder="1" applyAlignment="1">
      <alignment vertical="center"/>
    </xf>
    <xf numFmtId="0" fontId="31" fillId="0" borderId="29" xfId="0" applyFont="1" applyBorder="1" applyAlignment="1">
      <alignment vertical="center"/>
    </xf>
    <xf numFmtId="0" fontId="61" fillId="0" borderId="29" xfId="0" applyFont="1" applyBorder="1" applyAlignment="1">
      <alignment horizontal="left" vertical="center"/>
    </xf>
    <xf numFmtId="0" fontId="61" fillId="0" borderId="29" xfId="0" applyFont="1" applyFill="1" applyBorder="1" applyAlignment="1">
      <alignment vertical="center"/>
    </xf>
    <xf numFmtId="0" fontId="32" fillId="5" borderId="29" xfId="0" applyFont="1" applyFill="1" applyBorder="1" applyAlignment="1">
      <alignment horizontal="left" vertical="center" wrapText="1"/>
    </xf>
    <xf numFmtId="3" fontId="28" fillId="5" borderId="15" xfId="0" applyNumberFormat="1" applyFont="1" applyFill="1" applyBorder="1" applyAlignment="1">
      <alignment horizontal="center" vertical="center"/>
    </xf>
    <xf numFmtId="164" fontId="28" fillId="5" borderId="25" xfId="0" applyNumberFormat="1" applyFont="1" applyFill="1" applyBorder="1" applyAlignment="1">
      <alignment horizontal="center" vertical="center" wrapText="1"/>
    </xf>
    <xf numFmtId="3" fontId="25" fillId="0" borderId="15" xfId="0" applyNumberFormat="1" applyFont="1" applyBorder="1" applyAlignment="1">
      <alignment horizontal="center" vertical="center"/>
    </xf>
    <xf numFmtId="164" fontId="25" fillId="0" borderId="25" xfId="0" applyNumberFormat="1" applyFont="1" applyBorder="1" applyAlignment="1">
      <alignment horizontal="center" vertical="center" wrapText="1"/>
    </xf>
    <xf numFmtId="3" fontId="28" fillId="5" borderId="15" xfId="0" applyNumberFormat="1" applyFont="1" applyFill="1" applyBorder="1" applyAlignment="1">
      <alignment horizontal="center" vertical="center" wrapText="1"/>
    </xf>
    <xf numFmtId="0" fontId="25" fillId="0" borderId="25" xfId="0" applyFont="1" applyBorder="1" applyAlignment="1">
      <alignment vertical="center"/>
    </xf>
    <xf numFmtId="9" fontId="31" fillId="0" borderId="25" xfId="1" applyFont="1" applyBorder="1" applyAlignment="1">
      <alignment horizontal="center" vertical="center"/>
    </xf>
    <xf numFmtId="0" fontId="31" fillId="0" borderId="25" xfId="0" applyFont="1" applyBorder="1" applyAlignment="1">
      <alignment vertical="center"/>
    </xf>
    <xf numFmtId="0" fontId="61" fillId="2" borderId="29" xfId="0" applyFont="1" applyFill="1" applyBorder="1" applyAlignment="1">
      <alignment horizontal="left" vertical="center" wrapText="1"/>
    </xf>
    <xf numFmtId="0" fontId="52" fillId="2" borderId="29" xfId="9" applyFont="1" applyFill="1" applyBorder="1" applyAlignment="1">
      <alignment horizontal="left" vertical="center" wrapText="1"/>
    </xf>
    <xf numFmtId="0" fontId="31" fillId="2" borderId="29" xfId="0" applyFont="1" applyFill="1" applyBorder="1" applyAlignment="1">
      <alignment horizontal="left" vertical="center" wrapText="1"/>
    </xf>
    <xf numFmtId="0" fontId="30" fillId="2" borderId="29" xfId="9" applyFont="1" applyFill="1" applyBorder="1" applyAlignment="1">
      <alignment horizontal="left" vertical="center" wrapText="1"/>
    </xf>
    <xf numFmtId="0" fontId="28" fillId="5" borderId="29" xfId="0" applyFont="1" applyFill="1" applyBorder="1" applyAlignment="1">
      <alignment horizontal="left" vertical="center" wrapText="1"/>
    </xf>
    <xf numFmtId="0" fontId="43" fillId="2" borderId="29" xfId="0" applyFont="1" applyFill="1" applyBorder="1" applyAlignment="1">
      <alignment horizontal="left" vertical="center" wrapText="1"/>
    </xf>
    <xf numFmtId="0" fontId="25" fillId="2" borderId="29" xfId="0" applyFont="1" applyFill="1" applyBorder="1" applyAlignment="1">
      <alignment horizontal="left" vertical="center" wrapText="1"/>
    </xf>
    <xf numFmtId="0" fontId="54" fillId="5" borderId="30" xfId="9" applyFont="1" applyFill="1" applyBorder="1" applyAlignment="1">
      <alignment horizontal="left" vertical="center" wrapText="1"/>
    </xf>
    <xf numFmtId="0" fontId="0" fillId="2" borderId="0" xfId="0" applyFill="1" applyAlignment="1">
      <alignment vertical="center"/>
    </xf>
    <xf numFmtId="0" fontId="20" fillId="2" borderId="0" xfId="0" applyFont="1" applyFill="1" applyAlignment="1">
      <alignment vertical="center"/>
    </xf>
    <xf numFmtId="0" fontId="20" fillId="0" borderId="0" xfId="0" applyFont="1" applyAlignment="1">
      <alignment vertical="center"/>
    </xf>
    <xf numFmtId="43" fontId="20" fillId="0" borderId="0" xfId="8" applyFont="1" applyAlignment="1">
      <alignment vertical="center"/>
    </xf>
    <xf numFmtId="0" fontId="20" fillId="2" borderId="18" xfId="0" applyFont="1" applyFill="1" applyBorder="1" applyAlignment="1">
      <alignment vertical="center"/>
    </xf>
    <xf numFmtId="43" fontId="20" fillId="2" borderId="12" xfId="8" applyFont="1" applyFill="1" applyBorder="1" applyAlignment="1">
      <alignment vertical="center"/>
    </xf>
    <xf numFmtId="0" fontId="20" fillId="2" borderId="20" xfId="0" applyFont="1" applyFill="1" applyBorder="1" applyAlignment="1">
      <alignment vertical="center"/>
    </xf>
    <xf numFmtId="0" fontId="42" fillId="0" borderId="3" xfId="0" applyFont="1" applyFill="1" applyBorder="1" applyAlignment="1">
      <alignment horizontal="left" vertical="center" wrapText="1"/>
    </xf>
    <xf numFmtId="0" fontId="95" fillId="5" borderId="29" xfId="9" applyFont="1" applyFill="1" applyBorder="1" applyAlignment="1">
      <alignment horizontal="center" vertical="center" wrapText="1"/>
    </xf>
    <xf numFmtId="9" fontId="31" fillId="0" borderId="37" xfId="1" applyFont="1" applyBorder="1" applyAlignment="1">
      <alignment horizontal="center" vertical="center"/>
    </xf>
    <xf numFmtId="0" fontId="25" fillId="2" borderId="0" xfId="0" applyFont="1" applyFill="1" applyBorder="1" applyAlignment="1">
      <alignment vertical="center"/>
    </xf>
    <xf numFmtId="0" fontId="25" fillId="2" borderId="28" xfId="0" applyFont="1" applyFill="1" applyBorder="1" applyAlignment="1">
      <alignment vertical="center"/>
    </xf>
    <xf numFmtId="0" fontId="25" fillId="2" borderId="7" xfId="0" applyFont="1" applyFill="1" applyBorder="1" applyAlignment="1">
      <alignment vertical="center"/>
    </xf>
    <xf numFmtId="0" fontId="45" fillId="2" borderId="0" xfId="0" applyFont="1" applyFill="1" applyBorder="1" applyAlignment="1">
      <alignment horizontal="left" vertical="center"/>
    </xf>
    <xf numFmtId="0" fontId="50" fillId="5" borderId="25" xfId="0" applyFont="1" applyFill="1" applyBorder="1" applyAlignment="1">
      <alignment horizontal="center" vertical="center" wrapText="1"/>
    </xf>
    <xf numFmtId="3" fontId="23" fillId="10" borderId="25" xfId="0" applyNumberFormat="1" applyFont="1" applyFill="1" applyBorder="1" applyAlignment="1">
      <alignment horizontal="center" vertical="center" wrapText="1"/>
    </xf>
    <xf numFmtId="3" fontId="61" fillId="0" borderId="25" xfId="0" applyNumberFormat="1" applyFont="1" applyFill="1" applyBorder="1" applyAlignment="1">
      <alignment horizontal="center" vertical="center" wrapText="1"/>
    </xf>
    <xf numFmtId="3" fontId="80" fillId="0" borderId="25" xfId="0" applyNumberFormat="1" applyFont="1" applyFill="1" applyBorder="1" applyAlignment="1">
      <alignment horizontal="center" vertical="center" wrapText="1"/>
    </xf>
    <xf numFmtId="0" fontId="23" fillId="10" borderId="29" xfId="0" applyFont="1" applyFill="1" applyBorder="1" applyAlignment="1">
      <alignment horizontal="center" vertical="center" wrapText="1"/>
    </xf>
    <xf numFmtId="0" fontId="93" fillId="5" borderId="29" xfId="0" applyFont="1" applyFill="1" applyBorder="1" applyAlignment="1">
      <alignment horizontal="center" vertical="center"/>
    </xf>
    <xf numFmtId="0" fontId="93" fillId="5" borderId="25" xfId="0" applyFont="1" applyFill="1" applyBorder="1" applyAlignment="1">
      <alignment horizontal="center" vertical="center"/>
    </xf>
    <xf numFmtId="3" fontId="25" fillId="11" borderId="15" xfId="0" applyNumberFormat="1" applyFont="1" applyFill="1" applyBorder="1" applyAlignment="1" applyProtection="1">
      <alignment horizontal="center" vertical="center"/>
      <protection locked="0"/>
    </xf>
    <xf numFmtId="3" fontId="28" fillId="11" borderId="15" xfId="0" applyNumberFormat="1" applyFont="1" applyFill="1" applyBorder="1" applyAlignment="1" applyProtection="1">
      <alignment horizontal="center" vertical="center"/>
      <protection locked="0"/>
    </xf>
    <xf numFmtId="164" fontId="28" fillId="11" borderId="25" xfId="0" applyNumberFormat="1" applyFont="1" applyFill="1" applyBorder="1" applyAlignment="1" applyProtection="1">
      <alignment horizontal="center" vertical="center" wrapText="1"/>
      <protection locked="0"/>
    </xf>
    <xf numFmtId="164" fontId="25" fillId="12" borderId="25" xfId="0" applyNumberFormat="1" applyFont="1" applyFill="1" applyBorder="1" applyAlignment="1" applyProtection="1">
      <alignment horizontal="center" vertical="center" wrapText="1"/>
      <protection locked="0"/>
    </xf>
    <xf numFmtId="164" fontId="73" fillId="0" borderId="15" xfId="0" applyNumberFormat="1" applyFont="1" applyFill="1" applyBorder="1" applyAlignment="1" applyProtection="1">
      <alignment horizontal="center" vertical="center" wrapText="1"/>
    </xf>
    <xf numFmtId="164" fontId="25" fillId="0" borderId="15" xfId="0" applyNumberFormat="1" applyFont="1" applyFill="1" applyBorder="1" applyAlignment="1" applyProtection="1">
      <alignment horizontal="center" vertical="center" wrapText="1"/>
    </xf>
    <xf numFmtId="164" fontId="73" fillId="11" borderId="15" xfId="0" applyNumberFormat="1" applyFont="1" applyFill="1" applyBorder="1" applyAlignment="1" applyProtection="1">
      <alignment horizontal="center" vertical="center" wrapText="1"/>
      <protection locked="0"/>
    </xf>
    <xf numFmtId="164" fontId="25" fillId="11" borderId="15" xfId="0" applyNumberFormat="1" applyFont="1" applyFill="1" applyBorder="1" applyAlignment="1" applyProtection="1">
      <alignment horizontal="center" vertical="center" wrapText="1"/>
      <protection locked="0"/>
    </xf>
    <xf numFmtId="3" fontId="42" fillId="11" borderId="3" xfId="0" applyNumberFormat="1" applyFont="1" applyFill="1" applyBorder="1" applyAlignment="1">
      <alignment horizontal="center" vertical="center" wrapText="1"/>
    </xf>
    <xf numFmtId="3" fontId="31" fillId="11" borderId="3" xfId="0" applyNumberFormat="1" applyFont="1" applyFill="1" applyBorder="1" applyAlignment="1" applyProtection="1">
      <alignment horizontal="center" vertical="center" wrapText="1"/>
      <protection locked="0"/>
    </xf>
    <xf numFmtId="3" fontId="32" fillId="11" borderId="3" xfId="0" applyNumberFormat="1" applyFont="1" applyFill="1" applyBorder="1" applyAlignment="1" applyProtection="1">
      <alignment horizontal="center" vertical="center" wrapText="1"/>
      <protection locked="0"/>
    </xf>
    <xf numFmtId="164" fontId="112" fillId="11" borderId="15" xfId="0" applyNumberFormat="1" applyFont="1" applyFill="1" applyBorder="1" applyAlignment="1" applyProtection="1">
      <alignment horizontal="center" vertical="center" wrapText="1"/>
      <protection locked="0"/>
    </xf>
    <xf numFmtId="164" fontId="112" fillId="0" borderId="15" xfId="0" applyNumberFormat="1" applyFont="1" applyFill="1" applyBorder="1" applyAlignment="1" applyProtection="1">
      <alignment horizontal="center" vertical="center" wrapText="1"/>
    </xf>
    <xf numFmtId="0" fontId="76" fillId="2" borderId="0" xfId="0" applyFont="1" applyFill="1" applyBorder="1"/>
    <xf numFmtId="0" fontId="14" fillId="2" borderId="0" xfId="0" applyFont="1" applyFill="1" applyBorder="1"/>
    <xf numFmtId="9" fontId="0" fillId="2" borderId="0" xfId="1" applyFont="1" applyFill="1" applyBorder="1"/>
    <xf numFmtId="174" fontId="0" fillId="2" borderId="0" xfId="0" applyNumberFormat="1" applyFill="1" applyBorder="1"/>
    <xf numFmtId="173" fontId="81" fillId="11" borderId="15" xfId="8" applyNumberFormat="1" applyFont="1" applyFill="1" applyBorder="1" applyAlignment="1" applyProtection="1">
      <alignment horizontal="center" vertical="center" wrapText="1"/>
      <protection locked="0"/>
    </xf>
    <xf numFmtId="173" fontId="81" fillId="11" borderId="25" xfId="8" applyNumberFormat="1" applyFont="1" applyFill="1" applyBorder="1" applyAlignment="1" applyProtection="1">
      <alignment horizontal="center" vertical="center" wrapText="1"/>
      <protection locked="0"/>
    </xf>
    <xf numFmtId="17" fontId="67" fillId="13" borderId="25" xfId="0" applyNumberFormat="1" applyFont="1" applyFill="1" applyBorder="1" applyAlignment="1" applyProtection="1">
      <alignment horizontal="center" vertical="center"/>
      <protection locked="0"/>
    </xf>
    <xf numFmtId="10" fontId="78" fillId="11" borderId="6" xfId="1" applyNumberFormat="1" applyFont="1" applyFill="1" applyBorder="1" applyAlignment="1" applyProtection="1">
      <alignment horizontal="center" vertical="center"/>
      <protection locked="0"/>
    </xf>
    <xf numFmtId="3" fontId="81" fillId="14" borderId="15" xfId="0" applyNumberFormat="1" applyFont="1" applyFill="1" applyBorder="1" applyAlignment="1" applyProtection="1">
      <alignment horizontal="center"/>
      <protection locked="0"/>
    </xf>
    <xf numFmtId="3" fontId="81" fillId="14" borderId="25" xfId="0" applyNumberFormat="1" applyFont="1" applyFill="1" applyBorder="1" applyAlignment="1" applyProtection="1">
      <alignment horizontal="center"/>
      <protection locked="0"/>
    </xf>
    <xf numFmtId="3" fontId="86" fillId="13" borderId="15" xfId="0" applyNumberFormat="1" applyFont="1" applyFill="1" applyBorder="1" applyAlignment="1" applyProtection="1">
      <alignment horizontal="center" vertical="center" wrapText="1"/>
      <protection locked="0"/>
    </xf>
    <xf numFmtId="3" fontId="86" fillId="13" borderId="25" xfId="0" applyNumberFormat="1" applyFont="1" applyFill="1" applyBorder="1" applyAlignment="1" applyProtection="1">
      <alignment horizontal="center" vertical="center" wrapText="1"/>
      <protection locked="0"/>
    </xf>
    <xf numFmtId="3" fontId="31" fillId="12" borderId="15" xfId="0" applyNumberFormat="1" applyFont="1" applyFill="1" applyBorder="1" applyAlignment="1">
      <alignment horizontal="center" vertical="center" wrapText="1"/>
    </xf>
    <xf numFmtId="0" fontId="61" fillId="5" borderId="15" xfId="0" applyFont="1" applyFill="1" applyBorder="1" applyAlignment="1">
      <alignment horizontal="left" vertical="center" wrapText="1"/>
    </xf>
    <xf numFmtId="164" fontId="61" fillId="5" borderId="15" xfId="0" applyNumberFormat="1" applyFont="1" applyFill="1" applyBorder="1" applyAlignment="1">
      <alignment horizontal="center" vertical="center" wrapText="1"/>
    </xf>
    <xf numFmtId="0" fontId="25" fillId="2" borderId="13" xfId="0" applyFont="1" applyFill="1" applyBorder="1"/>
    <xf numFmtId="0" fontId="31" fillId="2" borderId="13" xfId="0" applyFont="1" applyFill="1" applyBorder="1" applyAlignment="1">
      <alignment horizontal="center" vertical="center"/>
    </xf>
    <xf numFmtId="0" fontId="61" fillId="0" borderId="29" xfId="0" applyFont="1" applyFill="1" applyBorder="1" applyAlignment="1">
      <alignment horizontal="left" vertical="center" wrapText="1"/>
    </xf>
    <xf numFmtId="0" fontId="30" fillId="0" borderId="29" xfId="9" applyFont="1" applyFill="1" applyBorder="1" applyAlignment="1">
      <alignment horizontal="left" vertical="center" wrapText="1"/>
    </xf>
    <xf numFmtId="0" fontId="17" fillId="5" borderId="25" xfId="0" applyFont="1" applyFill="1" applyBorder="1" applyAlignment="1">
      <alignment horizontal="center" vertical="center" wrapText="1"/>
    </xf>
    <xf numFmtId="164" fontId="31" fillId="12" borderId="25" xfId="0" applyNumberFormat="1" applyFont="1" applyFill="1" applyBorder="1" applyAlignment="1">
      <alignment horizontal="center" vertical="center" wrapText="1"/>
    </xf>
    <xf numFmtId="164" fontId="61" fillId="5" borderId="25" xfId="0" applyNumberFormat="1" applyFont="1" applyFill="1" applyBorder="1" applyAlignment="1">
      <alignment horizontal="center" vertical="center" wrapText="1"/>
    </xf>
    <xf numFmtId="164" fontId="61" fillId="0" borderId="25" xfId="0" applyNumberFormat="1" applyFont="1" applyFill="1" applyBorder="1" applyAlignment="1">
      <alignment horizontal="center" vertical="center" wrapText="1"/>
    </xf>
    <xf numFmtId="164" fontId="50" fillId="5" borderId="25" xfId="0" applyNumberFormat="1" applyFont="1" applyFill="1" applyBorder="1" applyAlignment="1">
      <alignment horizontal="center" vertical="center" wrapText="1"/>
    </xf>
    <xf numFmtId="0" fontId="32" fillId="0" borderId="22" xfId="0" applyFont="1" applyBorder="1" applyAlignment="1">
      <alignment vertical="center" wrapText="1"/>
    </xf>
    <xf numFmtId="0" fontId="23" fillId="5" borderId="25" xfId="0" applyFont="1" applyFill="1" applyBorder="1" applyAlignment="1">
      <alignment horizontal="center" vertical="center" wrapText="1"/>
    </xf>
    <xf numFmtId="164" fontId="23" fillId="5" borderId="25" xfId="0" applyNumberFormat="1" applyFont="1" applyFill="1" applyBorder="1" applyAlignment="1">
      <alignment horizontal="center" vertical="center" wrapText="1"/>
    </xf>
    <xf numFmtId="164" fontId="67" fillId="5" borderId="47" xfId="0" applyNumberFormat="1" applyFont="1" applyFill="1" applyBorder="1" applyAlignment="1">
      <alignment horizontal="center" vertical="center" wrapText="1"/>
    </xf>
    <xf numFmtId="4" fontId="42" fillId="0" borderId="25" xfId="0" applyNumberFormat="1" applyFont="1" applyFill="1" applyBorder="1" applyAlignment="1">
      <alignment horizontal="center" vertical="center" wrapText="1"/>
    </xf>
    <xf numFmtId="0" fontId="87" fillId="2" borderId="0" xfId="0" applyFont="1" applyFill="1"/>
    <xf numFmtId="3" fontId="43" fillId="11" borderId="25" xfId="0" applyNumberFormat="1" applyFont="1" applyFill="1" applyBorder="1" applyAlignment="1" applyProtection="1">
      <alignment horizontal="center" vertical="center" wrapText="1"/>
      <protection locked="0"/>
    </xf>
    <xf numFmtId="3" fontId="43" fillId="11" borderId="15" xfId="0" applyNumberFormat="1" applyFont="1" applyFill="1" applyBorder="1" applyAlignment="1" applyProtection="1">
      <alignment horizontal="center" vertical="center" wrapText="1"/>
      <protection locked="0"/>
    </xf>
    <xf numFmtId="164" fontId="32" fillId="11" borderId="15" xfId="0" applyNumberFormat="1" applyFont="1" applyFill="1" applyBorder="1" applyAlignment="1" applyProtection="1">
      <alignment horizontal="center" vertical="center" wrapText="1"/>
      <protection locked="0"/>
    </xf>
    <xf numFmtId="164" fontId="32" fillId="11" borderId="25" xfId="0" applyNumberFormat="1" applyFont="1" applyFill="1" applyBorder="1" applyAlignment="1" applyProtection="1">
      <alignment horizontal="center" vertical="center" wrapText="1"/>
      <protection locked="0"/>
    </xf>
    <xf numFmtId="0" fontId="61" fillId="5" borderId="15" xfId="0" applyFont="1" applyFill="1" applyBorder="1" applyAlignment="1">
      <alignment vertical="center" wrapText="1"/>
    </xf>
    <xf numFmtId="164" fontId="31" fillId="12" borderId="25" xfId="0" applyNumberFormat="1" applyFont="1" applyFill="1" applyBorder="1" applyAlignment="1" applyProtection="1">
      <alignment horizontal="center" vertical="center" wrapText="1"/>
      <protection locked="0"/>
    </xf>
    <xf numFmtId="3" fontId="31" fillId="11" borderId="15" xfId="0" applyNumberFormat="1" applyFont="1" applyFill="1" applyBorder="1" applyAlignment="1" applyProtection="1">
      <alignment horizontal="center" vertical="center" wrapText="1"/>
      <protection locked="0"/>
    </xf>
    <xf numFmtId="0" fontId="30" fillId="0" borderId="15" xfId="9" applyFont="1" applyFill="1" applyBorder="1" applyAlignment="1">
      <alignment vertical="center" wrapText="1"/>
    </xf>
    <xf numFmtId="164" fontId="61" fillId="11" borderId="15" xfId="0" applyNumberFormat="1" applyFont="1" applyFill="1" applyBorder="1" applyAlignment="1" applyProtection="1">
      <alignment horizontal="center" vertical="center" wrapText="1"/>
      <protection locked="0"/>
    </xf>
    <xf numFmtId="164" fontId="61" fillId="11" borderId="25" xfId="0" applyNumberFormat="1" applyFont="1" applyFill="1" applyBorder="1" applyAlignment="1" applyProtection="1">
      <alignment horizontal="center" vertical="center" wrapText="1"/>
      <protection locked="0"/>
    </xf>
    <xf numFmtId="0" fontId="0" fillId="2" borderId="0" xfId="0" applyFill="1" applyBorder="1" applyAlignment="1">
      <alignment vertical="top" wrapText="1"/>
    </xf>
    <xf numFmtId="0" fontId="13" fillId="2" borderId="0" xfId="0" applyFont="1" applyFill="1" applyAlignment="1">
      <alignment vertical="center"/>
    </xf>
    <xf numFmtId="170" fontId="0" fillId="2" borderId="0" xfId="0" applyNumberFormat="1" applyFill="1"/>
    <xf numFmtId="170" fontId="32" fillId="12" borderId="3" xfId="0" applyNumberFormat="1" applyFont="1" applyFill="1" applyBorder="1" applyAlignment="1">
      <alignment horizontal="center" vertical="center"/>
    </xf>
    <xf numFmtId="170" fontId="32" fillId="0" borderId="1" xfId="0" applyNumberFormat="1" applyFont="1" applyFill="1" applyBorder="1" applyAlignment="1">
      <alignment horizontal="center" vertical="center"/>
    </xf>
    <xf numFmtId="3" fontId="32" fillId="0" borderId="8" xfId="0" applyNumberFormat="1" applyFont="1" applyFill="1" applyBorder="1" applyAlignment="1">
      <alignment horizontal="center" vertical="center"/>
    </xf>
    <xf numFmtId="0" fontId="61" fillId="0" borderId="7" xfId="0" applyFont="1" applyFill="1" applyBorder="1" applyAlignment="1">
      <alignment horizontal="center" vertical="center"/>
    </xf>
    <xf numFmtId="171" fontId="32" fillId="0" borderId="10" xfId="0" applyNumberFormat="1" applyFont="1" applyFill="1" applyBorder="1" applyAlignment="1">
      <alignment horizontal="center" vertical="center"/>
    </xf>
    <xf numFmtId="170" fontId="32" fillId="0" borderId="9" xfId="0" applyNumberFormat="1" applyFont="1" applyFill="1" applyBorder="1" applyAlignment="1">
      <alignment horizontal="center" vertical="center"/>
    </xf>
    <xf numFmtId="0" fontId="31" fillId="12" borderId="0" xfId="0" applyFont="1" applyFill="1"/>
    <xf numFmtId="0" fontId="93" fillId="12" borderId="0" xfId="0" applyFont="1" applyFill="1" applyBorder="1" applyAlignment="1">
      <alignment horizontal="left" vertical="center"/>
    </xf>
    <xf numFmtId="0" fontId="51" fillId="12" borderId="0" xfId="9" applyFont="1" applyFill="1" applyBorder="1" applyAlignment="1">
      <alignment horizontal="left" vertical="center"/>
    </xf>
    <xf numFmtId="0" fontId="93" fillId="5" borderId="29" xfId="0" applyFont="1" applyFill="1" applyBorder="1" applyAlignment="1">
      <alignment horizontal="center" vertical="center" wrapText="1"/>
    </xf>
    <xf numFmtId="0" fontId="93" fillId="5" borderId="25" xfId="0" applyFont="1" applyFill="1" applyBorder="1" applyAlignment="1">
      <alignment horizontal="center" vertical="center" wrapText="1"/>
    </xf>
    <xf numFmtId="0" fontId="31" fillId="11" borderId="15" xfId="0" applyFont="1" applyFill="1" applyBorder="1" applyAlignment="1" applyProtection="1">
      <alignment horizontal="center" vertical="center"/>
      <protection locked="0"/>
    </xf>
    <xf numFmtId="168" fontId="31" fillId="11" borderId="15" xfId="0" applyNumberFormat="1" applyFont="1" applyFill="1" applyBorder="1" applyAlignment="1" applyProtection="1">
      <alignment horizontal="center" vertical="center"/>
      <protection locked="0"/>
    </xf>
    <xf numFmtId="0" fontId="32" fillId="11" borderId="15" xfId="0" applyFont="1" applyFill="1" applyBorder="1" applyAlignment="1" applyProtection="1">
      <alignment horizontal="center" vertical="center" wrapText="1"/>
      <protection locked="0"/>
    </xf>
    <xf numFmtId="0" fontId="32" fillId="11" borderId="21" xfId="0" applyFont="1" applyFill="1" applyBorder="1" applyAlignment="1" applyProtection="1">
      <alignment horizontal="center" vertical="center" wrapText="1"/>
      <protection locked="0"/>
    </xf>
    <xf numFmtId="171" fontId="31" fillId="11" borderId="1" xfId="0" applyNumberFormat="1" applyFont="1" applyFill="1" applyBorder="1" applyAlignment="1" applyProtection="1">
      <alignment horizontal="center" vertical="center"/>
      <protection locked="0"/>
    </xf>
    <xf numFmtId="171" fontId="31" fillId="11" borderId="2" xfId="0" applyNumberFormat="1" applyFont="1" applyFill="1" applyBorder="1" applyAlignment="1" applyProtection="1">
      <alignment horizontal="center" vertical="center"/>
      <protection locked="0"/>
    </xf>
    <xf numFmtId="4" fontId="31" fillId="11" borderId="1" xfId="0" applyNumberFormat="1" applyFont="1" applyFill="1" applyBorder="1" applyAlignment="1" applyProtection="1">
      <alignment horizontal="center" vertical="center"/>
      <protection locked="0"/>
    </xf>
    <xf numFmtId="4" fontId="31" fillId="11" borderId="2" xfId="0" applyNumberFormat="1" applyFont="1" applyFill="1" applyBorder="1" applyAlignment="1" applyProtection="1">
      <alignment horizontal="center" vertical="center"/>
      <protection locked="0"/>
    </xf>
    <xf numFmtId="0" fontId="31" fillId="5" borderId="40" xfId="0" applyFont="1" applyFill="1" applyBorder="1"/>
    <xf numFmtId="0" fontId="24" fillId="5" borderId="40" xfId="0" applyFont="1" applyFill="1" applyBorder="1"/>
    <xf numFmtId="0" fontId="31" fillId="5" borderId="32" xfId="0" applyFont="1" applyFill="1" applyBorder="1"/>
    <xf numFmtId="0" fontId="31" fillId="5" borderId="26" xfId="0" applyFont="1" applyFill="1" applyBorder="1"/>
    <xf numFmtId="0" fontId="31" fillId="5" borderId="39" xfId="0" applyFont="1" applyFill="1" applyBorder="1"/>
    <xf numFmtId="0" fontId="24" fillId="5" borderId="39" xfId="0" applyFont="1" applyFill="1" applyBorder="1"/>
    <xf numFmtId="0" fontId="31" fillId="5" borderId="34" xfId="0" applyFont="1" applyFill="1" applyBorder="1"/>
    <xf numFmtId="0" fontId="31" fillId="5" borderId="31" xfId="0" applyFont="1" applyFill="1" applyBorder="1"/>
    <xf numFmtId="0" fontId="49" fillId="5" borderId="25" xfId="0" applyFont="1" applyFill="1" applyBorder="1" applyAlignment="1">
      <alignment horizontal="center" vertical="center"/>
    </xf>
    <xf numFmtId="0" fontId="31" fillId="0" borderId="25" xfId="0" applyFont="1" applyBorder="1" applyAlignment="1">
      <alignment horizontal="left" vertical="center" wrapText="1"/>
    </xf>
    <xf numFmtId="0" fontId="49" fillId="5" borderId="29" xfId="0" applyFont="1" applyFill="1" applyBorder="1" applyAlignment="1">
      <alignment horizontal="center" vertical="center"/>
    </xf>
    <xf numFmtId="0" fontId="24" fillId="5" borderId="29" xfId="0" applyFont="1" applyFill="1" applyBorder="1" applyAlignment="1">
      <alignment horizontal="center" vertical="center"/>
    </xf>
    <xf numFmtId="9" fontId="25" fillId="8" borderId="21" xfId="1" applyNumberFormat="1" applyFont="1" applyFill="1" applyBorder="1" applyAlignment="1" applyProtection="1">
      <alignment horizontal="center" vertical="center" wrapText="1"/>
      <protection locked="0"/>
    </xf>
    <xf numFmtId="9" fontId="25" fillId="8" borderId="50" xfId="1" applyNumberFormat="1" applyFont="1" applyFill="1" applyBorder="1" applyAlignment="1" applyProtection="1">
      <alignment horizontal="center" vertical="center" wrapText="1"/>
      <protection locked="0"/>
    </xf>
    <xf numFmtId="9" fontId="25" fillId="8" borderId="22" xfId="1" applyNumberFormat="1" applyFont="1" applyFill="1" applyBorder="1" applyAlignment="1" applyProtection="1">
      <alignment horizontal="center" vertical="center" wrapText="1"/>
      <protection locked="0"/>
    </xf>
    <xf numFmtId="9" fontId="25" fillId="8" borderId="22" xfId="1" applyNumberFormat="1" applyFont="1" applyFill="1" applyBorder="1" applyAlignment="1">
      <alignment horizontal="center" vertical="center" wrapText="1"/>
    </xf>
    <xf numFmtId="172" fontId="31" fillId="0" borderId="0" xfId="0" applyNumberFormat="1" applyFont="1" applyFill="1"/>
    <xf numFmtId="4" fontId="17" fillId="5" borderId="15" xfId="0" applyNumberFormat="1" applyFont="1" applyFill="1" applyBorder="1" applyAlignment="1" applyProtection="1">
      <alignment horizontal="center" vertical="center"/>
      <protection locked="0"/>
    </xf>
    <xf numFmtId="0" fontId="33" fillId="2" borderId="0" xfId="0" applyFont="1" applyFill="1" applyAlignment="1">
      <alignment vertical="center"/>
    </xf>
    <xf numFmtId="4" fontId="33" fillId="2" borderId="0" xfId="0" applyNumberFormat="1" applyFont="1" applyFill="1" applyAlignment="1">
      <alignment vertical="center"/>
    </xf>
    <xf numFmtId="4" fontId="33" fillId="2" borderId="0" xfId="0" applyNumberFormat="1" applyFont="1" applyFill="1"/>
    <xf numFmtId="0" fontId="33" fillId="2" borderId="0" xfId="0" applyFont="1" applyFill="1"/>
    <xf numFmtId="4" fontId="23" fillId="5" borderId="15" xfId="0" applyNumberFormat="1" applyFont="1" applyFill="1" applyBorder="1" applyAlignment="1" applyProtection="1">
      <alignment horizontal="center" vertical="center"/>
      <protection locked="0"/>
    </xf>
    <xf numFmtId="0" fontId="33" fillId="5" borderId="15" xfId="0" applyFont="1" applyFill="1" applyBorder="1" applyAlignment="1">
      <alignment vertical="center"/>
    </xf>
    <xf numFmtId="0" fontId="23" fillId="5" borderId="29" xfId="0" applyFont="1" applyFill="1" applyBorder="1" applyAlignment="1">
      <alignment horizontal="center" vertical="center"/>
    </xf>
    <xf numFmtId="0" fontId="61" fillId="2" borderId="30" xfId="0" applyFont="1" applyFill="1" applyBorder="1" applyAlignment="1">
      <alignment vertical="center" wrapText="1"/>
    </xf>
    <xf numFmtId="0" fontId="61" fillId="2" borderId="36" xfId="0" applyFont="1" applyFill="1" applyBorder="1" applyAlignment="1">
      <alignment vertical="center" wrapText="1"/>
    </xf>
    <xf numFmtId="0" fontId="61" fillId="2" borderId="30" xfId="0" applyFont="1" applyFill="1" applyBorder="1" applyAlignment="1">
      <alignment horizontal="left" vertical="center" wrapText="1"/>
    </xf>
    <xf numFmtId="0" fontId="61" fillId="2" borderId="36" xfId="0" applyFont="1" applyFill="1" applyBorder="1" applyAlignment="1">
      <alignment horizontal="left" vertical="center" wrapText="1"/>
    </xf>
    <xf numFmtId="0" fontId="61" fillId="2" borderId="51" xfId="0" applyFont="1" applyFill="1" applyBorder="1" applyAlignment="1">
      <alignment horizontal="left" vertical="center" wrapText="1"/>
    </xf>
    <xf numFmtId="0" fontId="25" fillId="2" borderId="36" xfId="0" applyFont="1" applyFill="1" applyBorder="1" applyAlignment="1">
      <alignment horizontal="left" vertical="center" wrapText="1"/>
    </xf>
    <xf numFmtId="0" fontId="23" fillId="5" borderId="25" xfId="0" applyFont="1" applyFill="1" applyBorder="1" applyAlignment="1">
      <alignment vertical="center" wrapText="1"/>
    </xf>
    <xf numFmtId="4" fontId="17" fillId="5" borderId="25" xfId="0" applyNumberFormat="1" applyFont="1" applyFill="1" applyBorder="1" applyAlignment="1" applyProtection="1">
      <alignment horizontal="center" vertical="center"/>
      <protection locked="0"/>
    </xf>
    <xf numFmtId="0" fontId="23" fillId="5" borderId="25" xfId="0" applyFont="1" applyFill="1" applyBorder="1" applyAlignment="1">
      <alignment vertical="center"/>
    </xf>
    <xf numFmtId="4" fontId="23" fillId="5" borderId="25" xfId="0" applyNumberFormat="1" applyFont="1" applyFill="1" applyBorder="1" applyAlignment="1" applyProtection="1">
      <alignment horizontal="center" vertical="center"/>
      <protection locked="0"/>
    </xf>
    <xf numFmtId="0" fontId="33" fillId="5" borderId="25" xfId="0" applyFont="1" applyFill="1" applyBorder="1" applyAlignment="1">
      <alignment vertical="center"/>
    </xf>
    <xf numFmtId="0" fontId="59" fillId="6" borderId="0" xfId="0" applyFont="1" applyFill="1" applyBorder="1" applyAlignment="1">
      <alignment vertical="center"/>
    </xf>
    <xf numFmtId="0" fontId="59" fillId="6" borderId="27" xfId="0" applyFont="1" applyFill="1" applyBorder="1" applyAlignment="1">
      <alignment vertical="center"/>
    </xf>
    <xf numFmtId="1" fontId="31" fillId="0" borderId="25" xfId="0" applyNumberFormat="1" applyFont="1" applyBorder="1" applyAlignment="1">
      <alignment horizontal="center" vertical="center"/>
    </xf>
    <xf numFmtId="0" fontId="31" fillId="0" borderId="29" xfId="0" applyFont="1" applyBorder="1" applyAlignment="1">
      <alignment horizontal="center" vertical="center"/>
    </xf>
    <xf numFmtId="0" fontId="31" fillId="2" borderId="0" xfId="0" applyFont="1" applyFill="1" applyAlignment="1">
      <alignment vertical="center"/>
    </xf>
    <xf numFmtId="0" fontId="23" fillId="5" borderId="25" xfId="0" applyFont="1" applyFill="1" applyBorder="1" applyAlignment="1">
      <alignment horizontal="center" vertical="center" wrapText="1"/>
    </xf>
    <xf numFmtId="0" fontId="23" fillId="5" borderId="15" xfId="0" applyFont="1" applyFill="1" applyBorder="1" applyAlignment="1">
      <alignment horizontal="center" vertical="center" wrapText="1"/>
    </xf>
    <xf numFmtId="9" fontId="31" fillId="12" borderId="21" xfId="1" applyNumberFormat="1" applyFont="1" applyFill="1" applyBorder="1" applyAlignment="1" applyProtection="1">
      <alignment horizontal="center" vertical="center" wrapText="1"/>
      <protection locked="0"/>
    </xf>
    <xf numFmtId="9" fontId="31" fillId="12" borderId="50" xfId="1" applyNumberFormat="1" applyFont="1" applyFill="1" applyBorder="1" applyAlignment="1" applyProtection="1">
      <alignment horizontal="center" vertical="center" wrapText="1"/>
      <protection locked="0"/>
    </xf>
    <xf numFmtId="9" fontId="31" fillId="12" borderId="22" xfId="1" applyNumberFormat="1" applyFont="1" applyFill="1" applyBorder="1" applyAlignment="1" applyProtection="1">
      <alignment horizontal="center" vertical="center" wrapText="1"/>
      <protection locked="0"/>
    </xf>
    <xf numFmtId="167" fontId="31" fillId="2" borderId="15" xfId="0" applyNumberFormat="1" applyFont="1" applyFill="1" applyBorder="1" applyAlignment="1" applyProtection="1">
      <alignment horizontal="center" vertical="center" wrapText="1"/>
      <protection locked="0"/>
    </xf>
    <xf numFmtId="167" fontId="31" fillId="2" borderId="25" xfId="0" applyNumberFormat="1" applyFont="1" applyFill="1" applyBorder="1" applyAlignment="1" applyProtection="1">
      <alignment horizontal="center" vertical="center" wrapText="1"/>
      <protection locked="0"/>
    </xf>
    <xf numFmtId="167" fontId="31" fillId="11" borderId="15" xfId="0" applyNumberFormat="1" applyFont="1" applyFill="1" applyBorder="1" applyAlignment="1" applyProtection="1">
      <alignment horizontal="center" vertical="center" wrapText="1"/>
      <protection locked="0"/>
    </xf>
    <xf numFmtId="167" fontId="31" fillId="12" borderId="25" xfId="0" applyNumberFormat="1" applyFont="1" applyFill="1" applyBorder="1" applyAlignment="1" applyProtection="1">
      <alignment horizontal="center" vertical="center" wrapText="1"/>
      <protection locked="0"/>
    </xf>
    <xf numFmtId="167" fontId="32" fillId="0" borderId="15" xfId="0" applyNumberFormat="1" applyFont="1" applyFill="1" applyBorder="1" applyAlignment="1" applyProtection="1">
      <alignment horizontal="center" vertical="center" wrapText="1"/>
      <protection locked="0"/>
    </xf>
    <xf numFmtId="167" fontId="32" fillId="0" borderId="25" xfId="0" applyNumberFormat="1" applyFont="1" applyFill="1" applyBorder="1" applyAlignment="1" applyProtection="1">
      <alignment horizontal="center" vertical="center" wrapText="1"/>
      <protection locked="0"/>
    </xf>
    <xf numFmtId="167" fontId="32" fillId="11" borderId="15" xfId="0" applyNumberFormat="1" applyFont="1" applyFill="1" applyBorder="1" applyAlignment="1" applyProtection="1">
      <alignment horizontal="center" vertical="center" wrapText="1"/>
      <protection locked="0"/>
    </xf>
    <xf numFmtId="167" fontId="32" fillId="12" borderId="25" xfId="0" applyNumberFormat="1" applyFont="1" applyFill="1" applyBorder="1" applyAlignment="1" applyProtection="1">
      <alignment horizontal="center" vertical="center" wrapText="1"/>
      <protection locked="0"/>
    </xf>
    <xf numFmtId="167" fontId="32" fillId="5" borderId="15" xfId="0" applyNumberFormat="1" applyFont="1" applyFill="1" applyBorder="1" applyAlignment="1">
      <alignment horizontal="center" vertical="center" wrapText="1"/>
    </xf>
    <xf numFmtId="167" fontId="32" fillId="5" borderId="16" xfId="0" applyNumberFormat="1" applyFont="1" applyFill="1" applyBorder="1" applyAlignment="1">
      <alignment horizontal="center" vertical="center" wrapText="1"/>
    </xf>
    <xf numFmtId="167" fontId="32" fillId="11" borderId="25" xfId="0" applyNumberFormat="1" applyFont="1" applyFill="1" applyBorder="1" applyAlignment="1" applyProtection="1">
      <alignment horizontal="center" vertical="center" wrapText="1"/>
      <protection locked="0"/>
    </xf>
    <xf numFmtId="167" fontId="32" fillId="5" borderId="25" xfId="0" applyNumberFormat="1" applyFont="1" applyFill="1" applyBorder="1" applyAlignment="1">
      <alignment horizontal="center" vertical="center" wrapText="1"/>
    </xf>
    <xf numFmtId="0" fontId="31" fillId="0" borderId="15" xfId="0" applyFont="1" applyBorder="1" applyAlignment="1">
      <alignment horizontal="left" vertical="center" wrapText="1"/>
    </xf>
    <xf numFmtId="0" fontId="31" fillId="2" borderId="15" xfId="0" applyFont="1" applyFill="1" applyBorder="1" applyAlignment="1">
      <alignment horizontal="center" vertical="center"/>
    </xf>
    <xf numFmtId="44" fontId="31" fillId="12" borderId="25" xfId="0" applyNumberFormat="1" applyFont="1" applyFill="1" applyBorder="1" applyAlignment="1">
      <alignment horizontal="center" vertical="center"/>
    </xf>
    <xf numFmtId="170" fontId="31" fillId="12" borderId="15" xfId="0" applyNumberFormat="1" applyFont="1" applyFill="1" applyBorder="1" applyAlignment="1">
      <alignment horizontal="center" vertical="center"/>
    </xf>
    <xf numFmtId="170" fontId="31" fillId="12" borderId="25" xfId="0" applyNumberFormat="1" applyFont="1" applyFill="1" applyBorder="1" applyAlignment="1">
      <alignment horizontal="center" vertical="center"/>
    </xf>
    <xf numFmtId="170" fontId="31" fillId="12" borderId="40" xfId="0" applyNumberFormat="1" applyFont="1" applyFill="1" applyBorder="1" applyAlignment="1">
      <alignment horizontal="center" vertical="center"/>
    </xf>
    <xf numFmtId="170" fontId="31" fillId="12" borderId="21" xfId="0" applyNumberFormat="1" applyFont="1" applyFill="1" applyBorder="1" applyAlignment="1">
      <alignment horizontal="center" vertical="center"/>
    </xf>
    <xf numFmtId="170" fontId="31" fillId="2" borderId="15" xfId="0" applyNumberFormat="1" applyFont="1" applyFill="1" applyBorder="1" applyAlignment="1">
      <alignment horizontal="center" vertical="center"/>
    </xf>
    <xf numFmtId="170" fontId="31" fillId="2" borderId="25" xfId="0" applyNumberFormat="1" applyFont="1" applyFill="1" applyBorder="1" applyAlignment="1">
      <alignment horizontal="center" vertical="center"/>
    </xf>
    <xf numFmtId="170" fontId="31" fillId="2" borderId="40" xfId="0" applyNumberFormat="1" applyFont="1" applyFill="1" applyBorder="1" applyAlignment="1">
      <alignment horizontal="center" vertical="center"/>
    </xf>
    <xf numFmtId="0" fontId="31" fillId="2" borderId="25" xfId="0" applyFont="1" applyFill="1" applyBorder="1" applyAlignment="1">
      <alignment horizontal="center" vertical="center"/>
    </xf>
    <xf numFmtId="0" fontId="31" fillId="2" borderId="40" xfId="0" applyFont="1" applyFill="1" applyBorder="1" applyAlignment="1">
      <alignment horizontal="center" vertical="center"/>
    </xf>
    <xf numFmtId="170" fontId="93" fillId="12" borderId="25" xfId="0" applyNumberFormat="1" applyFont="1" applyFill="1" applyBorder="1" applyAlignment="1">
      <alignment horizontal="center" vertical="center"/>
    </xf>
    <xf numFmtId="170" fontId="93" fillId="12" borderId="40" xfId="0" applyNumberFormat="1" applyFont="1" applyFill="1" applyBorder="1" applyAlignment="1">
      <alignment horizontal="center" vertical="center"/>
    </xf>
    <xf numFmtId="170" fontId="31" fillId="12" borderId="39" xfId="0" applyNumberFormat="1" applyFont="1" applyFill="1" applyBorder="1" applyAlignment="1">
      <alignment horizontal="center" vertical="center"/>
    </xf>
    <xf numFmtId="170" fontId="31" fillId="2" borderId="39" xfId="0" applyNumberFormat="1" applyFont="1" applyFill="1" applyBorder="1" applyAlignment="1">
      <alignment horizontal="center" vertical="center"/>
    </xf>
    <xf numFmtId="0" fontId="31" fillId="2" borderId="39" xfId="0" applyFont="1" applyFill="1" applyBorder="1" applyAlignment="1">
      <alignment horizontal="center" vertical="center"/>
    </xf>
    <xf numFmtId="4" fontId="31" fillId="12" borderId="25" xfId="0" applyNumberFormat="1" applyFont="1" applyFill="1" applyBorder="1" applyAlignment="1">
      <alignment horizontal="center" vertical="center"/>
    </xf>
    <xf numFmtId="170" fontId="31" fillId="12" borderId="1" xfId="0" applyNumberFormat="1" applyFont="1" applyFill="1" applyBorder="1" applyAlignment="1">
      <alignment horizontal="center" vertical="center"/>
    </xf>
    <xf numFmtId="170" fontId="31" fillId="12" borderId="2" xfId="0" applyNumberFormat="1" applyFont="1" applyFill="1" applyBorder="1" applyAlignment="1">
      <alignment horizontal="center" vertical="center"/>
    </xf>
    <xf numFmtId="0" fontId="93" fillId="2" borderId="25" xfId="0" applyFont="1" applyFill="1" applyBorder="1" applyAlignment="1">
      <alignment horizontal="center" vertical="center"/>
    </xf>
    <xf numFmtId="0" fontId="93" fillId="2" borderId="40" xfId="0" applyFont="1" applyFill="1" applyBorder="1" applyAlignment="1">
      <alignment horizontal="center" vertical="center"/>
    </xf>
    <xf numFmtId="164" fontId="112" fillId="2" borderId="15" xfId="0" applyNumberFormat="1" applyFont="1" applyFill="1" applyBorder="1" applyAlignment="1" applyProtection="1">
      <alignment horizontal="center" vertical="center" wrapText="1"/>
    </xf>
    <xf numFmtId="164" fontId="61" fillId="12" borderId="15" xfId="0" applyNumberFormat="1" applyFont="1" applyFill="1" applyBorder="1" applyAlignment="1" applyProtection="1">
      <alignment horizontal="center" vertical="center" wrapText="1"/>
    </xf>
    <xf numFmtId="164" fontId="61" fillId="12" borderId="16" xfId="0" applyNumberFormat="1" applyFont="1" applyFill="1" applyBorder="1" applyAlignment="1" applyProtection="1">
      <alignment horizontal="center" vertical="center" wrapText="1"/>
    </xf>
    <xf numFmtId="164" fontId="25" fillId="12" borderId="15" xfId="0" applyNumberFormat="1" applyFont="1" applyFill="1" applyBorder="1" applyAlignment="1" applyProtection="1">
      <alignment horizontal="center" vertical="center" wrapText="1"/>
    </xf>
    <xf numFmtId="164" fontId="25" fillId="12" borderId="16" xfId="0" applyNumberFormat="1" applyFont="1" applyFill="1" applyBorder="1" applyAlignment="1" applyProtection="1">
      <alignment horizontal="center" vertical="center" wrapText="1"/>
    </xf>
    <xf numFmtId="164" fontId="73" fillId="12" borderId="15" xfId="0" applyNumberFormat="1" applyFont="1" applyFill="1" applyBorder="1" applyAlignment="1" applyProtection="1">
      <alignment horizontal="center" vertical="center" wrapText="1"/>
    </xf>
    <xf numFmtId="164" fontId="73" fillId="12" borderId="16" xfId="0" applyNumberFormat="1" applyFont="1" applyFill="1" applyBorder="1" applyAlignment="1" applyProtection="1">
      <alignment horizontal="center" vertical="center" wrapText="1"/>
    </xf>
    <xf numFmtId="0" fontId="81" fillId="11" borderId="15" xfId="0" applyFont="1" applyFill="1" applyBorder="1" applyAlignment="1">
      <alignment horizontal="center" vertical="center"/>
    </xf>
    <xf numFmtId="0" fontId="81" fillId="11" borderId="25" xfId="0" applyFont="1" applyFill="1" applyBorder="1" applyAlignment="1">
      <alignment horizontal="center" vertical="center"/>
    </xf>
    <xf numFmtId="3" fontId="23" fillId="12" borderId="15" xfId="0" applyNumberFormat="1" applyFont="1" applyFill="1" applyBorder="1" applyAlignment="1">
      <alignment horizontal="center" vertical="center"/>
    </xf>
    <xf numFmtId="3" fontId="23" fillId="12" borderId="25" xfId="0" applyNumberFormat="1" applyFont="1" applyFill="1" applyBorder="1" applyAlignment="1">
      <alignment horizontal="center" vertical="center"/>
    </xf>
    <xf numFmtId="3" fontId="23" fillId="12" borderId="29" xfId="0" applyNumberFormat="1" applyFont="1" applyFill="1" applyBorder="1" applyAlignment="1">
      <alignment horizontal="center" vertical="center"/>
    </xf>
    <xf numFmtId="173" fontId="61" fillId="0" borderId="15" xfId="8" applyNumberFormat="1" applyFont="1" applyFill="1" applyBorder="1" applyAlignment="1" applyProtection="1">
      <alignment horizontal="center" vertical="center" wrapText="1"/>
      <protection locked="0"/>
    </xf>
    <xf numFmtId="173" fontId="61" fillId="0" borderId="25" xfId="8" applyNumberFormat="1" applyFont="1" applyFill="1" applyBorder="1" applyAlignment="1" applyProtection="1">
      <alignment horizontal="center" vertical="center" wrapText="1"/>
      <protection locked="0"/>
    </xf>
    <xf numFmtId="164" fontId="61" fillId="12" borderId="15" xfId="0" applyNumberFormat="1" applyFont="1" applyFill="1" applyBorder="1" applyAlignment="1">
      <alignment horizontal="center" vertical="center" wrapText="1"/>
    </xf>
    <xf numFmtId="164" fontId="61" fillId="12" borderId="25" xfId="0" applyNumberFormat="1" applyFont="1" applyFill="1" applyBorder="1" applyAlignment="1">
      <alignment horizontal="center" vertical="center" wrapText="1"/>
    </xf>
    <xf numFmtId="9" fontId="25" fillId="12" borderId="3" xfId="1" applyFont="1" applyFill="1" applyBorder="1"/>
    <xf numFmtId="164" fontId="31" fillId="12" borderId="15" xfId="0" applyNumberFormat="1" applyFont="1" applyFill="1" applyBorder="1" applyAlignment="1">
      <alignment horizontal="center" vertical="center" wrapText="1"/>
    </xf>
    <xf numFmtId="164" fontId="31" fillId="2" borderId="15" xfId="0" applyNumberFormat="1" applyFont="1" applyFill="1" applyBorder="1" applyAlignment="1" applyProtection="1">
      <alignment horizontal="center" vertical="center" wrapText="1"/>
      <protection locked="0"/>
    </xf>
    <xf numFmtId="164" fontId="31" fillId="2" borderId="25" xfId="0" applyNumberFormat="1" applyFont="1" applyFill="1" applyBorder="1" applyAlignment="1" applyProtection="1">
      <alignment horizontal="center" vertical="center" wrapText="1"/>
      <protection locked="0"/>
    </xf>
    <xf numFmtId="164" fontId="31" fillId="2" borderId="15" xfId="0" applyNumberFormat="1" applyFont="1" applyFill="1" applyBorder="1" applyAlignment="1" applyProtection="1">
      <alignment horizontal="center" vertical="center" wrapText="1"/>
    </xf>
    <xf numFmtId="164" fontId="31" fillId="2" borderId="25" xfId="0" applyNumberFormat="1" applyFont="1" applyFill="1" applyBorder="1" applyAlignment="1" applyProtection="1">
      <alignment horizontal="center" vertical="center" wrapText="1"/>
    </xf>
    <xf numFmtId="3" fontId="43" fillId="2" borderId="15" xfId="0" applyNumberFormat="1" applyFont="1" applyFill="1" applyBorder="1" applyAlignment="1">
      <alignment horizontal="center" vertical="center" wrapText="1"/>
    </xf>
    <xf numFmtId="4" fontId="42" fillId="12" borderId="15" xfId="0" applyNumberFormat="1" applyFont="1" applyFill="1" applyBorder="1" applyAlignment="1">
      <alignment horizontal="center" vertical="center" wrapText="1"/>
    </xf>
    <xf numFmtId="3" fontId="25" fillId="2" borderId="15" xfId="0" applyNumberFormat="1" applyFont="1" applyFill="1" applyBorder="1" applyAlignment="1">
      <alignment horizontal="center" vertical="center" wrapText="1"/>
    </xf>
    <xf numFmtId="3" fontId="25" fillId="0" borderId="15" xfId="0" applyNumberFormat="1" applyFont="1" applyFill="1" applyBorder="1" applyAlignment="1">
      <alignment horizontal="center" vertical="center" wrapText="1"/>
    </xf>
    <xf numFmtId="3" fontId="25" fillId="2" borderId="15" xfId="0" applyNumberFormat="1" applyFont="1" applyFill="1" applyBorder="1" applyAlignment="1" applyProtection="1">
      <alignment horizontal="center" vertical="center" wrapText="1"/>
      <protection locked="0"/>
    </xf>
    <xf numFmtId="4" fontId="42" fillId="12" borderId="25" xfId="0" applyNumberFormat="1" applyFont="1" applyFill="1" applyBorder="1" applyAlignment="1">
      <alignment horizontal="center" vertical="center" wrapText="1"/>
    </xf>
    <xf numFmtId="3" fontId="43" fillId="2" borderId="25" xfId="0" applyNumberFormat="1" applyFont="1" applyFill="1" applyBorder="1" applyAlignment="1">
      <alignment horizontal="center" vertical="center" wrapText="1"/>
    </xf>
    <xf numFmtId="3" fontId="25" fillId="2" borderId="25" xfId="0" applyNumberFormat="1" applyFont="1" applyFill="1" applyBorder="1" applyAlignment="1">
      <alignment horizontal="center" vertical="center" wrapText="1"/>
    </xf>
    <xf numFmtId="3" fontId="25" fillId="0" borderId="25" xfId="0" applyNumberFormat="1" applyFont="1" applyFill="1" applyBorder="1" applyAlignment="1">
      <alignment horizontal="center" vertical="center" wrapText="1"/>
    </xf>
    <xf numFmtId="3" fontId="25" fillId="2" borderId="25" xfId="0" applyNumberFormat="1" applyFont="1" applyFill="1" applyBorder="1" applyAlignment="1" applyProtection="1">
      <alignment horizontal="center" vertical="center" wrapText="1"/>
      <protection locked="0"/>
    </xf>
    <xf numFmtId="9" fontId="63" fillId="12" borderId="6" xfId="1" applyFont="1" applyFill="1" applyBorder="1" applyAlignment="1">
      <alignment horizontal="center" vertical="center"/>
    </xf>
    <xf numFmtId="164" fontId="61" fillId="12" borderId="25" xfId="0" applyNumberFormat="1" applyFont="1" applyFill="1" applyBorder="1" applyAlignment="1" applyProtection="1">
      <alignment horizontal="center" vertical="center" wrapText="1"/>
    </xf>
    <xf numFmtId="164" fontId="61" fillId="11" borderId="15" xfId="0" applyNumberFormat="1" applyFont="1" applyFill="1" applyBorder="1" applyAlignment="1" applyProtection="1">
      <alignment horizontal="center" vertical="center" wrapText="1"/>
    </xf>
    <xf numFmtId="4" fontId="42" fillId="12" borderId="22" xfId="0" applyNumberFormat="1" applyFont="1" applyFill="1" applyBorder="1" applyAlignment="1">
      <alignment horizontal="center" vertical="center" wrapText="1"/>
    </xf>
    <xf numFmtId="4" fontId="42" fillId="12" borderId="45" xfId="0" applyNumberFormat="1" applyFont="1" applyFill="1" applyBorder="1" applyAlignment="1">
      <alignment horizontal="center" vertical="center" wrapText="1"/>
    </xf>
    <xf numFmtId="14" fontId="19" fillId="11" borderId="24" xfId="0" applyNumberFormat="1" applyFont="1" applyFill="1" applyBorder="1" applyAlignment="1" applyProtection="1">
      <alignment vertical="center"/>
      <protection locked="0"/>
    </xf>
    <xf numFmtId="0" fontId="28" fillId="11" borderId="24" xfId="0" applyFont="1" applyFill="1" applyBorder="1" applyAlignment="1" applyProtection="1">
      <alignment horizontal="center"/>
      <protection locked="0"/>
    </xf>
    <xf numFmtId="169" fontId="25" fillId="11" borderId="24" xfId="1" applyNumberFormat="1" applyFont="1" applyFill="1" applyBorder="1" applyAlignment="1" applyProtection="1">
      <alignment horizontal="center" vertical="center"/>
      <protection locked="0"/>
    </xf>
    <xf numFmtId="169" fontId="31" fillId="11" borderId="24" xfId="1" applyNumberFormat="1" applyFont="1" applyFill="1" applyBorder="1" applyAlignment="1" applyProtection="1">
      <alignment horizontal="center" vertical="center"/>
      <protection locked="0"/>
    </xf>
    <xf numFmtId="0" fontId="32" fillId="12" borderId="24" xfId="0" applyFont="1" applyFill="1" applyBorder="1" applyAlignment="1">
      <alignment horizontal="center" vertical="center"/>
    </xf>
    <xf numFmtId="167" fontId="32" fillId="5" borderId="15" xfId="0" applyNumberFormat="1" applyFont="1" applyFill="1" applyBorder="1" applyAlignment="1" applyProtection="1">
      <alignment horizontal="center" vertical="center" wrapText="1"/>
      <protection locked="0"/>
    </xf>
    <xf numFmtId="167" fontId="32" fillId="5" borderId="25" xfId="0" applyNumberFormat="1" applyFont="1" applyFill="1" applyBorder="1" applyAlignment="1" applyProtection="1">
      <alignment horizontal="center" vertical="center" wrapText="1"/>
      <protection locked="0"/>
    </xf>
    <xf numFmtId="0" fontId="61" fillId="5" borderId="29" xfId="0" applyFont="1" applyFill="1" applyBorder="1" applyAlignment="1">
      <alignment horizontal="left" vertical="center" wrapText="1"/>
    </xf>
    <xf numFmtId="9" fontId="20" fillId="12" borderId="6" xfId="1" applyFont="1" applyFill="1" applyBorder="1" applyAlignment="1">
      <alignment horizontal="center" vertical="center"/>
    </xf>
    <xf numFmtId="167" fontId="32" fillId="12" borderId="15" xfId="0" applyNumberFormat="1" applyFont="1" applyFill="1" applyBorder="1" applyAlignment="1">
      <alignment horizontal="center" vertical="center" wrapText="1"/>
    </xf>
    <xf numFmtId="167" fontId="32" fillId="12" borderId="25" xfId="0" applyNumberFormat="1" applyFont="1" applyFill="1" applyBorder="1" applyAlignment="1">
      <alignment horizontal="center" vertical="center" wrapText="1"/>
    </xf>
    <xf numFmtId="0" fontId="23" fillId="15" borderId="15" xfId="0" applyFont="1" applyFill="1" applyBorder="1" applyAlignment="1" applyProtection="1">
      <alignment horizontal="center" vertical="center"/>
      <protection locked="0"/>
    </xf>
    <xf numFmtId="0" fontId="25" fillId="15" borderId="15" xfId="0" applyFont="1" applyFill="1" applyBorder="1" applyAlignment="1" applyProtection="1">
      <alignment horizontal="center" vertical="center"/>
      <protection locked="0"/>
    </xf>
    <xf numFmtId="17" fontId="23" fillId="16" borderId="15" xfId="0" applyNumberFormat="1" applyFont="1" applyFill="1" applyBorder="1" applyAlignment="1" applyProtection="1">
      <alignment horizontal="center" vertical="center"/>
      <protection locked="0"/>
    </xf>
    <xf numFmtId="17" fontId="23" fillId="16" borderId="25" xfId="0" applyNumberFormat="1" applyFont="1" applyFill="1" applyBorder="1" applyAlignment="1" applyProtection="1">
      <alignment horizontal="center" vertical="center"/>
      <protection locked="0"/>
    </xf>
    <xf numFmtId="0" fontId="25" fillId="16" borderId="15" xfId="0" applyFont="1" applyFill="1" applyBorder="1" applyAlignment="1" applyProtection="1">
      <alignment horizontal="center" vertical="center"/>
      <protection locked="0"/>
    </xf>
    <xf numFmtId="0" fontId="25" fillId="16" borderId="25" xfId="0" applyFont="1" applyFill="1" applyBorder="1" applyAlignment="1" applyProtection="1">
      <alignment horizontal="center" vertical="center"/>
      <protection locked="0"/>
    </xf>
    <xf numFmtId="0" fontId="103" fillId="16" borderId="15" xfId="0" applyFont="1" applyFill="1" applyBorder="1" applyAlignment="1" applyProtection="1">
      <alignment horizontal="center" vertical="center"/>
      <protection locked="0"/>
    </xf>
    <xf numFmtId="0" fontId="103" fillId="16" borderId="25" xfId="0" applyFont="1" applyFill="1" applyBorder="1" applyAlignment="1" applyProtection="1">
      <alignment horizontal="center" vertical="center"/>
      <protection locked="0"/>
    </xf>
    <xf numFmtId="0" fontId="17" fillId="15" borderId="15" xfId="0" applyFont="1" applyFill="1" applyBorder="1" applyAlignment="1">
      <alignment horizontal="center" vertical="center"/>
    </xf>
    <xf numFmtId="0" fontId="103" fillId="15" borderId="15" xfId="0" applyFont="1" applyFill="1" applyBorder="1" applyAlignment="1" applyProtection="1">
      <alignment horizontal="center" vertical="center"/>
      <protection locked="0"/>
    </xf>
    <xf numFmtId="0" fontId="23" fillId="5" borderId="16" xfId="0" applyFont="1" applyFill="1" applyBorder="1" applyAlignment="1" applyProtection="1">
      <alignment vertical="center"/>
      <protection locked="0"/>
    </xf>
    <xf numFmtId="0" fontId="23" fillId="5" borderId="13" xfId="0" applyFont="1" applyFill="1" applyBorder="1" applyAlignment="1" applyProtection="1">
      <alignment vertical="center"/>
      <protection locked="0"/>
    </xf>
    <xf numFmtId="0" fontId="23" fillId="5" borderId="14" xfId="0" applyFont="1" applyFill="1" applyBorder="1" applyAlignment="1" applyProtection="1">
      <alignment vertical="center"/>
      <protection locked="0"/>
    </xf>
    <xf numFmtId="0" fontId="23" fillId="15" borderId="15" xfId="0" applyFont="1" applyFill="1" applyBorder="1" applyAlignment="1">
      <alignment horizontal="center" vertical="center"/>
    </xf>
    <xf numFmtId="0" fontId="25" fillId="15" borderId="15" xfId="0" applyFont="1" applyFill="1" applyBorder="1" applyAlignment="1" applyProtection="1">
      <alignment horizontal="center" vertical="center" wrapText="1"/>
      <protection locked="0"/>
    </xf>
    <xf numFmtId="0" fontId="25" fillId="15" borderId="25" xfId="0" applyFont="1" applyFill="1" applyBorder="1" applyAlignment="1" applyProtection="1">
      <alignment horizontal="center" vertical="center" wrapText="1"/>
      <protection locked="0"/>
    </xf>
    <xf numFmtId="17" fontId="25" fillId="15" borderId="15" xfId="0" applyNumberFormat="1" applyFont="1" applyFill="1" applyBorder="1" applyAlignment="1" applyProtection="1">
      <alignment horizontal="center" vertical="center" wrapText="1"/>
      <protection locked="0"/>
    </xf>
    <xf numFmtId="0" fontId="23" fillId="0" borderId="0" xfId="0" applyFont="1" applyAlignment="1">
      <alignment horizontal="left" vertical="center"/>
    </xf>
    <xf numFmtId="0" fontId="93" fillId="0" borderId="0" xfId="0" applyFont="1" applyAlignment="1">
      <alignment horizontal="left" vertical="center"/>
    </xf>
    <xf numFmtId="0" fontId="114" fillId="11" borderId="3" xfId="0" applyFont="1" applyFill="1" applyBorder="1" applyAlignment="1">
      <alignment vertical="center"/>
    </xf>
    <xf numFmtId="0" fontId="31" fillId="17" borderId="3" xfId="0" applyFont="1" applyFill="1" applyBorder="1" applyAlignment="1">
      <alignment vertical="center"/>
    </xf>
    <xf numFmtId="0" fontId="31" fillId="12" borderId="3" xfId="0" applyFont="1" applyFill="1" applyBorder="1" applyAlignment="1">
      <alignment vertical="center"/>
    </xf>
    <xf numFmtId="0" fontId="31" fillId="0" borderId="3" xfId="0" applyFont="1" applyBorder="1" applyAlignment="1">
      <alignment vertical="center"/>
    </xf>
    <xf numFmtId="0" fontId="0" fillId="5" borderId="3" xfId="0" applyFill="1" applyBorder="1"/>
    <xf numFmtId="0" fontId="31" fillId="0" borderId="0" xfId="0" applyFont="1" applyAlignment="1">
      <alignment vertical="center"/>
    </xf>
    <xf numFmtId="0" fontId="31" fillId="0" borderId="0" xfId="0" applyFont="1" applyAlignment="1">
      <alignment horizontal="left" vertical="center"/>
    </xf>
    <xf numFmtId="0" fontId="3" fillId="2" borderId="0" xfId="0" applyFont="1" applyFill="1"/>
    <xf numFmtId="0" fontId="25" fillId="19" borderId="15" xfId="0" applyFont="1" applyFill="1" applyBorder="1" applyAlignment="1" applyProtection="1">
      <alignment horizontal="center" vertical="center"/>
      <protection locked="0"/>
    </xf>
    <xf numFmtId="0" fontId="25" fillId="19" borderId="52" xfId="0" applyFont="1" applyFill="1" applyBorder="1" applyAlignment="1">
      <alignment horizontal="center" vertical="center" wrapText="1"/>
    </xf>
    <xf numFmtId="0" fontId="25" fillId="19" borderId="23" xfId="0" applyFont="1" applyFill="1" applyBorder="1" applyAlignment="1">
      <alignment horizontal="center" vertical="center" wrapText="1"/>
    </xf>
    <xf numFmtId="0" fontId="25" fillId="19" borderId="53" xfId="0" applyFont="1" applyFill="1" applyBorder="1" applyAlignment="1">
      <alignment horizontal="center" vertical="center" wrapText="1"/>
    </xf>
    <xf numFmtId="0" fontId="25" fillId="19" borderId="54" xfId="0" applyFont="1" applyFill="1" applyBorder="1" applyAlignment="1">
      <alignment horizontal="center" vertical="center" wrapText="1"/>
    </xf>
    <xf numFmtId="0" fontId="25" fillId="19" borderId="0" xfId="0" applyFont="1" applyFill="1" applyBorder="1" applyAlignment="1">
      <alignment horizontal="center" vertical="center" wrapText="1"/>
    </xf>
    <xf numFmtId="0" fontId="25" fillId="19" borderId="55" xfId="0" applyFont="1" applyFill="1" applyBorder="1" applyAlignment="1">
      <alignment horizontal="center" vertical="center" wrapText="1"/>
    </xf>
    <xf numFmtId="0" fontId="25" fillId="19" borderId="56" xfId="0" applyFont="1" applyFill="1" applyBorder="1" applyAlignment="1">
      <alignment horizontal="center" vertical="center" wrapText="1"/>
    </xf>
    <xf numFmtId="0" fontId="25" fillId="19" borderId="24" xfId="0" applyFont="1" applyFill="1" applyBorder="1" applyAlignment="1">
      <alignment horizontal="center" vertical="center" wrapText="1"/>
    </xf>
    <xf numFmtId="0" fontId="25" fillId="19" borderId="57" xfId="0" applyFont="1" applyFill="1" applyBorder="1" applyAlignment="1">
      <alignment horizontal="center" vertical="center" wrapText="1"/>
    </xf>
    <xf numFmtId="0" fontId="25" fillId="19" borderId="32" xfId="0" applyFont="1" applyFill="1" applyBorder="1" applyAlignment="1">
      <alignment horizontal="center" vertical="center" wrapText="1"/>
    </xf>
    <xf numFmtId="0" fontId="25" fillId="19" borderId="27" xfId="0" applyFont="1" applyFill="1" applyBorder="1" applyAlignment="1">
      <alignment horizontal="center" vertical="center" wrapText="1"/>
    </xf>
    <xf numFmtId="0" fontId="25" fillId="19" borderId="26" xfId="0" applyFont="1" applyFill="1" applyBorder="1" applyAlignment="1">
      <alignment horizontal="center" vertical="center" wrapText="1"/>
    </xf>
    <xf numFmtId="0" fontId="115" fillId="2" borderId="0" xfId="0" applyFont="1" applyFill="1" applyBorder="1"/>
    <xf numFmtId="0" fontId="117" fillId="2" borderId="0" xfId="0" applyFont="1" applyFill="1" applyBorder="1"/>
    <xf numFmtId="0" fontId="116" fillId="2" borderId="0" xfId="0" applyFont="1" applyFill="1" applyBorder="1"/>
    <xf numFmtId="0" fontId="3" fillId="2" borderId="0" xfId="0" applyFont="1" applyFill="1" applyBorder="1"/>
    <xf numFmtId="0" fontId="37" fillId="2" borderId="0" xfId="0" applyFont="1" applyFill="1" applyAlignment="1">
      <alignment horizontal="center" vertical="center"/>
    </xf>
    <xf numFmtId="0" fontId="132" fillId="5" borderId="0" xfId="0" applyFont="1" applyFill="1" applyBorder="1" applyAlignment="1">
      <alignment vertical="center"/>
    </xf>
    <xf numFmtId="0" fontId="25" fillId="5" borderId="0" xfId="0" applyFont="1" applyFill="1" applyBorder="1" applyAlignment="1">
      <alignment vertical="center"/>
    </xf>
    <xf numFmtId="0" fontId="19" fillId="5" borderId="0" xfId="0" applyFont="1" applyFill="1" applyBorder="1" applyAlignment="1">
      <alignment vertical="center" wrapText="1"/>
    </xf>
    <xf numFmtId="0" fontId="25" fillId="5" borderId="0" xfId="0" applyFont="1" applyFill="1" applyBorder="1"/>
    <xf numFmtId="0" fontId="132" fillId="5" borderId="0" xfId="0" applyFont="1" applyFill="1" applyBorder="1" applyAlignment="1">
      <alignment horizontal="left" vertical="center" wrapText="1"/>
    </xf>
    <xf numFmtId="0" fontId="133" fillId="2" borderId="0" xfId="0" applyFont="1" applyFill="1" applyBorder="1" applyAlignment="1">
      <alignment horizontal="left" vertical="center" wrapText="1"/>
    </xf>
    <xf numFmtId="0" fontId="25" fillId="2" borderId="0" xfId="0" applyFont="1" applyFill="1" applyBorder="1" applyAlignment="1" applyProtection="1">
      <alignment horizontal="center" vertical="center"/>
    </xf>
    <xf numFmtId="0" fontId="106" fillId="2" borderId="0" xfId="0" applyFont="1" applyFill="1" applyBorder="1" applyAlignment="1">
      <alignment horizontal="left" vertical="center" wrapText="1"/>
    </xf>
    <xf numFmtId="0" fontId="118" fillId="6" borderId="0" xfId="0" applyFont="1" applyFill="1" applyBorder="1" applyAlignment="1">
      <alignment horizontal="left" vertical="center" wrapText="1"/>
    </xf>
    <xf numFmtId="0" fontId="118" fillId="6" borderId="0" xfId="0" applyFont="1" applyFill="1" applyBorder="1" applyAlignment="1">
      <alignment horizontal="left" vertical="center"/>
    </xf>
    <xf numFmtId="0" fontId="22" fillId="6" borderId="0" xfId="0" applyFont="1" applyFill="1" applyBorder="1" applyAlignment="1">
      <alignment horizontal="left" vertical="center"/>
    </xf>
    <xf numFmtId="0" fontId="4" fillId="2" borderId="0" xfId="0" applyFont="1" applyFill="1" applyBorder="1" applyAlignment="1">
      <alignment horizontal="center"/>
    </xf>
    <xf numFmtId="0" fontId="38" fillId="2" borderId="0" xfId="0" applyFont="1" applyFill="1" applyBorder="1" applyAlignment="1">
      <alignment horizontal="left" vertical="center"/>
    </xf>
    <xf numFmtId="0" fontId="23" fillId="5" borderId="0" xfId="0" applyFont="1" applyFill="1" applyBorder="1" applyAlignment="1">
      <alignment horizontal="center" vertical="center"/>
    </xf>
    <xf numFmtId="0" fontId="38" fillId="2" borderId="0" xfId="0" applyFont="1" applyFill="1" applyBorder="1" applyAlignment="1">
      <alignment horizontal="left" vertical="top"/>
    </xf>
    <xf numFmtId="0" fontId="19" fillId="11" borderId="24" xfId="0" applyFont="1" applyFill="1" applyBorder="1" applyAlignment="1" applyProtection="1">
      <alignment horizontal="center" vertical="center"/>
      <protection locked="0"/>
    </xf>
    <xf numFmtId="0" fontId="31" fillId="3" borderId="0" xfId="0" applyFont="1" applyFill="1" applyBorder="1" applyAlignment="1">
      <alignment horizontal="left"/>
    </xf>
    <xf numFmtId="14" fontId="111" fillId="2" borderId="24" xfId="0" applyNumberFormat="1" applyFont="1" applyFill="1" applyBorder="1" applyAlignment="1" applyProtection="1">
      <alignment horizontal="center"/>
      <protection locked="0"/>
    </xf>
    <xf numFmtId="0" fontId="25" fillId="11" borderId="0" xfId="0" applyFont="1" applyFill="1" applyBorder="1" applyAlignment="1" applyProtection="1">
      <alignment horizontal="left"/>
      <protection locked="0"/>
    </xf>
    <xf numFmtId="0" fontId="32" fillId="18" borderId="52" xfId="0" applyFont="1" applyFill="1" applyBorder="1" applyAlignment="1">
      <alignment horizontal="center" vertical="center" wrapText="1"/>
    </xf>
    <xf numFmtId="0" fontId="32" fillId="11" borderId="23" xfId="0" applyFont="1" applyFill="1" applyBorder="1" applyAlignment="1">
      <alignment vertical="center"/>
    </xf>
    <xf numFmtId="0" fontId="32" fillId="11" borderId="53" xfId="0" applyFont="1" applyFill="1" applyBorder="1" applyAlignment="1">
      <alignment vertical="center"/>
    </xf>
    <xf numFmtId="0" fontId="32" fillId="11" borderId="56" xfId="0" applyFont="1" applyFill="1" applyBorder="1" applyAlignment="1">
      <alignment vertical="center"/>
    </xf>
    <xf numFmtId="0" fontId="32" fillId="11" borderId="24" xfId="0" applyFont="1" applyFill="1" applyBorder="1" applyAlignment="1">
      <alignment vertical="center"/>
    </xf>
    <xf numFmtId="0" fontId="32" fillId="11" borderId="57" xfId="0" applyFont="1" applyFill="1" applyBorder="1" applyAlignment="1">
      <alignment vertical="center"/>
    </xf>
    <xf numFmtId="0" fontId="31" fillId="11" borderId="0" xfId="0" applyFont="1" applyFill="1" applyBorder="1" applyAlignment="1">
      <alignment horizontal="center"/>
    </xf>
    <xf numFmtId="0" fontId="25" fillId="11" borderId="24" xfId="0" applyFont="1" applyFill="1" applyBorder="1" applyAlignment="1" applyProtection="1">
      <alignment horizontal="left"/>
      <protection locked="0"/>
    </xf>
    <xf numFmtId="0" fontId="31" fillId="3" borderId="0" xfId="0" applyFont="1" applyFill="1" applyBorder="1" applyAlignment="1">
      <alignment horizontal="left" vertical="center"/>
    </xf>
    <xf numFmtId="169" fontId="31" fillId="11" borderId="24" xfId="1" applyNumberFormat="1" applyFont="1" applyFill="1" applyBorder="1" applyAlignment="1" applyProtection="1">
      <alignment horizontal="center" vertical="center"/>
      <protection locked="0"/>
    </xf>
    <xf numFmtId="169" fontId="25" fillId="11" borderId="24" xfId="1" applyNumberFormat="1" applyFont="1" applyFill="1" applyBorder="1" applyAlignment="1" applyProtection="1">
      <alignment horizontal="center" vertical="center"/>
      <protection locked="0"/>
    </xf>
    <xf numFmtId="0" fontId="26" fillId="3" borderId="0" xfId="9" applyFont="1" applyFill="1" applyBorder="1" applyAlignment="1">
      <alignment horizontal="left"/>
    </xf>
    <xf numFmtId="0" fontId="27" fillId="3" borderId="0" xfId="9" applyFont="1" applyFill="1" applyBorder="1" applyAlignment="1">
      <alignment horizontal="left"/>
    </xf>
    <xf numFmtId="0" fontId="37" fillId="6" borderId="28" xfId="0" applyFont="1" applyFill="1" applyBorder="1" applyAlignment="1">
      <alignment horizontal="center" vertical="center" wrapText="1"/>
    </xf>
    <xf numFmtId="0" fontId="37" fillId="6" borderId="0" xfId="0" applyFont="1" applyFill="1" applyBorder="1" applyAlignment="1">
      <alignment horizontal="center" vertical="center" wrapText="1"/>
    </xf>
    <xf numFmtId="0" fontId="37" fillId="6" borderId="27" xfId="0" applyFont="1" applyFill="1" applyBorder="1" applyAlignment="1">
      <alignment horizontal="center" vertical="center" wrapText="1"/>
    </xf>
    <xf numFmtId="0" fontId="23" fillId="5" borderId="29" xfId="0" applyFont="1" applyFill="1" applyBorder="1" applyAlignment="1">
      <alignment horizontal="left" vertical="center" wrapText="1"/>
    </xf>
    <xf numFmtId="0" fontId="23" fillId="5" borderId="15" xfId="0" applyFont="1" applyFill="1" applyBorder="1" applyAlignment="1">
      <alignment horizontal="center" vertical="center" wrapText="1"/>
    </xf>
    <xf numFmtId="0" fontId="23" fillId="5" borderId="25" xfId="0" applyFont="1" applyFill="1" applyBorder="1" applyAlignment="1">
      <alignment horizontal="center" vertical="center" wrapText="1"/>
    </xf>
    <xf numFmtId="0" fontId="0" fillId="0" borderId="0" xfId="0" applyFont="1" applyFill="1" applyAlignment="1">
      <alignment horizontal="left" wrapText="1"/>
    </xf>
    <xf numFmtId="0" fontId="0" fillId="0" borderId="0" xfId="0" applyFont="1" applyFill="1" applyBorder="1" applyAlignment="1">
      <alignment horizontal="left" wrapText="1"/>
    </xf>
    <xf numFmtId="0" fontId="45" fillId="6" borderId="35" xfId="0" applyFont="1" applyFill="1" applyBorder="1" applyAlignment="1">
      <alignment horizontal="left" vertical="top" wrapText="1"/>
    </xf>
    <xf numFmtId="0" fontId="48" fillId="6" borderId="24" xfId="0" applyFont="1" applyFill="1" applyBorder="1" applyAlignment="1">
      <alignment horizontal="left" vertical="top" wrapText="1"/>
    </xf>
    <xf numFmtId="0" fontId="48" fillId="6" borderId="26" xfId="0" applyFont="1" applyFill="1" applyBorder="1" applyAlignment="1">
      <alignment horizontal="left" vertical="top" wrapText="1"/>
    </xf>
    <xf numFmtId="0" fontId="25" fillId="6" borderId="28" xfId="0" applyFont="1" applyFill="1" applyBorder="1" applyAlignment="1">
      <alignment horizontal="left" vertical="center" wrapText="1"/>
    </xf>
    <xf numFmtId="0" fontId="28" fillId="6" borderId="0" xfId="0" applyFont="1" applyFill="1" applyBorder="1" applyAlignment="1">
      <alignment horizontal="left" vertical="center" wrapText="1"/>
    </xf>
    <xf numFmtId="0" fontId="28" fillId="6" borderId="27" xfId="0" applyFont="1" applyFill="1" applyBorder="1" applyAlignment="1">
      <alignment horizontal="left" vertical="center" wrapText="1"/>
    </xf>
    <xf numFmtId="0" fontId="60" fillId="2" borderId="17" xfId="0" applyFont="1" applyFill="1" applyBorder="1" applyAlignment="1">
      <alignment horizontal="left" vertical="center"/>
    </xf>
    <xf numFmtId="0" fontId="60" fillId="2" borderId="0" xfId="0" applyFont="1" applyFill="1" applyBorder="1" applyAlignment="1">
      <alignment horizontal="left" vertical="center"/>
    </xf>
    <xf numFmtId="0" fontId="60" fillId="2" borderId="19" xfId="0" applyFont="1" applyFill="1" applyBorder="1" applyAlignment="1">
      <alignment horizontal="left" vertical="center"/>
    </xf>
    <xf numFmtId="0" fontId="57" fillId="5" borderId="29" xfId="0" applyFont="1" applyFill="1" applyBorder="1" applyAlignment="1">
      <alignment horizontal="center" vertical="center"/>
    </xf>
    <xf numFmtId="0" fontId="57" fillId="5" borderId="15" xfId="0" applyFont="1" applyFill="1" applyBorder="1" applyAlignment="1">
      <alignment horizontal="center" vertical="center"/>
    </xf>
    <xf numFmtId="0" fontId="57" fillId="5" borderId="25" xfId="0" applyFont="1" applyFill="1" applyBorder="1" applyAlignment="1">
      <alignment horizontal="center" vertical="center"/>
    </xf>
    <xf numFmtId="0" fontId="60" fillId="2" borderId="17" xfId="0" applyFont="1" applyFill="1" applyBorder="1" applyAlignment="1">
      <alignment horizontal="left" vertical="center" wrapText="1"/>
    </xf>
    <xf numFmtId="0" fontId="60" fillId="2" borderId="0" xfId="0" applyFont="1" applyFill="1" applyBorder="1" applyAlignment="1">
      <alignment horizontal="left" vertical="center" wrapText="1"/>
    </xf>
    <xf numFmtId="0" fontId="60" fillId="2" borderId="19" xfId="0" applyFont="1" applyFill="1" applyBorder="1" applyAlignment="1">
      <alignment horizontal="left" vertical="center" wrapText="1"/>
    </xf>
    <xf numFmtId="0" fontId="33" fillId="6" borderId="25" xfId="0" applyFont="1" applyFill="1" applyBorder="1" applyAlignment="1">
      <alignment horizontal="center" vertical="center" wrapText="1"/>
    </xf>
    <xf numFmtId="166" fontId="67" fillId="5" borderId="15" xfId="0" applyNumberFormat="1" applyFont="1" applyFill="1" applyBorder="1" applyAlignment="1">
      <alignment horizontal="center" vertical="center" wrapText="1"/>
    </xf>
    <xf numFmtId="0" fontId="31" fillId="0" borderId="3" xfId="0" applyFont="1" applyFill="1" applyBorder="1" applyAlignment="1">
      <alignment horizontal="right" vertical="center" wrapText="1"/>
    </xf>
    <xf numFmtId="0" fontId="61" fillId="0" borderId="3" xfId="0" applyFont="1" applyFill="1" applyBorder="1" applyAlignment="1">
      <alignment horizontal="left" vertical="center" wrapText="1"/>
    </xf>
    <xf numFmtId="0" fontId="61" fillId="0" borderId="3" xfId="0" applyFont="1" applyFill="1" applyBorder="1" applyAlignment="1">
      <alignment horizontal="left" vertical="center"/>
    </xf>
    <xf numFmtId="0" fontId="72" fillId="6" borderId="36" xfId="9" applyFont="1" applyFill="1" applyBorder="1" applyAlignment="1">
      <alignment horizontal="center" vertical="center" wrapText="1"/>
    </xf>
    <xf numFmtId="0" fontId="72" fillId="6" borderId="15" xfId="9" applyFont="1" applyFill="1" applyBorder="1" applyAlignment="1">
      <alignment horizontal="center" vertical="center" wrapText="1"/>
    </xf>
    <xf numFmtId="0" fontId="31" fillId="0" borderId="29" xfId="0" applyFont="1" applyBorder="1" applyAlignment="1">
      <alignment vertical="center" wrapText="1"/>
    </xf>
    <xf numFmtId="0" fontId="31" fillId="0" borderId="15" xfId="0" applyFont="1" applyBorder="1" applyAlignment="1">
      <alignment horizontal="left" vertical="center" wrapText="1"/>
    </xf>
    <xf numFmtId="0" fontId="59" fillId="6" borderId="29" xfId="0" applyFont="1" applyFill="1" applyBorder="1" applyAlignment="1">
      <alignment horizontal="center" vertical="center" wrapText="1"/>
    </xf>
    <xf numFmtId="0" fontId="59" fillId="6" borderId="15" xfId="0" applyFont="1" applyFill="1" applyBorder="1" applyAlignment="1">
      <alignment horizontal="center" vertical="center" wrapText="1"/>
    </xf>
    <xf numFmtId="0" fontId="30" fillId="0" borderId="15" xfId="9" applyFont="1" applyBorder="1" applyAlignment="1">
      <alignment horizontal="left" vertical="center"/>
    </xf>
    <xf numFmtId="0" fontId="37" fillId="6" borderId="3" xfId="0" applyFont="1" applyFill="1" applyBorder="1" applyAlignment="1">
      <alignment horizontal="center" vertical="center" wrapText="1"/>
    </xf>
    <xf numFmtId="0" fontId="32" fillId="2" borderId="29" xfId="0" applyFont="1" applyFill="1" applyBorder="1" applyAlignment="1">
      <alignment horizontal="center" vertical="center" wrapText="1"/>
    </xf>
    <xf numFmtId="0" fontId="32" fillId="0" borderId="3" xfId="0" applyFont="1" applyFill="1" applyBorder="1" applyAlignment="1">
      <alignment horizontal="left" vertical="center" wrapText="1"/>
    </xf>
    <xf numFmtId="0" fontId="31" fillId="2" borderId="15" xfId="0" applyFont="1" applyFill="1" applyBorder="1" applyAlignment="1">
      <alignment horizontal="left" vertical="center" wrapText="1"/>
    </xf>
    <xf numFmtId="0" fontId="82" fillId="6" borderId="29" xfId="0" applyFont="1" applyFill="1" applyBorder="1" applyAlignment="1">
      <alignment horizontal="center" vertical="center"/>
    </xf>
    <xf numFmtId="0" fontId="82" fillId="6" borderId="15" xfId="0" applyFont="1" applyFill="1" applyBorder="1" applyAlignment="1">
      <alignment horizontal="center" vertical="center"/>
    </xf>
    <xf numFmtId="0" fontId="82" fillId="6" borderId="25" xfId="0" applyFont="1" applyFill="1" applyBorder="1" applyAlignment="1">
      <alignment horizontal="center" vertical="center"/>
    </xf>
    <xf numFmtId="0" fontId="81" fillId="0" borderId="29" xfId="0" applyFont="1" applyBorder="1" applyAlignment="1">
      <alignment horizontal="left" vertical="center" wrapText="1"/>
    </xf>
    <xf numFmtId="0" fontId="31" fillId="4" borderId="15" xfId="0" applyFont="1" applyFill="1" applyBorder="1" applyAlignment="1">
      <alignment horizontal="left" vertical="center" wrapText="1"/>
    </xf>
    <xf numFmtId="0" fontId="31" fillId="0" borderId="29" xfId="0" applyFont="1" applyBorder="1" applyAlignment="1">
      <alignment horizontal="left" vertical="center" wrapText="1"/>
    </xf>
    <xf numFmtId="0" fontId="50" fillId="5" borderId="15" xfId="0" applyFont="1" applyFill="1" applyBorder="1" applyAlignment="1">
      <alignment horizontal="center" vertical="center" wrapText="1"/>
    </xf>
    <xf numFmtId="0" fontId="50" fillId="5" borderId="25" xfId="0" applyFont="1" applyFill="1" applyBorder="1" applyAlignment="1">
      <alignment horizontal="center" vertical="center" wrapText="1"/>
    </xf>
    <xf numFmtId="0" fontId="50" fillId="5" borderId="29" xfId="0" applyFont="1" applyFill="1" applyBorder="1" applyAlignment="1">
      <alignment horizontal="center" vertical="center" wrapText="1"/>
    </xf>
    <xf numFmtId="0" fontId="83" fillId="2" borderId="0" xfId="0" applyFont="1" applyFill="1" applyBorder="1" applyAlignment="1">
      <alignment horizontal="left" vertical="center" wrapText="1"/>
    </xf>
    <xf numFmtId="0" fontId="62" fillId="2" borderId="0" xfId="0" applyFont="1" applyFill="1" applyAlignment="1">
      <alignment horizontal="left" vertical="center" wrapText="1"/>
    </xf>
    <xf numFmtId="0" fontId="83" fillId="2" borderId="0" xfId="0" applyFont="1" applyFill="1" applyAlignment="1">
      <alignment horizontal="left" vertical="center" wrapText="1"/>
    </xf>
    <xf numFmtId="0" fontId="61" fillId="0" borderId="29" xfId="0" applyFont="1" applyFill="1" applyBorder="1" applyAlignment="1">
      <alignment horizontal="center" vertical="center" textRotation="90"/>
    </xf>
    <xf numFmtId="0" fontId="23" fillId="10" borderId="29" xfId="0" applyFont="1" applyFill="1" applyBorder="1" applyAlignment="1">
      <alignment horizontal="center" vertical="center" wrapText="1"/>
    </xf>
    <xf numFmtId="0" fontId="23" fillId="10" borderId="15" xfId="0" applyFont="1" applyFill="1" applyBorder="1" applyAlignment="1">
      <alignment horizontal="center" vertical="center" wrapText="1"/>
    </xf>
    <xf numFmtId="0" fontId="61" fillId="0" borderId="29" xfId="0" applyFont="1" applyFill="1" applyBorder="1" applyAlignment="1">
      <alignment horizontal="center" vertical="center" textRotation="90" wrapText="1"/>
    </xf>
    <xf numFmtId="0" fontId="85" fillId="6" borderId="41" xfId="0" applyFont="1" applyFill="1" applyBorder="1" applyAlignment="1">
      <alignment horizontal="center" vertical="center" wrapText="1"/>
    </xf>
    <xf numFmtId="0" fontId="85" fillId="6" borderId="33" xfId="0" applyFont="1" applyFill="1" applyBorder="1" applyAlignment="1">
      <alignment horizontal="center" vertical="center" wrapText="1"/>
    </xf>
    <xf numFmtId="0" fontId="23" fillId="5" borderId="42" xfId="0" applyFont="1" applyFill="1" applyBorder="1" applyAlignment="1">
      <alignment horizontal="center" vertical="center" wrapText="1"/>
    </xf>
    <xf numFmtId="0" fontId="23" fillId="5" borderId="44" xfId="0" applyFont="1" applyFill="1" applyBorder="1" applyAlignment="1">
      <alignment horizontal="center" vertical="center" wrapText="1"/>
    </xf>
    <xf numFmtId="0" fontId="23" fillId="5" borderId="29" xfId="0" applyFont="1" applyFill="1" applyBorder="1" applyAlignment="1">
      <alignment horizontal="center" vertical="center" wrapText="1"/>
    </xf>
    <xf numFmtId="0" fontId="23" fillId="5" borderId="29" xfId="0" applyFont="1" applyFill="1" applyBorder="1" applyAlignment="1">
      <alignment horizontal="center" vertical="center"/>
    </xf>
    <xf numFmtId="0" fontId="23" fillId="5" borderId="15" xfId="0" applyFont="1" applyFill="1" applyBorder="1" applyAlignment="1">
      <alignment horizontal="center" vertical="center"/>
    </xf>
    <xf numFmtId="0" fontId="82" fillId="6" borderId="42" xfId="0" applyFont="1" applyFill="1" applyBorder="1" applyAlignment="1">
      <alignment horizontal="center" vertical="center"/>
    </xf>
    <xf numFmtId="0" fontId="82" fillId="6" borderId="43" xfId="0" applyFont="1" applyFill="1" applyBorder="1" applyAlignment="1">
      <alignment horizontal="center" vertical="center"/>
    </xf>
    <xf numFmtId="0" fontId="82" fillId="6" borderId="44" xfId="0" applyFont="1" applyFill="1" applyBorder="1" applyAlignment="1">
      <alignment horizontal="center" vertical="center"/>
    </xf>
    <xf numFmtId="0" fontId="61" fillId="0" borderId="14" xfId="0" applyFont="1" applyFill="1" applyBorder="1" applyAlignment="1">
      <alignment horizontal="center" vertical="center" wrapText="1"/>
    </xf>
    <xf numFmtId="0" fontId="61" fillId="0" borderId="14" xfId="0" applyFont="1" applyBorder="1" applyAlignment="1">
      <alignment horizontal="center" vertical="center" wrapText="1"/>
    </xf>
    <xf numFmtId="0" fontId="37" fillId="6" borderId="36" xfId="0" applyFont="1" applyFill="1" applyBorder="1" applyAlignment="1">
      <alignment horizontal="center" vertical="center" wrapText="1"/>
    </xf>
    <xf numFmtId="0" fontId="37" fillId="6" borderId="15" xfId="0" applyFont="1" applyFill="1" applyBorder="1" applyAlignment="1">
      <alignment horizontal="center" vertical="center" wrapText="1"/>
    </xf>
    <xf numFmtId="0" fontId="37" fillId="6" borderId="25" xfId="0" applyFont="1" applyFill="1" applyBorder="1" applyAlignment="1">
      <alignment horizontal="center" vertical="center" wrapText="1"/>
    </xf>
    <xf numFmtId="0" fontId="30" fillId="0" borderId="29" xfId="9" applyFont="1" applyBorder="1" applyAlignment="1">
      <alignment horizontal="center" vertical="center" wrapText="1"/>
    </xf>
    <xf numFmtId="0" fontId="51" fillId="5" borderId="29" xfId="9" applyFont="1" applyFill="1" applyBorder="1" applyAlignment="1">
      <alignment horizontal="center" vertical="center" wrapText="1"/>
    </xf>
    <xf numFmtId="0" fontId="51" fillId="5" borderId="15" xfId="9" applyFont="1" applyFill="1" applyBorder="1" applyAlignment="1">
      <alignment horizontal="center" vertical="center" wrapText="1"/>
    </xf>
    <xf numFmtId="0" fontId="61" fillId="0" borderId="29" xfId="0" applyFont="1" applyFill="1" applyBorder="1" applyAlignment="1">
      <alignment horizontal="center" vertical="center" wrapText="1"/>
    </xf>
    <xf numFmtId="0" fontId="51" fillId="5" borderId="14" xfId="9" applyFont="1" applyFill="1" applyBorder="1" applyAlignment="1">
      <alignment horizontal="center" vertical="center"/>
    </xf>
    <xf numFmtId="0" fontId="51" fillId="5" borderId="15" xfId="9" applyFont="1" applyFill="1" applyBorder="1" applyAlignment="1">
      <alignment horizontal="center" vertical="center"/>
    </xf>
    <xf numFmtId="0" fontId="51" fillId="5" borderId="25" xfId="9" applyFont="1" applyFill="1" applyBorder="1" applyAlignment="1">
      <alignment horizontal="center" vertical="center"/>
    </xf>
    <xf numFmtId="0" fontId="53" fillId="6" borderId="29" xfId="0" applyFont="1" applyFill="1" applyBorder="1" applyAlignment="1">
      <alignment horizontal="center" vertical="center" wrapText="1"/>
    </xf>
    <xf numFmtId="0" fontId="53" fillId="6" borderId="15" xfId="0" applyFont="1" applyFill="1" applyBorder="1" applyAlignment="1">
      <alignment horizontal="center" vertical="center" wrapText="1"/>
    </xf>
    <xf numFmtId="0" fontId="53" fillId="6" borderId="25" xfId="0" applyFont="1" applyFill="1" applyBorder="1" applyAlignment="1">
      <alignment horizontal="center" vertical="center" wrapText="1"/>
    </xf>
    <xf numFmtId="0" fontId="30" fillId="0" borderId="29" xfId="9" applyFont="1" applyFill="1" applyBorder="1" applyAlignment="1">
      <alignment horizontal="left" vertical="center" wrapText="1"/>
    </xf>
    <xf numFmtId="0" fontId="30" fillId="0" borderId="15" xfId="9" applyFont="1" applyFill="1" applyBorder="1" applyAlignment="1">
      <alignment horizontal="left" vertical="center" wrapText="1"/>
    </xf>
    <xf numFmtId="0" fontId="92" fillId="5" borderId="29" xfId="0" applyFont="1" applyFill="1" applyBorder="1" applyAlignment="1">
      <alignment horizontal="center" vertical="center" wrapText="1"/>
    </xf>
    <xf numFmtId="0" fontId="92" fillId="5" borderId="15" xfId="0" applyFont="1" applyFill="1" applyBorder="1" applyAlignment="1">
      <alignment horizontal="center" vertical="center" wrapText="1"/>
    </xf>
    <xf numFmtId="0" fontId="88" fillId="0" borderId="29" xfId="9" applyFont="1" applyBorder="1" applyAlignment="1">
      <alignment horizontal="center" vertical="center" wrapText="1"/>
    </xf>
    <xf numFmtId="0" fontId="90" fillId="5" borderId="30" xfId="9" applyFont="1" applyFill="1" applyBorder="1" applyAlignment="1">
      <alignment horizontal="center" vertical="center" wrapText="1"/>
    </xf>
    <xf numFmtId="0" fontId="90" fillId="5" borderId="21" xfId="9" applyFont="1" applyFill="1" applyBorder="1" applyAlignment="1">
      <alignment horizontal="center" vertical="center" wrapText="1"/>
    </xf>
    <xf numFmtId="0" fontId="51" fillId="5" borderId="49" xfId="9" applyFont="1" applyFill="1" applyBorder="1" applyAlignment="1">
      <alignment horizontal="center" vertical="center"/>
    </xf>
    <xf numFmtId="0" fontId="51" fillId="5" borderId="46" xfId="9" applyFont="1" applyFill="1" applyBorder="1" applyAlignment="1">
      <alignment horizontal="center" vertical="center"/>
    </xf>
    <xf numFmtId="0" fontId="51" fillId="5" borderId="48" xfId="9" applyFont="1" applyFill="1" applyBorder="1" applyAlignment="1">
      <alignment horizontal="center" vertical="center"/>
    </xf>
    <xf numFmtId="0" fontId="61" fillId="0" borderId="36" xfId="0" applyFont="1" applyBorder="1" applyAlignment="1">
      <alignment horizontal="center" vertical="center" wrapText="1"/>
    </xf>
    <xf numFmtId="0" fontId="61" fillId="0" borderId="29" xfId="0" applyFont="1" applyBorder="1" applyAlignment="1">
      <alignment horizontal="center" vertical="center" wrapText="1"/>
    </xf>
    <xf numFmtId="0" fontId="32" fillId="0" borderId="15" xfId="0" applyFont="1" applyBorder="1" applyAlignment="1">
      <alignment vertical="center" wrapText="1"/>
    </xf>
    <xf numFmtId="0" fontId="24" fillId="5" borderId="25" xfId="0" applyFont="1" applyFill="1" applyBorder="1" applyAlignment="1">
      <alignment horizontal="center" vertical="center"/>
    </xf>
    <xf numFmtId="0" fontId="24" fillId="5" borderId="40" xfId="0" applyFont="1" applyFill="1" applyBorder="1" applyAlignment="1">
      <alignment horizontal="center" vertical="center"/>
    </xf>
    <xf numFmtId="0" fontId="50" fillId="5" borderId="40" xfId="0" applyFont="1" applyFill="1" applyBorder="1" applyAlignment="1">
      <alignment horizontal="center" vertical="center" wrapText="1"/>
    </xf>
    <xf numFmtId="0" fontId="32" fillId="11" borderId="29" xfId="0" applyFont="1" applyFill="1" applyBorder="1" applyAlignment="1" applyProtection="1">
      <alignment horizontal="center" vertical="center" wrapText="1"/>
      <protection locked="0"/>
    </xf>
    <xf numFmtId="0" fontId="32" fillId="11" borderId="30" xfId="0" applyFont="1" applyFill="1" applyBorder="1" applyAlignment="1" applyProtection="1">
      <alignment horizontal="center" vertical="center" wrapText="1"/>
      <protection locked="0"/>
    </xf>
    <xf numFmtId="0" fontId="37" fillId="6" borderId="29" xfId="0" applyFont="1" applyFill="1" applyBorder="1" applyAlignment="1">
      <alignment horizontal="center" vertical="center" wrapText="1"/>
    </xf>
    <xf numFmtId="0" fontId="23" fillId="2" borderId="29" xfId="0" applyFont="1" applyFill="1" applyBorder="1" applyAlignment="1">
      <alignment horizontal="left" vertical="center" wrapText="1"/>
    </xf>
    <xf numFmtId="0" fontId="23" fillId="2" borderId="15" xfId="0" applyFont="1" applyFill="1" applyBorder="1" applyAlignment="1">
      <alignment horizontal="left" vertical="center" wrapText="1"/>
    </xf>
    <xf numFmtId="0" fontId="24" fillId="5" borderId="15" xfId="0" applyFont="1" applyFill="1" applyBorder="1" applyAlignment="1">
      <alignment horizontal="center" vertical="center"/>
    </xf>
    <xf numFmtId="0" fontId="24" fillId="5" borderId="39" xfId="0" applyFont="1" applyFill="1" applyBorder="1" applyAlignment="1">
      <alignment horizontal="center" vertical="center"/>
    </xf>
    <xf numFmtId="0" fontId="93" fillId="5" borderId="25" xfId="0" applyFont="1" applyFill="1" applyBorder="1" applyAlignment="1">
      <alignment horizontal="center" vertical="center"/>
    </xf>
    <xf numFmtId="0" fontId="93" fillId="5" borderId="40" xfId="0" applyFont="1" applyFill="1" applyBorder="1" applyAlignment="1">
      <alignment horizontal="center" vertical="center"/>
    </xf>
    <xf numFmtId="0" fontId="31" fillId="5" borderId="14" xfId="0" applyFont="1" applyFill="1" applyBorder="1" applyAlignment="1">
      <alignment horizontal="center" vertical="center"/>
    </xf>
    <xf numFmtId="0" fontId="31" fillId="5" borderId="15" xfId="0" applyFont="1" applyFill="1" applyBorder="1" applyAlignment="1">
      <alignment horizontal="center" vertical="center"/>
    </xf>
    <xf numFmtId="0" fontId="23" fillId="5" borderId="38" xfId="0" applyFont="1" applyFill="1" applyBorder="1" applyAlignment="1">
      <alignment horizontal="left" vertical="center" wrapText="1"/>
    </xf>
    <xf numFmtId="0" fontId="23" fillId="5" borderId="13" xfId="0" applyFont="1" applyFill="1" applyBorder="1" applyAlignment="1">
      <alignment horizontal="left" vertical="center" wrapText="1"/>
    </xf>
    <xf numFmtId="0" fontId="32" fillId="11" borderId="15" xfId="0" applyFont="1" applyFill="1" applyBorder="1" applyAlignment="1" applyProtection="1">
      <alignment horizontal="center" vertical="center" wrapText="1"/>
      <protection locked="0"/>
    </xf>
    <xf numFmtId="0" fontId="32" fillId="0" borderId="15" xfId="0" applyFont="1" applyBorder="1" applyAlignment="1">
      <alignment horizontal="center" vertical="center" wrapText="1"/>
    </xf>
    <xf numFmtId="0" fontId="32" fillId="5" borderId="13" xfId="0" applyFont="1" applyFill="1" applyBorder="1" applyAlignment="1">
      <alignment vertical="center" wrapText="1"/>
    </xf>
    <xf numFmtId="0" fontId="67" fillId="5" borderId="38" xfId="0" applyFont="1" applyFill="1" applyBorder="1" applyAlignment="1">
      <alignment vertical="center" wrapText="1"/>
    </xf>
    <xf numFmtId="0" fontId="67" fillId="5" borderId="13" xfId="0" applyFont="1" applyFill="1" applyBorder="1" applyAlignment="1">
      <alignment vertical="center" wrapText="1"/>
    </xf>
    <xf numFmtId="0" fontId="50" fillId="5" borderId="16" xfId="0" applyFont="1" applyFill="1" applyBorder="1" applyAlignment="1">
      <alignment horizontal="center" vertical="center" wrapText="1"/>
    </xf>
    <xf numFmtId="0" fontId="32" fillId="11" borderId="21" xfId="0" applyFont="1" applyFill="1" applyBorder="1" applyAlignment="1" applyProtection="1">
      <alignment horizontal="center" vertical="center" wrapText="1"/>
      <protection locked="0"/>
    </xf>
    <xf numFmtId="0" fontId="31" fillId="2" borderId="15" xfId="0" applyFont="1" applyFill="1" applyBorder="1" applyAlignment="1">
      <alignment horizontal="left" vertical="center"/>
    </xf>
    <xf numFmtId="0" fontId="31" fillId="2" borderId="15" xfId="0" applyFont="1" applyFill="1" applyBorder="1" applyAlignment="1">
      <alignment horizontal="center" vertical="center"/>
    </xf>
    <xf numFmtId="4" fontId="31" fillId="12" borderId="15" xfId="0" applyNumberFormat="1" applyFont="1" applyFill="1" applyBorder="1" applyAlignment="1">
      <alignment horizontal="center" vertical="center"/>
    </xf>
    <xf numFmtId="0" fontId="31" fillId="5" borderId="25" xfId="0" applyFont="1" applyFill="1" applyBorder="1" applyAlignment="1">
      <alignment horizontal="center" vertical="center"/>
    </xf>
    <xf numFmtId="0" fontId="31" fillId="5" borderId="39" xfId="0" applyFont="1" applyFill="1" applyBorder="1" applyAlignment="1">
      <alignment horizontal="center" vertical="center"/>
    </xf>
    <xf numFmtId="0" fontId="37" fillId="6" borderId="4" xfId="9" applyFont="1" applyFill="1" applyBorder="1" applyAlignment="1">
      <alignment horizontal="center" vertical="center" wrapText="1"/>
    </xf>
    <xf numFmtId="0" fontId="37" fillId="6" borderId="5" xfId="9" applyFont="1" applyFill="1" applyBorder="1" applyAlignment="1">
      <alignment horizontal="center" vertical="center" wrapText="1"/>
    </xf>
    <xf numFmtId="0" fontId="37" fillId="6" borderId="6" xfId="9" applyFont="1" applyFill="1" applyBorder="1" applyAlignment="1">
      <alignment horizontal="center" vertical="center" wrapText="1"/>
    </xf>
    <xf numFmtId="0" fontId="24" fillId="5" borderId="8" xfId="0" applyFont="1" applyFill="1" applyBorder="1" applyAlignment="1">
      <alignment horizontal="center" vertical="center" wrapText="1"/>
    </xf>
    <xf numFmtId="0" fontId="24" fillId="5" borderId="2" xfId="0" applyFont="1" applyFill="1" applyBorder="1" applyAlignment="1">
      <alignment horizontal="center" vertical="center" wrapText="1"/>
    </xf>
    <xf numFmtId="0" fontId="31" fillId="0" borderId="13" xfId="0" applyFont="1" applyBorder="1" applyAlignment="1">
      <alignment horizontal="left" vertical="center" wrapText="1"/>
    </xf>
    <xf numFmtId="0" fontId="31" fillId="0" borderId="40" xfId="0" applyFont="1" applyBorder="1" applyAlignment="1">
      <alignment horizontal="left" vertical="center" wrapText="1"/>
    </xf>
    <xf numFmtId="0" fontId="31" fillId="0" borderId="13" xfId="0" applyFont="1" applyBorder="1" applyAlignment="1">
      <alignment horizontal="justify" vertical="center" wrapText="1"/>
    </xf>
    <xf numFmtId="0" fontId="31" fillId="0" borderId="40" xfId="0" applyFont="1" applyBorder="1" applyAlignment="1">
      <alignment horizontal="justify" vertical="center" wrapText="1"/>
    </xf>
    <xf numFmtId="0" fontId="57" fillId="5" borderId="13" xfId="0" applyFont="1" applyFill="1" applyBorder="1" applyAlignment="1">
      <alignment horizontal="left" vertical="center"/>
    </xf>
    <xf numFmtId="0" fontId="57" fillId="5" borderId="40" xfId="0" applyFont="1" applyFill="1" applyBorder="1" applyAlignment="1">
      <alignment horizontal="left" vertical="center"/>
    </xf>
    <xf numFmtId="0" fontId="31" fillId="5" borderId="29" xfId="0" applyFont="1" applyFill="1" applyBorder="1" applyAlignment="1">
      <alignment horizontal="center" vertical="center"/>
    </xf>
    <xf numFmtId="0" fontId="61" fillId="2" borderId="15" xfId="0" applyFont="1" applyFill="1" applyBorder="1" applyAlignment="1">
      <alignment horizontal="center" vertical="center" wrapText="1"/>
    </xf>
    <xf numFmtId="0" fontId="24" fillId="5" borderId="29" xfId="0" applyFont="1" applyFill="1" applyBorder="1" applyAlignment="1">
      <alignment horizontal="center" vertical="center"/>
    </xf>
    <xf numFmtId="0" fontId="61" fillId="2" borderId="15" xfId="0" applyFont="1" applyFill="1" applyBorder="1" applyAlignment="1">
      <alignment horizontal="center" vertical="center"/>
    </xf>
    <xf numFmtId="0" fontId="31" fillId="2" borderId="29" xfId="0" applyFont="1" applyFill="1" applyBorder="1" applyAlignment="1">
      <alignment horizontal="center" vertical="center"/>
    </xf>
    <xf numFmtId="0" fontId="93" fillId="5" borderId="15" xfId="0" applyFont="1" applyFill="1" applyBorder="1" applyAlignment="1">
      <alignment horizontal="center" vertical="center"/>
    </xf>
    <xf numFmtId="0" fontId="93" fillId="5" borderId="29" xfId="0" applyFont="1" applyFill="1" applyBorder="1" applyAlignment="1">
      <alignment horizontal="center" vertical="center" wrapText="1"/>
    </xf>
    <xf numFmtId="0" fontId="93" fillId="5" borderId="15" xfId="0" applyFont="1" applyFill="1" applyBorder="1" applyAlignment="1">
      <alignment horizontal="center" vertical="center" wrapText="1"/>
    </xf>
    <xf numFmtId="0" fontId="93" fillId="5" borderId="25" xfId="0" applyFont="1" applyFill="1" applyBorder="1" applyAlignment="1">
      <alignment horizontal="center" vertical="center" wrapText="1"/>
    </xf>
    <xf numFmtId="0" fontId="38" fillId="6" borderId="29" xfId="0" applyFont="1" applyFill="1" applyBorder="1" applyAlignment="1">
      <alignment horizontal="center" vertical="center"/>
    </xf>
    <xf numFmtId="0" fontId="38" fillId="6" borderId="15" xfId="0" applyFont="1" applyFill="1" applyBorder="1" applyAlignment="1">
      <alignment horizontal="center" vertical="center"/>
    </xf>
    <xf numFmtId="0" fontId="38" fillId="6" borderId="25" xfId="0" applyFont="1" applyFill="1" applyBorder="1" applyAlignment="1">
      <alignment horizontal="center" vertical="center"/>
    </xf>
    <xf numFmtId="0" fontId="59" fillId="6" borderId="28" xfId="0" applyFont="1" applyFill="1" applyBorder="1" applyAlignment="1">
      <alignment horizontal="left" vertical="center" wrapText="1"/>
    </xf>
    <xf numFmtId="0" fontId="53" fillId="6" borderId="0" xfId="0" applyFont="1" applyFill="1" applyBorder="1" applyAlignment="1">
      <alignment horizontal="left" vertical="center" wrapText="1"/>
    </xf>
    <xf numFmtId="0" fontId="17" fillId="5" borderId="29" xfId="0" applyFont="1" applyFill="1" applyBorder="1" applyAlignment="1" applyProtection="1">
      <alignment horizontal="center" vertical="center"/>
      <protection locked="0"/>
    </xf>
    <xf numFmtId="0" fontId="17" fillId="5" borderId="15" xfId="0" applyFont="1" applyFill="1" applyBorder="1" applyAlignment="1" applyProtection="1">
      <alignment horizontal="center" vertical="center"/>
      <protection locked="0"/>
    </xf>
    <xf numFmtId="0" fontId="23" fillId="5" borderId="29" xfId="0" applyFont="1" applyFill="1" applyBorder="1" applyAlignment="1" applyProtection="1">
      <alignment horizontal="center" vertical="center"/>
      <protection locked="0"/>
    </xf>
    <xf numFmtId="0" fontId="23" fillId="5" borderId="15" xfId="0" applyFont="1" applyFill="1" applyBorder="1" applyAlignment="1" applyProtection="1">
      <alignment horizontal="center" vertical="center"/>
      <protection locked="0"/>
    </xf>
    <xf numFmtId="0" fontId="23" fillId="5" borderId="15" xfId="0" applyFont="1" applyFill="1" applyBorder="1" applyAlignment="1">
      <alignment horizontal="left" vertical="center" wrapText="1"/>
    </xf>
    <xf numFmtId="0" fontId="61" fillId="0" borderId="29" xfId="0" applyFont="1" applyBorder="1" applyAlignment="1" applyProtection="1">
      <alignment horizontal="left" vertical="center"/>
      <protection locked="0"/>
    </xf>
    <xf numFmtId="0" fontId="61" fillId="0" borderId="15" xfId="0" applyFont="1" applyBorder="1" applyAlignment="1" applyProtection="1">
      <alignment horizontal="left" vertical="center"/>
      <protection locked="0"/>
    </xf>
    <xf numFmtId="0" fontId="23" fillId="2" borderId="25" xfId="0" applyFont="1" applyFill="1" applyBorder="1" applyAlignment="1">
      <alignment horizontal="center" vertical="center" wrapText="1"/>
    </xf>
    <xf numFmtId="0" fontId="59" fillId="6" borderId="0" xfId="0" applyFont="1" applyFill="1" applyBorder="1" applyAlignment="1">
      <alignment horizontal="left" vertical="center" wrapText="1"/>
    </xf>
    <xf numFmtId="0" fontId="25" fillId="0" borderId="29" xfId="0" applyFont="1" applyBorder="1" applyAlignment="1" applyProtection="1">
      <alignment horizontal="right" vertical="center"/>
      <protection locked="0"/>
    </xf>
    <xf numFmtId="0" fontId="25" fillId="0" borderId="15" xfId="0" applyFont="1" applyBorder="1" applyAlignment="1" applyProtection="1">
      <alignment horizontal="right" vertical="center"/>
      <protection locked="0"/>
    </xf>
    <xf numFmtId="0" fontId="61" fillId="8" borderId="29" xfId="0" applyFont="1" applyFill="1" applyBorder="1" applyAlignment="1" applyProtection="1">
      <alignment horizontal="left" vertical="center"/>
      <protection locked="0"/>
    </xf>
    <xf numFmtId="0" fontId="61" fillId="8" borderId="15" xfId="0" applyFont="1" applyFill="1" applyBorder="1" applyAlignment="1" applyProtection="1">
      <alignment horizontal="left" vertical="center"/>
      <protection locked="0"/>
    </xf>
    <xf numFmtId="0" fontId="25" fillId="0" borderId="29" xfId="0" applyFont="1" applyBorder="1" applyAlignment="1" applyProtection="1">
      <alignment horizontal="left" vertical="center"/>
      <protection locked="0"/>
    </xf>
    <xf numFmtId="0" fontId="25" fillId="0" borderId="15" xfId="0" applyFont="1" applyBorder="1" applyAlignment="1" applyProtection="1">
      <alignment horizontal="left" vertical="center"/>
      <protection locked="0"/>
    </xf>
    <xf numFmtId="0" fontId="37" fillId="6" borderId="0" xfId="0" applyFont="1" applyFill="1" applyAlignment="1">
      <alignment horizontal="center" vertical="center" wrapText="1"/>
    </xf>
  </cellXfs>
  <cellStyles count="10">
    <cellStyle name="Hiperlink" xfId="9" builtinId="8"/>
    <cellStyle name="Normal" xfId="0" builtinId="0"/>
    <cellStyle name="Normal 2" xfId="2" xr:uid="{00000000-0005-0000-0000-000002000000}"/>
    <cellStyle name="Normal 2 2" xfId="3" xr:uid="{00000000-0005-0000-0000-000003000000}"/>
    <cellStyle name="Normal 2 3" xfId="5" xr:uid="{00000000-0005-0000-0000-000004000000}"/>
    <cellStyle name="Normal 2 4" xfId="6" xr:uid="{00000000-0005-0000-0000-000005000000}"/>
    <cellStyle name="Normal 3" xfId="4" xr:uid="{00000000-0005-0000-0000-000006000000}"/>
    <cellStyle name="Normal 4" xfId="7" xr:uid="{00000000-0005-0000-0000-000007000000}"/>
    <cellStyle name="Porcentagem" xfId="1" builtinId="5"/>
    <cellStyle name="Vírgula" xfId="8" builtinId="3"/>
  </cellStyles>
  <dxfs count="0"/>
  <tableStyles count="0" defaultTableStyle="TableStyleMedium2" defaultPivotStyle="PivotStyleLight16"/>
  <colors>
    <mruColors>
      <color rgb="FF005A6E"/>
      <color rgb="FF95D6D3"/>
      <color rgb="FFCCDCCF"/>
      <color rgb="FFF9C300"/>
      <color rgb="FFC6E0B3"/>
      <color rgb="FFCBDDDF"/>
      <color rgb="FFA2CACE"/>
      <color rgb="FFE32914"/>
      <color rgb="FFBCD3C2"/>
      <color rgb="FFF494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209550</xdr:colOff>
      <xdr:row>2</xdr:row>
      <xdr:rowOff>0</xdr:rowOff>
    </xdr:from>
    <xdr:to>
      <xdr:col>14</xdr:col>
      <xdr:colOff>142876</xdr:colOff>
      <xdr:row>3</xdr:row>
      <xdr:rowOff>0</xdr:rowOff>
    </xdr:to>
    <xdr:sp macro="" textlink="">
      <xdr:nvSpPr>
        <xdr:cNvPr id="3" name="CaixaDeTexto 2">
          <a:extLst>
            <a:ext uri="{FF2B5EF4-FFF2-40B4-BE49-F238E27FC236}">
              <a16:creationId xmlns:a16="http://schemas.microsoft.com/office/drawing/2014/main" id="{00000000-0008-0000-0000-000003000000}"/>
            </a:ext>
          </a:extLst>
        </xdr:cNvPr>
        <xdr:cNvSpPr txBox="1"/>
      </xdr:nvSpPr>
      <xdr:spPr>
        <a:xfrm>
          <a:off x="4736865" y="4445000"/>
          <a:ext cx="4307770" cy="388056"/>
        </a:xfrm>
        <a:prstGeom prst="rect">
          <a:avLst/>
        </a:prstGeom>
        <a:solidFill>
          <a:srgbClr val="F49426"/>
        </a:solidFill>
        <a:ln w="9525"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threePt" dir="t"/>
          </a:scene3d>
        </a:bodyPr>
        <a:lstStyle/>
        <a:p>
          <a:pPr algn="ctr"/>
          <a:r>
            <a:rPr lang="pt-BR" sz="1400" b="1">
              <a:solidFill>
                <a:srgbClr val="04272E"/>
              </a:solidFill>
              <a:effectLst/>
            </a:rPr>
            <a:t>Versão</a:t>
          </a:r>
          <a:r>
            <a:rPr lang="pt-BR" sz="1400" b="1">
              <a:solidFill>
                <a:srgbClr val="04272E"/>
              </a:solidFill>
            </a:rPr>
            <a:t> Matriz - </a:t>
          </a:r>
          <a:r>
            <a:rPr lang="pt-BR" sz="1100">
              <a:solidFill>
                <a:schemeClr val="dk1"/>
              </a:solidFill>
              <a:effectLst/>
              <a:latin typeface="+mn-lt"/>
              <a:ea typeface="+mn-ea"/>
              <a:cs typeface="+mn-cs"/>
            </a:rPr>
            <a:t>Cobrança-RSU V.1.0 - 30/09/2020</a:t>
          </a:r>
          <a:endParaRPr lang="pt-BR" sz="1400" b="1">
            <a:solidFill>
              <a:srgbClr val="04272E"/>
            </a:solidFill>
          </a:endParaRPr>
        </a:p>
      </xdr:txBody>
    </xdr:sp>
    <xdr:clientData/>
  </xdr:twoCellAnchor>
  <xdr:twoCellAnchor>
    <xdr:from>
      <xdr:col>0</xdr:col>
      <xdr:colOff>0</xdr:colOff>
      <xdr:row>0</xdr:row>
      <xdr:rowOff>11336</xdr:rowOff>
    </xdr:from>
    <xdr:to>
      <xdr:col>14</xdr:col>
      <xdr:colOff>4109767</xdr:colOff>
      <xdr:row>1</xdr:row>
      <xdr:rowOff>29882</xdr:rowOff>
    </xdr:to>
    <xdr:pic>
      <xdr:nvPicPr>
        <xdr:cNvPr id="4" name="Imagem 3">
          <a:extLst>
            <a:ext uri="{FF2B5EF4-FFF2-40B4-BE49-F238E27FC236}">
              <a16:creationId xmlns:a16="http://schemas.microsoft.com/office/drawing/2014/main" id="{48A59FF6-4108-A942-AC5E-3CC8D56F9C8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11336"/>
          <a:ext cx="13014708" cy="3589487"/>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4"/>
  <sheetViews>
    <sheetView tabSelected="1" view="pageBreakPreview" zoomScale="90" zoomScaleNormal="90" zoomScaleSheetLayoutView="90" zoomScalePageLayoutView="108" workbookViewId="0">
      <selection activeCell="F20" sqref="F20"/>
    </sheetView>
  </sheetViews>
  <sheetFormatPr defaultColWidth="9.140625" defaultRowHeight="14.25" x14ac:dyDescent="0.25"/>
  <cols>
    <col min="1" max="7" width="7.85546875" style="42" customWidth="1"/>
    <col min="8" max="8" width="0.140625" style="42" customWidth="1"/>
    <col min="9" max="9" width="4.140625" style="42" customWidth="1"/>
    <col min="10" max="10" width="3.85546875" style="42" customWidth="1"/>
    <col min="11" max="11" width="14.7109375" style="42" customWidth="1"/>
    <col min="12" max="12" width="1.140625" style="42" customWidth="1"/>
    <col min="13" max="13" width="27.140625" style="42" customWidth="1"/>
    <col min="14" max="14" width="10.42578125" style="42" customWidth="1"/>
    <col min="15" max="15" width="54.28515625" style="42" customWidth="1"/>
    <col min="16" max="16384" width="9.140625" style="1"/>
  </cols>
  <sheetData>
    <row r="1" spans="1:15" ht="184.5" customHeight="1" x14ac:dyDescent="0.2">
      <c r="A1" s="488"/>
      <c r="B1" s="488"/>
      <c r="C1" s="488"/>
      <c r="D1" s="488"/>
      <c r="E1" s="488"/>
      <c r="F1" s="488"/>
      <c r="G1" s="488"/>
      <c r="H1" s="488"/>
      <c r="I1" s="488"/>
      <c r="J1" s="488"/>
      <c r="K1" s="488"/>
      <c r="L1" s="488"/>
      <c r="M1" s="488"/>
      <c r="N1" s="488"/>
      <c r="O1" s="488"/>
    </row>
    <row r="2" spans="1:15" ht="24" customHeight="1" x14ac:dyDescent="0.2">
      <c r="A2" s="490"/>
      <c r="B2" s="491"/>
      <c r="C2" s="491"/>
      <c r="D2" s="491"/>
      <c r="E2" s="491"/>
      <c r="F2" s="491"/>
      <c r="G2" s="491"/>
      <c r="H2" s="491"/>
      <c r="I2" s="491"/>
      <c r="J2" s="491"/>
      <c r="K2" s="491"/>
      <c r="L2" s="491"/>
      <c r="M2" s="491"/>
      <c r="N2" s="491"/>
      <c r="O2" s="491"/>
    </row>
    <row r="3" spans="1:15" ht="30.95" customHeight="1" x14ac:dyDescent="0.2">
      <c r="A3" s="492" t="s">
        <v>266</v>
      </c>
      <c r="B3" s="492"/>
      <c r="C3" s="492"/>
      <c r="D3" s="492"/>
      <c r="E3" s="492"/>
      <c r="F3" s="492"/>
      <c r="G3" s="492"/>
      <c r="H3" s="492"/>
      <c r="I3" s="492"/>
      <c r="J3" s="492"/>
      <c r="K3" s="492"/>
      <c r="L3" s="492"/>
      <c r="M3" s="492"/>
      <c r="N3" s="492"/>
      <c r="O3" s="492"/>
    </row>
    <row r="4" spans="1:15" ht="95.1" customHeight="1" x14ac:dyDescent="0.2">
      <c r="A4" s="489" t="s">
        <v>578</v>
      </c>
      <c r="B4" s="489"/>
      <c r="C4" s="489"/>
      <c r="D4" s="489"/>
      <c r="E4" s="489"/>
      <c r="F4" s="489"/>
      <c r="G4" s="489"/>
      <c r="H4" s="489"/>
      <c r="I4" s="489"/>
      <c r="J4" s="489"/>
      <c r="K4" s="489"/>
      <c r="L4" s="489"/>
      <c r="M4" s="489"/>
      <c r="N4" s="489"/>
      <c r="O4" s="489"/>
    </row>
    <row r="5" spans="1:15" ht="45.95" customHeight="1" x14ac:dyDescent="0.2">
      <c r="A5" s="489" t="s">
        <v>527</v>
      </c>
      <c r="B5" s="489"/>
      <c r="C5" s="489"/>
      <c r="D5" s="489"/>
      <c r="E5" s="489"/>
      <c r="F5" s="489"/>
      <c r="G5" s="489"/>
      <c r="H5" s="489"/>
      <c r="I5" s="489"/>
      <c r="J5" s="489"/>
      <c r="K5" s="489"/>
      <c r="L5" s="489"/>
      <c r="M5" s="489"/>
      <c r="N5" s="489"/>
      <c r="O5" s="489"/>
    </row>
    <row r="6" spans="1:15" ht="164.1" customHeight="1" x14ac:dyDescent="0.2">
      <c r="A6" s="489" t="s">
        <v>567</v>
      </c>
      <c r="B6" s="489"/>
      <c r="C6" s="489"/>
      <c r="D6" s="489"/>
      <c r="E6" s="489"/>
      <c r="F6" s="489"/>
      <c r="G6" s="489"/>
      <c r="H6" s="489"/>
      <c r="I6" s="489"/>
      <c r="J6" s="489"/>
      <c r="K6" s="489"/>
      <c r="L6" s="489"/>
      <c r="M6" s="489"/>
      <c r="N6" s="489"/>
      <c r="O6" s="489"/>
    </row>
    <row r="7" spans="1:15" ht="130.5" customHeight="1" x14ac:dyDescent="0.2">
      <c r="A7" s="489" t="s">
        <v>568</v>
      </c>
      <c r="B7" s="489"/>
      <c r="C7" s="489"/>
      <c r="D7" s="489"/>
      <c r="E7" s="489"/>
      <c r="F7" s="489"/>
      <c r="G7" s="489"/>
      <c r="H7" s="489"/>
      <c r="I7" s="489"/>
      <c r="J7" s="489"/>
      <c r="K7" s="489"/>
      <c r="L7" s="489"/>
      <c r="M7" s="489"/>
      <c r="N7" s="489"/>
      <c r="O7" s="489"/>
    </row>
    <row r="8" spans="1:15" ht="45" customHeight="1" x14ac:dyDescent="0.2">
      <c r="A8" s="487" t="s">
        <v>594</v>
      </c>
      <c r="B8" s="487"/>
      <c r="C8" s="487"/>
      <c r="D8" s="487"/>
      <c r="E8" s="487"/>
      <c r="F8" s="487"/>
      <c r="G8" s="487"/>
      <c r="H8" s="487"/>
      <c r="I8" s="487"/>
      <c r="J8" s="487"/>
      <c r="K8" s="487"/>
      <c r="L8" s="487"/>
      <c r="M8" s="487"/>
      <c r="N8" s="487"/>
      <c r="O8" s="487"/>
    </row>
    <row r="9" spans="1:15" ht="21.75" customHeight="1" x14ac:dyDescent="0.25">
      <c r="A9" s="482" t="s">
        <v>595</v>
      </c>
      <c r="B9" s="483"/>
      <c r="C9" s="484"/>
      <c r="D9" s="484"/>
      <c r="E9" s="484"/>
      <c r="F9" s="485"/>
      <c r="G9" s="485"/>
      <c r="H9" s="485"/>
      <c r="I9" s="485"/>
      <c r="J9" s="485"/>
      <c r="K9" s="485"/>
      <c r="L9" s="485"/>
      <c r="M9" s="485"/>
      <c r="N9" s="485"/>
      <c r="O9" s="485"/>
    </row>
    <row r="10" spans="1:15" ht="23.25" customHeight="1" x14ac:dyDescent="0.2">
      <c r="A10" s="486" t="s">
        <v>596</v>
      </c>
      <c r="B10" s="486"/>
      <c r="C10" s="486"/>
      <c r="D10" s="486"/>
      <c r="E10" s="486"/>
      <c r="F10" s="486"/>
      <c r="G10" s="486"/>
      <c r="H10" s="486"/>
      <c r="I10" s="486"/>
      <c r="J10" s="486"/>
      <c r="K10" s="486"/>
      <c r="L10" s="486"/>
      <c r="M10" s="486"/>
      <c r="N10" s="486"/>
      <c r="O10" s="486"/>
    </row>
    <row r="11" spans="1:15" ht="20.25" customHeight="1" x14ac:dyDescent="0.25">
      <c r="A11" s="482" t="s">
        <v>591</v>
      </c>
      <c r="B11" s="483"/>
      <c r="C11" s="483"/>
      <c r="D11" s="483"/>
      <c r="E11" s="484"/>
      <c r="F11" s="485"/>
      <c r="G11" s="485"/>
      <c r="H11" s="485"/>
      <c r="I11" s="485"/>
      <c r="J11" s="485"/>
      <c r="K11" s="485"/>
      <c r="L11" s="485"/>
      <c r="M11" s="485"/>
      <c r="N11" s="485"/>
      <c r="O11" s="485"/>
    </row>
    <row r="12" spans="1:15" ht="14.25" customHeight="1" x14ac:dyDescent="0.25">
      <c r="A12" s="482" t="s">
        <v>592</v>
      </c>
      <c r="B12" s="483"/>
      <c r="C12" s="483"/>
      <c r="D12" s="483"/>
      <c r="E12" s="483"/>
      <c r="F12" s="485"/>
      <c r="G12" s="485"/>
      <c r="H12" s="485"/>
      <c r="I12" s="485"/>
      <c r="J12" s="485"/>
      <c r="K12" s="485"/>
      <c r="L12" s="485"/>
      <c r="M12" s="485"/>
      <c r="N12" s="485"/>
      <c r="O12" s="485"/>
    </row>
    <row r="13" spans="1:15" ht="20.25" customHeight="1" x14ac:dyDescent="0.25">
      <c r="A13" s="482" t="s">
        <v>593</v>
      </c>
      <c r="B13" s="483"/>
      <c r="C13" s="484"/>
      <c r="D13" s="484"/>
      <c r="E13" s="484"/>
      <c r="F13" s="485"/>
      <c r="G13" s="485"/>
      <c r="H13" s="485"/>
      <c r="I13" s="485"/>
      <c r="J13" s="485"/>
      <c r="K13" s="485"/>
      <c r="L13" s="485"/>
      <c r="M13" s="485"/>
      <c r="N13" s="485"/>
      <c r="O13" s="485"/>
    </row>
    <row r="14" spans="1:15" x14ac:dyDescent="0.25">
      <c r="A14" s="81"/>
      <c r="B14" s="81"/>
      <c r="C14" s="81"/>
      <c r="D14" s="81"/>
      <c r="E14" s="81"/>
      <c r="F14" s="81"/>
      <c r="G14" s="81"/>
      <c r="H14" s="81"/>
      <c r="I14" s="81"/>
      <c r="J14" s="81"/>
      <c r="K14" s="81"/>
      <c r="L14" s="81"/>
      <c r="M14" s="81"/>
      <c r="N14" s="81"/>
      <c r="O14" s="81"/>
    </row>
  </sheetData>
  <sheetProtection algorithmName="SHA-512" hashValue="aopYoLWSI7JbSfL/MUfJjts/HgOq+NYMCu1x7xG/xmAwI+cdLpdKO+sGgqpi8p2fviQdCJZ1DKQXRnQ9/R2LtA==" saltValue="n9lIqrM+ZJBPCqHi22il1A==" spinCount="100000" sheet="1" objects="1" scenarios="1"/>
  <mergeCells count="9">
    <mergeCell ref="A10:O10"/>
    <mergeCell ref="A8:O8"/>
    <mergeCell ref="A1:O1"/>
    <mergeCell ref="A6:O6"/>
    <mergeCell ref="A7:O7"/>
    <mergeCell ref="A2:O2"/>
    <mergeCell ref="A3:O3"/>
    <mergeCell ref="A4:O4"/>
    <mergeCell ref="A5:O5"/>
  </mergeCells>
  <pageMargins left="0.51181102362204722" right="0.51181102362204722" top="0.78740157480314965" bottom="0.78740157480314965" header="0.31496062992125984" footer="0.31496062992125984"/>
  <pageSetup paperSize="9" scale="55"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V141"/>
  <sheetViews>
    <sheetView showGridLines="0" defaultGridColor="0" topLeftCell="A43" colorId="23" zoomScale="80" zoomScaleNormal="80" workbookViewId="0"/>
  </sheetViews>
  <sheetFormatPr defaultColWidth="8.85546875" defaultRowHeight="14.25" x14ac:dyDescent="0.25"/>
  <cols>
    <col min="1" max="1" width="8.85546875" style="41"/>
    <col min="2" max="2" width="35.7109375" style="41" customWidth="1"/>
    <col min="3" max="3" width="14.85546875" style="41" customWidth="1"/>
    <col min="4" max="13" width="15.140625" style="41" customWidth="1"/>
    <col min="14" max="18" width="12.85546875" style="41" customWidth="1"/>
    <col min="19" max="19" width="34.28515625" style="41" customWidth="1"/>
    <col min="20" max="22" width="2.140625" style="41" customWidth="1"/>
  </cols>
  <sheetData>
    <row r="1" spans="1:22" ht="129" customHeight="1" x14ac:dyDescent="0.25">
      <c r="A1" s="481"/>
      <c r="B1" s="675" t="s">
        <v>282</v>
      </c>
      <c r="C1" s="675"/>
      <c r="D1" s="675"/>
      <c r="E1" s="675"/>
      <c r="F1" s="675"/>
      <c r="G1" s="675"/>
      <c r="H1" s="97" t="s">
        <v>558</v>
      </c>
      <c r="I1" s="145"/>
      <c r="J1" s="81"/>
      <c r="K1" s="81"/>
      <c r="L1" s="42"/>
      <c r="M1" s="42"/>
      <c r="N1" s="42"/>
      <c r="O1" s="42"/>
      <c r="P1" s="42"/>
      <c r="Q1" s="42"/>
      <c r="R1" s="42"/>
      <c r="S1" s="42"/>
      <c r="T1" s="42"/>
      <c r="U1" s="42"/>
      <c r="V1" s="42"/>
    </row>
    <row r="2" spans="1:22" ht="144.94999999999999" customHeight="1" x14ac:dyDescent="0.25">
      <c r="A2" s="147"/>
      <c r="B2" s="659" t="s">
        <v>408</v>
      </c>
      <c r="C2" s="659"/>
      <c r="D2" s="659"/>
      <c r="E2" s="659"/>
      <c r="F2" s="659"/>
      <c r="G2" s="659"/>
      <c r="H2" s="659"/>
      <c r="I2" s="659"/>
      <c r="J2" s="659"/>
      <c r="K2" s="659"/>
      <c r="L2" s="42"/>
      <c r="M2" s="42"/>
      <c r="N2" s="42"/>
      <c r="O2" s="42"/>
      <c r="P2" s="42"/>
      <c r="Q2" s="42"/>
      <c r="R2" s="42"/>
      <c r="S2" s="42"/>
      <c r="T2" s="42"/>
      <c r="U2" s="42"/>
      <c r="V2" s="42"/>
    </row>
    <row r="3" spans="1:22" ht="38.1" customHeight="1" x14ac:dyDescent="0.25">
      <c r="A3" s="42"/>
      <c r="B3" s="574" t="s">
        <v>194</v>
      </c>
      <c r="C3" s="575"/>
      <c r="D3" s="518" t="s">
        <v>182</v>
      </c>
      <c r="E3" s="518"/>
      <c r="F3" s="518" t="s">
        <v>183</v>
      </c>
      <c r="G3" s="518"/>
      <c r="H3" s="518" t="s">
        <v>184</v>
      </c>
      <c r="I3" s="518"/>
      <c r="J3" s="518" t="s">
        <v>185</v>
      </c>
      <c r="K3" s="518"/>
      <c r="L3" s="518" t="s">
        <v>186</v>
      </c>
      <c r="M3" s="667"/>
      <c r="N3" s="42"/>
      <c r="O3" s="42"/>
      <c r="P3" s="42"/>
      <c r="Q3" s="42"/>
      <c r="R3" s="42"/>
      <c r="S3" s="42"/>
      <c r="T3" s="42"/>
      <c r="U3" s="42"/>
      <c r="V3" s="42"/>
    </row>
    <row r="4" spans="1:22" ht="65.099999999999994" customHeight="1" x14ac:dyDescent="0.25">
      <c r="A4" s="42"/>
      <c r="B4" s="333" t="s">
        <v>187</v>
      </c>
      <c r="C4" s="182" t="s">
        <v>530</v>
      </c>
      <c r="D4" s="182" t="s">
        <v>188</v>
      </c>
      <c r="E4" s="181" t="s">
        <v>189</v>
      </c>
      <c r="F4" s="182" t="s">
        <v>188</v>
      </c>
      <c r="G4" s="181" t="s">
        <v>189</v>
      </c>
      <c r="H4" s="182" t="s">
        <v>188</v>
      </c>
      <c r="I4" s="181" t="s">
        <v>189</v>
      </c>
      <c r="J4" s="182" t="s">
        <v>188</v>
      </c>
      <c r="K4" s="181" t="s">
        <v>189</v>
      </c>
      <c r="L4" s="182" t="s">
        <v>188</v>
      </c>
      <c r="M4" s="233" t="s">
        <v>189</v>
      </c>
      <c r="N4" s="42"/>
      <c r="O4" s="454" t="s">
        <v>579</v>
      </c>
      <c r="P4" s="455"/>
      <c r="Q4" s="42"/>
      <c r="R4" s="42"/>
      <c r="S4" s="42"/>
      <c r="T4" s="42"/>
      <c r="U4" s="42"/>
      <c r="V4" s="42"/>
    </row>
    <row r="5" spans="1:22" ht="18.95" customHeight="1" x14ac:dyDescent="0.25">
      <c r="A5" s="42"/>
      <c r="B5" s="334" t="s">
        <v>190</v>
      </c>
      <c r="C5" s="321">
        <v>0</v>
      </c>
      <c r="D5" s="453"/>
      <c r="E5" s="451"/>
      <c r="F5" s="451"/>
      <c r="G5" s="451"/>
      <c r="H5" s="451"/>
      <c r="I5" s="451"/>
      <c r="J5" s="451"/>
      <c r="K5" s="451"/>
      <c r="L5" s="451"/>
      <c r="M5" s="452"/>
      <c r="N5" s="42"/>
      <c r="O5" s="456"/>
      <c r="P5" s="349" t="s">
        <v>580</v>
      </c>
      <c r="Q5" s="42"/>
      <c r="R5" s="42"/>
      <c r="S5" s="42"/>
      <c r="T5" s="42"/>
      <c r="U5" s="42"/>
      <c r="V5" s="42"/>
    </row>
    <row r="6" spans="1:22" ht="38.450000000000003" customHeight="1" x14ac:dyDescent="0.25">
      <c r="A6" s="42"/>
      <c r="B6" s="335"/>
      <c r="C6" s="323"/>
      <c r="D6" s="451"/>
      <c r="E6" s="451"/>
      <c r="F6" s="451"/>
      <c r="G6" s="451"/>
      <c r="H6" s="451"/>
      <c r="I6" s="451"/>
      <c r="J6" s="451"/>
      <c r="K6" s="451"/>
      <c r="L6" s="451"/>
      <c r="M6" s="452"/>
      <c r="N6" s="42"/>
      <c r="O6" s="457"/>
      <c r="P6" s="349" t="s">
        <v>581</v>
      </c>
      <c r="Q6" s="42"/>
      <c r="R6" s="42"/>
      <c r="S6" s="42"/>
      <c r="T6" s="42"/>
      <c r="U6" s="42"/>
      <c r="V6" s="42"/>
    </row>
    <row r="7" spans="1:22" ht="27.6" customHeight="1" x14ac:dyDescent="0.25">
      <c r="A7" s="42"/>
      <c r="B7" s="336" t="s">
        <v>559</v>
      </c>
      <c r="C7" s="321">
        <v>0.04</v>
      </c>
      <c r="D7" s="465"/>
      <c r="E7" s="466"/>
      <c r="F7" s="466"/>
      <c r="G7" s="466"/>
      <c r="H7" s="466"/>
      <c r="I7" s="467"/>
      <c r="J7" s="451"/>
      <c r="K7" s="451"/>
      <c r="L7" s="465"/>
      <c r="M7" s="474"/>
      <c r="N7" s="42"/>
      <c r="O7" s="458"/>
      <c r="P7" s="349" t="s">
        <v>582</v>
      </c>
      <c r="Q7" s="42"/>
      <c r="R7" s="42"/>
      <c r="S7" s="42"/>
      <c r="T7" s="42"/>
      <c r="U7" s="42"/>
      <c r="V7" s="42"/>
    </row>
    <row r="8" spans="1:22" ht="18.95" customHeight="1" x14ac:dyDescent="0.25">
      <c r="A8" s="42"/>
      <c r="B8" s="337"/>
      <c r="C8" s="323"/>
      <c r="D8" s="468"/>
      <c r="E8" s="469"/>
      <c r="F8" s="469"/>
      <c r="G8" s="469"/>
      <c r="H8" s="469"/>
      <c r="I8" s="470"/>
      <c r="J8" s="451"/>
      <c r="K8" s="451"/>
      <c r="L8" s="468"/>
      <c r="M8" s="475"/>
      <c r="N8" s="42"/>
      <c r="O8" s="459"/>
      <c r="P8" s="349" t="s">
        <v>583</v>
      </c>
      <c r="Q8" s="42"/>
      <c r="R8" s="42"/>
      <c r="S8" s="42"/>
      <c r="T8" s="42"/>
      <c r="U8" s="42"/>
      <c r="V8" s="42"/>
    </row>
    <row r="9" spans="1:22" ht="36" customHeight="1" x14ac:dyDescent="0.25">
      <c r="A9" s="42"/>
      <c r="B9" s="336" t="s">
        <v>560</v>
      </c>
      <c r="C9" s="321">
        <v>0.04</v>
      </c>
      <c r="D9" s="468"/>
      <c r="E9" s="469"/>
      <c r="F9" s="469"/>
      <c r="G9" s="469"/>
      <c r="H9" s="469"/>
      <c r="I9" s="470"/>
      <c r="J9" s="451"/>
      <c r="K9" s="451"/>
      <c r="L9" s="468"/>
      <c r="M9" s="475"/>
      <c r="N9" s="42"/>
      <c r="O9" s="460"/>
      <c r="P9" s="349" t="s">
        <v>584</v>
      </c>
      <c r="Q9" s="42"/>
      <c r="R9" s="42"/>
      <c r="S9" s="42"/>
      <c r="T9" s="42"/>
      <c r="U9" s="42"/>
      <c r="V9" s="42"/>
    </row>
    <row r="10" spans="1:22" ht="17.100000000000001" customHeight="1" x14ac:dyDescent="0.25">
      <c r="A10" s="42"/>
      <c r="B10" s="338"/>
      <c r="C10" s="322"/>
      <c r="D10" s="468"/>
      <c r="E10" s="469"/>
      <c r="F10" s="469"/>
      <c r="G10" s="469"/>
      <c r="H10" s="469"/>
      <c r="I10" s="470"/>
      <c r="J10" s="451"/>
      <c r="K10" s="451"/>
      <c r="L10" s="468"/>
      <c r="M10" s="475"/>
      <c r="N10" s="42"/>
      <c r="O10" s="464"/>
      <c r="P10" s="461" t="s">
        <v>585</v>
      </c>
      <c r="Q10" s="42"/>
      <c r="R10" s="42"/>
      <c r="S10" s="42"/>
      <c r="T10" s="42"/>
      <c r="U10" s="42"/>
      <c r="V10" s="42"/>
    </row>
    <row r="11" spans="1:22" ht="35.1" customHeight="1" x14ac:dyDescent="0.25">
      <c r="A11" s="42"/>
      <c r="B11" s="337"/>
      <c r="C11" s="323"/>
      <c r="D11" s="468"/>
      <c r="E11" s="469"/>
      <c r="F11" s="469"/>
      <c r="G11" s="469"/>
      <c r="H11" s="469"/>
      <c r="I11" s="470"/>
      <c r="J11" s="451"/>
      <c r="K11" s="451"/>
      <c r="L11" s="468"/>
      <c r="M11" s="475"/>
      <c r="N11" s="42"/>
      <c r="O11" s="42"/>
      <c r="P11" s="42"/>
      <c r="Q11" s="42"/>
      <c r="R11" s="42"/>
      <c r="S11" s="42"/>
      <c r="T11" s="42"/>
      <c r="U11" s="42"/>
      <c r="V11" s="42"/>
    </row>
    <row r="12" spans="1:22" ht="18.95" customHeight="1" x14ac:dyDescent="0.25">
      <c r="A12" s="42"/>
      <c r="B12" s="336" t="s">
        <v>191</v>
      </c>
      <c r="C12" s="352">
        <v>0.5</v>
      </c>
      <c r="D12" s="468"/>
      <c r="E12" s="469"/>
      <c r="F12" s="469"/>
      <c r="G12" s="469"/>
      <c r="H12" s="469"/>
      <c r="I12" s="470"/>
      <c r="J12" s="451"/>
      <c r="K12" s="451"/>
      <c r="L12" s="468"/>
      <c r="M12" s="475"/>
      <c r="N12" s="42"/>
      <c r="O12" s="42"/>
      <c r="P12" s="42"/>
      <c r="Q12" s="42"/>
      <c r="R12" s="42"/>
      <c r="S12" s="42"/>
      <c r="T12" s="42"/>
      <c r="U12" s="42"/>
      <c r="V12" s="42"/>
    </row>
    <row r="13" spans="1:22" ht="18.95" customHeight="1" x14ac:dyDescent="0.25">
      <c r="A13" s="42"/>
      <c r="B13" s="338"/>
      <c r="C13" s="353"/>
      <c r="D13" s="468"/>
      <c r="E13" s="469"/>
      <c r="F13" s="469"/>
      <c r="G13" s="469"/>
      <c r="H13" s="469"/>
      <c r="I13" s="470"/>
      <c r="J13" s="451"/>
      <c r="K13" s="451"/>
      <c r="L13" s="468"/>
      <c r="M13" s="475"/>
      <c r="N13" s="42"/>
      <c r="O13" s="42"/>
      <c r="P13" s="42"/>
      <c r="Q13" s="42"/>
      <c r="R13" s="42"/>
      <c r="S13" s="42"/>
      <c r="T13" s="42"/>
      <c r="U13" s="42"/>
      <c r="V13" s="42"/>
    </row>
    <row r="14" spans="1:22" ht="35.1" customHeight="1" x14ac:dyDescent="0.25">
      <c r="A14" s="42"/>
      <c r="B14" s="338"/>
      <c r="C14" s="353"/>
      <c r="D14" s="468"/>
      <c r="E14" s="469"/>
      <c r="F14" s="469"/>
      <c r="G14" s="469"/>
      <c r="H14" s="469"/>
      <c r="I14" s="470"/>
      <c r="J14" s="451"/>
      <c r="K14" s="451"/>
      <c r="L14" s="468"/>
      <c r="M14" s="475"/>
      <c r="N14" s="42"/>
      <c r="O14" s="42"/>
      <c r="P14" s="42"/>
      <c r="Q14" s="42"/>
      <c r="R14" s="42"/>
      <c r="S14" s="42"/>
      <c r="T14" s="42"/>
      <c r="U14" s="42"/>
      <c r="V14" s="42"/>
    </row>
    <row r="15" spans="1:22" ht="18.95" customHeight="1" x14ac:dyDescent="0.25">
      <c r="A15" s="42"/>
      <c r="B15" s="337"/>
      <c r="C15" s="354"/>
      <c r="D15" s="471"/>
      <c r="E15" s="472"/>
      <c r="F15" s="472"/>
      <c r="G15" s="472"/>
      <c r="H15" s="472"/>
      <c r="I15" s="473"/>
      <c r="J15" s="451"/>
      <c r="K15" s="451"/>
      <c r="L15" s="471"/>
      <c r="M15" s="476"/>
      <c r="N15" s="42"/>
      <c r="O15" s="42"/>
      <c r="P15" s="42"/>
      <c r="Q15" s="42"/>
      <c r="R15" s="42"/>
      <c r="S15" s="42"/>
      <c r="T15" s="42"/>
      <c r="U15" s="42"/>
      <c r="V15" s="42"/>
    </row>
    <row r="16" spans="1:22" ht="35.1" customHeight="1" x14ac:dyDescent="0.25">
      <c r="A16" s="42"/>
      <c r="B16" s="336" t="s">
        <v>192</v>
      </c>
      <c r="C16" s="321">
        <v>0.02</v>
      </c>
      <c r="D16" s="451"/>
      <c r="E16" s="451"/>
      <c r="F16" s="451"/>
      <c r="G16" s="451"/>
      <c r="H16" s="451"/>
      <c r="I16" s="451"/>
      <c r="J16" s="451"/>
      <c r="K16" s="451"/>
      <c r="L16" s="451"/>
      <c r="M16" s="452"/>
      <c r="N16" s="42"/>
      <c r="O16" s="42"/>
      <c r="P16" s="42"/>
      <c r="Q16" s="42"/>
      <c r="R16" s="42"/>
      <c r="S16" s="42"/>
      <c r="T16" s="42"/>
      <c r="U16" s="42"/>
      <c r="V16" s="42"/>
    </row>
    <row r="17" spans="1:22" x14ac:dyDescent="0.25">
      <c r="A17" s="42"/>
      <c r="B17" s="338"/>
      <c r="C17" s="322"/>
      <c r="D17" s="451"/>
      <c r="E17" s="451"/>
      <c r="F17" s="451"/>
      <c r="G17" s="451"/>
      <c r="H17" s="451"/>
      <c r="I17" s="451"/>
      <c r="J17" s="451"/>
      <c r="K17" s="451"/>
      <c r="L17" s="451"/>
      <c r="M17" s="452"/>
      <c r="N17" s="42"/>
      <c r="O17" s="42"/>
      <c r="P17" s="42"/>
      <c r="Q17" s="42"/>
      <c r="R17" s="42"/>
      <c r="S17" s="42"/>
      <c r="T17" s="42"/>
      <c r="U17" s="42"/>
      <c r="V17" s="42"/>
    </row>
    <row r="18" spans="1:22" ht="17.100000000000001" customHeight="1" x14ac:dyDescent="0.25">
      <c r="A18" s="42"/>
      <c r="B18" s="337"/>
      <c r="C18" s="323"/>
      <c r="D18" s="451"/>
      <c r="E18" s="451"/>
      <c r="F18" s="451"/>
      <c r="G18" s="451"/>
      <c r="H18" s="451"/>
      <c r="I18" s="451"/>
      <c r="J18" s="451"/>
      <c r="K18" s="451"/>
      <c r="L18" s="451"/>
      <c r="M18" s="452"/>
      <c r="N18" s="42"/>
      <c r="O18" s="42"/>
      <c r="P18" s="42"/>
      <c r="Q18" s="42"/>
      <c r="R18" s="42"/>
      <c r="S18" s="42"/>
      <c r="T18" s="42"/>
      <c r="U18" s="42"/>
      <c r="V18" s="42"/>
    </row>
    <row r="19" spans="1:22" ht="28.5" x14ac:dyDescent="0.25">
      <c r="A19" s="42"/>
      <c r="B19" s="336" t="s">
        <v>8</v>
      </c>
      <c r="C19" s="321">
        <v>0.1</v>
      </c>
      <c r="D19" s="451"/>
      <c r="E19" s="451"/>
      <c r="F19" s="451"/>
      <c r="G19" s="451"/>
      <c r="H19" s="451"/>
      <c r="I19" s="451"/>
      <c r="J19" s="451"/>
      <c r="K19" s="451"/>
      <c r="L19" s="451"/>
      <c r="M19" s="452"/>
      <c r="N19" s="42"/>
      <c r="O19" s="42"/>
      <c r="P19" s="42"/>
      <c r="Q19" s="42"/>
      <c r="R19" s="42"/>
      <c r="S19" s="42"/>
      <c r="T19" s="42"/>
      <c r="U19" s="42"/>
      <c r="V19" s="42"/>
    </row>
    <row r="20" spans="1:22" x14ac:dyDescent="0.25">
      <c r="A20" s="42"/>
      <c r="B20" s="338"/>
      <c r="C20" s="322"/>
      <c r="D20" s="451"/>
      <c r="E20" s="451"/>
      <c r="F20" s="451"/>
      <c r="G20" s="451"/>
      <c r="H20" s="451"/>
      <c r="I20" s="451"/>
      <c r="J20" s="451"/>
      <c r="K20" s="451"/>
      <c r="L20" s="451"/>
      <c r="M20" s="452"/>
      <c r="N20" s="42"/>
      <c r="O20" s="42"/>
      <c r="P20" s="42"/>
      <c r="Q20" s="42"/>
      <c r="R20" s="42"/>
      <c r="S20" s="42"/>
      <c r="T20" s="42"/>
      <c r="U20" s="42"/>
      <c r="V20" s="42"/>
    </row>
    <row r="21" spans="1:22" x14ac:dyDescent="0.25">
      <c r="A21" s="42"/>
      <c r="B21" s="338"/>
      <c r="C21" s="322"/>
      <c r="D21" s="451"/>
      <c r="E21" s="451"/>
      <c r="F21" s="451"/>
      <c r="G21" s="451"/>
      <c r="H21" s="451"/>
      <c r="I21" s="451"/>
      <c r="J21" s="451"/>
      <c r="K21" s="451"/>
      <c r="L21" s="451"/>
      <c r="M21" s="452"/>
      <c r="N21" s="42"/>
      <c r="O21" s="42"/>
      <c r="P21" s="42"/>
      <c r="Q21" s="42"/>
      <c r="R21" s="42"/>
      <c r="S21" s="42"/>
      <c r="T21" s="42"/>
      <c r="U21" s="42"/>
      <c r="V21" s="42"/>
    </row>
    <row r="22" spans="1:22" ht="18.95" customHeight="1" x14ac:dyDescent="0.25">
      <c r="A22" s="42"/>
      <c r="B22" s="337"/>
      <c r="C22" s="323"/>
      <c r="D22" s="451"/>
      <c r="E22" s="451"/>
      <c r="F22" s="451"/>
      <c r="G22" s="451"/>
      <c r="H22" s="451"/>
      <c r="I22" s="451"/>
      <c r="J22" s="451"/>
      <c r="K22" s="451"/>
      <c r="L22" s="451"/>
      <c r="M22" s="452"/>
      <c r="N22" s="42"/>
      <c r="O22" s="42"/>
      <c r="P22" s="42"/>
      <c r="Q22" s="42"/>
      <c r="R22" s="42"/>
      <c r="S22" s="42"/>
      <c r="T22" s="42"/>
      <c r="U22" s="42"/>
      <c r="V22" s="42"/>
    </row>
    <row r="23" spans="1:22" ht="35.1" customHeight="1" x14ac:dyDescent="0.25">
      <c r="A23" s="42"/>
      <c r="B23" s="336" t="s">
        <v>9</v>
      </c>
      <c r="C23" s="321">
        <v>0.1</v>
      </c>
      <c r="D23" s="451"/>
      <c r="E23" s="451"/>
      <c r="F23" s="451"/>
      <c r="G23" s="451"/>
      <c r="H23" s="451"/>
      <c r="I23" s="451"/>
      <c r="J23" s="451"/>
      <c r="K23" s="451"/>
      <c r="L23" s="451"/>
      <c r="M23" s="452"/>
      <c r="N23" s="42"/>
      <c r="O23" s="42"/>
      <c r="P23" s="42"/>
      <c r="Q23" s="42"/>
      <c r="R23" s="42"/>
      <c r="S23" s="42"/>
      <c r="T23" s="42"/>
      <c r="U23" s="42"/>
      <c r="V23" s="42"/>
    </row>
    <row r="24" spans="1:22" ht="17.100000000000001" customHeight="1" x14ac:dyDescent="0.25">
      <c r="A24" s="42"/>
      <c r="B24" s="338"/>
      <c r="C24" s="322"/>
      <c r="D24" s="451"/>
      <c r="E24" s="451"/>
      <c r="F24" s="451"/>
      <c r="G24" s="451"/>
      <c r="H24" s="451"/>
      <c r="I24" s="451"/>
      <c r="J24" s="451"/>
      <c r="K24" s="451"/>
      <c r="L24" s="451"/>
      <c r="M24" s="452"/>
      <c r="N24" s="42"/>
      <c r="O24" s="42"/>
      <c r="P24" s="42"/>
      <c r="Q24" s="42"/>
      <c r="R24" s="42"/>
      <c r="S24" s="42"/>
      <c r="T24" s="42"/>
      <c r="U24" s="42"/>
      <c r="V24" s="42"/>
    </row>
    <row r="25" spans="1:22" ht="17.100000000000001" customHeight="1" x14ac:dyDescent="0.25">
      <c r="A25" s="42"/>
      <c r="B25" s="339"/>
      <c r="C25" s="324"/>
      <c r="D25" s="451"/>
      <c r="E25" s="451"/>
      <c r="F25" s="451"/>
      <c r="G25" s="451"/>
      <c r="H25" s="451"/>
      <c r="I25" s="451"/>
      <c r="J25" s="451"/>
      <c r="K25" s="451"/>
      <c r="L25" s="451"/>
      <c r="M25" s="452"/>
      <c r="N25" s="42"/>
      <c r="O25" s="42"/>
      <c r="P25" s="42"/>
      <c r="Q25" s="42"/>
      <c r="R25" s="42"/>
      <c r="S25" s="42"/>
      <c r="T25" s="42"/>
      <c r="U25" s="42"/>
      <c r="V25" s="42"/>
    </row>
    <row r="26" spans="1:22" ht="24.95" customHeight="1" x14ac:dyDescent="0.25">
      <c r="A26" s="42"/>
      <c r="B26" s="42"/>
      <c r="C26" s="42"/>
      <c r="D26" s="42"/>
      <c r="E26" s="42"/>
      <c r="F26" s="42"/>
      <c r="G26" s="42"/>
      <c r="H26" s="42"/>
      <c r="I26" s="42"/>
      <c r="J26" s="42"/>
      <c r="K26" s="42"/>
      <c r="L26" s="42"/>
      <c r="M26" s="42"/>
      <c r="N26" s="42"/>
      <c r="O26" s="42"/>
      <c r="P26" s="42"/>
      <c r="Q26" s="42"/>
      <c r="R26" s="42"/>
      <c r="S26" s="42"/>
      <c r="T26" s="42"/>
      <c r="U26" s="42"/>
      <c r="V26" s="42"/>
    </row>
    <row r="27" spans="1:22" ht="62.1" customHeight="1" x14ac:dyDescent="0.25">
      <c r="A27" s="150" t="s">
        <v>212</v>
      </c>
      <c r="B27" s="151" t="s">
        <v>193</v>
      </c>
      <c r="C27" s="149"/>
      <c r="D27" s="149"/>
      <c r="E27" s="149"/>
      <c r="F27" s="149"/>
      <c r="G27" s="149"/>
      <c r="H27" s="149"/>
      <c r="I27" s="149"/>
      <c r="J27" s="149"/>
      <c r="K27" s="149"/>
      <c r="L27" s="149"/>
      <c r="M27" s="149"/>
      <c r="N27" s="42"/>
      <c r="O27" s="42"/>
      <c r="P27" s="42"/>
      <c r="Q27" s="42"/>
      <c r="R27" s="42"/>
      <c r="S27" s="42"/>
      <c r="T27" s="42"/>
      <c r="U27" s="42"/>
      <c r="V27" s="42"/>
    </row>
    <row r="28" spans="1:22" ht="87" customHeight="1" x14ac:dyDescent="0.25">
      <c r="A28" s="42"/>
      <c r="B28" s="668" t="s">
        <v>531</v>
      </c>
      <c r="C28" s="668"/>
      <c r="D28" s="668"/>
      <c r="E28" s="668"/>
      <c r="F28" s="668"/>
      <c r="G28" s="668"/>
      <c r="H28" s="668"/>
      <c r="I28" s="668"/>
      <c r="J28" s="668"/>
      <c r="K28" s="668"/>
      <c r="L28" s="152"/>
      <c r="M28" s="152"/>
      <c r="N28" s="42"/>
      <c r="O28" s="42"/>
      <c r="P28" s="42"/>
      <c r="Q28" s="42"/>
      <c r="R28" s="42"/>
      <c r="S28" s="42"/>
      <c r="T28" s="42"/>
      <c r="U28" s="42"/>
      <c r="V28" s="42"/>
    </row>
    <row r="29" spans="1:22" ht="33" customHeight="1" x14ac:dyDescent="0.25">
      <c r="A29" s="42"/>
      <c r="B29" s="517" t="s">
        <v>561</v>
      </c>
      <c r="C29" s="664"/>
      <c r="D29" s="518" t="s">
        <v>195</v>
      </c>
      <c r="E29" s="155" t="s">
        <v>562</v>
      </c>
      <c r="F29" s="156"/>
      <c r="G29" s="156"/>
      <c r="H29" s="156"/>
      <c r="I29" s="156"/>
      <c r="J29" s="156"/>
      <c r="K29" s="156"/>
      <c r="L29" s="156"/>
      <c r="M29" s="156"/>
      <c r="N29" s="156"/>
      <c r="O29" s="156"/>
      <c r="P29" s="156"/>
      <c r="Q29" s="156"/>
      <c r="R29" s="156"/>
      <c r="S29" s="340"/>
      <c r="T29" s="42"/>
      <c r="U29" s="42"/>
      <c r="V29" s="42"/>
    </row>
    <row r="30" spans="1:22" ht="18.95" customHeight="1" x14ac:dyDescent="0.25">
      <c r="A30" s="42"/>
      <c r="B30" s="517"/>
      <c r="C30" s="664"/>
      <c r="D30" s="518"/>
      <c r="E30" s="437">
        <v>2018</v>
      </c>
      <c r="F30" s="437">
        <v>2019</v>
      </c>
      <c r="G30" s="437">
        <v>2020</v>
      </c>
      <c r="H30" s="439">
        <v>43831</v>
      </c>
      <c r="I30" s="439">
        <v>43862</v>
      </c>
      <c r="J30" s="439">
        <v>43891</v>
      </c>
      <c r="K30" s="439">
        <v>43922</v>
      </c>
      <c r="L30" s="439">
        <v>43952</v>
      </c>
      <c r="M30" s="439">
        <v>43983</v>
      </c>
      <c r="N30" s="439">
        <v>44013</v>
      </c>
      <c r="O30" s="439">
        <v>44044</v>
      </c>
      <c r="P30" s="439">
        <v>44075</v>
      </c>
      <c r="Q30" s="439">
        <v>44105</v>
      </c>
      <c r="R30" s="439">
        <v>44136</v>
      </c>
      <c r="S30" s="440">
        <v>44166</v>
      </c>
      <c r="T30" s="42"/>
      <c r="U30" s="42"/>
      <c r="V30" s="42"/>
    </row>
    <row r="31" spans="1:22" ht="18.95" customHeight="1" x14ac:dyDescent="0.25">
      <c r="A31" s="42"/>
      <c r="B31" s="665" t="s">
        <v>200</v>
      </c>
      <c r="C31" s="666"/>
      <c r="D31" s="157"/>
      <c r="E31" s="438"/>
      <c r="F31" s="438"/>
      <c r="G31" s="438"/>
      <c r="H31" s="441"/>
      <c r="I31" s="441"/>
      <c r="J31" s="441"/>
      <c r="K31" s="441"/>
      <c r="L31" s="441"/>
      <c r="M31" s="441"/>
      <c r="N31" s="441"/>
      <c r="O31" s="441"/>
      <c r="P31" s="441"/>
      <c r="Q31" s="441"/>
      <c r="R31" s="441"/>
      <c r="S31" s="442"/>
      <c r="T31" s="42"/>
      <c r="U31" s="42"/>
      <c r="V31" s="42"/>
    </row>
    <row r="32" spans="1:22" ht="18.95" customHeight="1" x14ac:dyDescent="0.25">
      <c r="A32" s="42"/>
      <c r="B32" s="669" t="s">
        <v>285</v>
      </c>
      <c r="C32" s="670"/>
      <c r="D32" s="157"/>
      <c r="E32" s="438"/>
      <c r="F32" s="438"/>
      <c r="G32" s="438"/>
      <c r="H32" s="441"/>
      <c r="I32" s="441"/>
      <c r="J32" s="441"/>
      <c r="K32" s="441"/>
      <c r="L32" s="441"/>
      <c r="M32" s="441"/>
      <c r="N32" s="441"/>
      <c r="O32" s="441"/>
      <c r="P32" s="441"/>
      <c r="Q32" s="441"/>
      <c r="R32" s="441"/>
      <c r="S32" s="442"/>
      <c r="T32" s="42"/>
      <c r="U32" s="42"/>
      <c r="V32" s="42"/>
    </row>
    <row r="33" spans="1:22" ht="18.95" customHeight="1" x14ac:dyDescent="0.25">
      <c r="A33" s="42"/>
      <c r="B33" s="669" t="s">
        <v>196</v>
      </c>
      <c r="C33" s="670"/>
      <c r="D33" s="157"/>
      <c r="E33" s="438"/>
      <c r="F33" s="438"/>
      <c r="G33" s="438"/>
      <c r="H33" s="441"/>
      <c r="I33" s="441"/>
      <c r="J33" s="441"/>
      <c r="K33" s="441"/>
      <c r="L33" s="441"/>
      <c r="M33" s="441"/>
      <c r="N33" s="441"/>
      <c r="O33" s="441"/>
      <c r="P33" s="441"/>
      <c r="Q33" s="441"/>
      <c r="R33" s="441"/>
      <c r="S33" s="442"/>
      <c r="T33" s="42"/>
      <c r="U33" s="42"/>
      <c r="V33" s="42"/>
    </row>
    <row r="34" spans="1:22" ht="18.95" customHeight="1" x14ac:dyDescent="0.25">
      <c r="A34" s="42"/>
      <c r="B34" s="669" t="s">
        <v>198</v>
      </c>
      <c r="C34" s="670"/>
      <c r="D34" s="157"/>
      <c r="E34" s="438"/>
      <c r="F34" s="438"/>
      <c r="G34" s="438"/>
      <c r="H34" s="441"/>
      <c r="I34" s="441"/>
      <c r="J34" s="441"/>
      <c r="K34" s="441"/>
      <c r="L34" s="441"/>
      <c r="M34" s="441"/>
      <c r="N34" s="441"/>
      <c r="O34" s="441"/>
      <c r="P34" s="441"/>
      <c r="Q34" s="441"/>
      <c r="R34" s="441"/>
      <c r="S34" s="442"/>
      <c r="T34" s="42"/>
      <c r="U34" s="42"/>
      <c r="V34" s="42"/>
    </row>
    <row r="35" spans="1:22" ht="18.95" customHeight="1" x14ac:dyDescent="0.25">
      <c r="A35" s="42"/>
      <c r="B35" s="669"/>
      <c r="C35" s="670"/>
      <c r="D35" s="157"/>
      <c r="E35" s="438"/>
      <c r="F35" s="438"/>
      <c r="G35" s="438"/>
      <c r="H35" s="441"/>
      <c r="I35" s="441"/>
      <c r="J35" s="441"/>
      <c r="K35" s="441"/>
      <c r="L35" s="441"/>
      <c r="M35" s="441"/>
      <c r="N35" s="441"/>
      <c r="O35" s="441"/>
      <c r="P35" s="441"/>
      <c r="Q35" s="441"/>
      <c r="R35" s="441"/>
      <c r="S35" s="442"/>
      <c r="T35" s="42"/>
      <c r="U35" s="42"/>
      <c r="V35" s="42"/>
    </row>
    <row r="36" spans="1:22" ht="18.95" customHeight="1" x14ac:dyDescent="0.25">
      <c r="A36" s="42"/>
      <c r="B36" s="665" t="s">
        <v>409</v>
      </c>
      <c r="C36" s="666"/>
      <c r="D36" s="157"/>
      <c r="E36" s="438"/>
      <c r="F36" s="438"/>
      <c r="G36" s="438"/>
      <c r="H36" s="441"/>
      <c r="I36" s="441"/>
      <c r="J36" s="441"/>
      <c r="K36" s="441"/>
      <c r="L36" s="441"/>
      <c r="M36" s="441"/>
      <c r="N36" s="441"/>
      <c r="O36" s="441"/>
      <c r="P36" s="441"/>
      <c r="Q36" s="441"/>
      <c r="R36" s="441"/>
      <c r="S36" s="442"/>
      <c r="T36" s="42"/>
      <c r="U36" s="42"/>
      <c r="V36" s="42"/>
    </row>
    <row r="37" spans="1:22" ht="18.95" customHeight="1" x14ac:dyDescent="0.25">
      <c r="A37" s="42"/>
      <c r="B37" s="669" t="s">
        <v>285</v>
      </c>
      <c r="C37" s="670"/>
      <c r="D37" s="157"/>
      <c r="E37" s="438"/>
      <c r="F37" s="438"/>
      <c r="G37" s="438"/>
      <c r="H37" s="441"/>
      <c r="I37" s="441"/>
      <c r="J37" s="441"/>
      <c r="K37" s="441"/>
      <c r="L37" s="441"/>
      <c r="M37" s="441"/>
      <c r="N37" s="441"/>
      <c r="O37" s="441"/>
      <c r="P37" s="441"/>
      <c r="Q37" s="441"/>
      <c r="R37" s="441"/>
      <c r="S37" s="442"/>
      <c r="T37" s="42"/>
      <c r="U37" s="42"/>
      <c r="V37" s="42"/>
    </row>
    <row r="38" spans="1:22" ht="18.95" customHeight="1" x14ac:dyDescent="0.25">
      <c r="A38" s="42"/>
      <c r="B38" s="669" t="s">
        <v>196</v>
      </c>
      <c r="C38" s="670"/>
      <c r="D38" s="157"/>
      <c r="E38" s="438"/>
      <c r="F38" s="438"/>
      <c r="G38" s="438"/>
      <c r="H38" s="441"/>
      <c r="I38" s="441"/>
      <c r="J38" s="441"/>
      <c r="K38" s="441"/>
      <c r="L38" s="441"/>
      <c r="M38" s="441"/>
      <c r="N38" s="441"/>
      <c r="O38" s="441"/>
      <c r="P38" s="441"/>
      <c r="Q38" s="441"/>
      <c r="R38" s="441"/>
      <c r="S38" s="442"/>
      <c r="T38" s="42"/>
      <c r="U38" s="42"/>
      <c r="V38" s="42"/>
    </row>
    <row r="39" spans="1:22" ht="18.95" customHeight="1" x14ac:dyDescent="0.25">
      <c r="A39" s="42"/>
      <c r="B39" s="669" t="s">
        <v>199</v>
      </c>
      <c r="C39" s="670"/>
      <c r="D39" s="157"/>
      <c r="E39" s="438"/>
      <c r="F39" s="438"/>
      <c r="G39" s="438"/>
      <c r="H39" s="441"/>
      <c r="I39" s="441"/>
      <c r="J39" s="441"/>
      <c r="K39" s="441"/>
      <c r="L39" s="441"/>
      <c r="M39" s="441"/>
      <c r="N39" s="441"/>
      <c r="O39" s="441"/>
      <c r="P39" s="441"/>
      <c r="Q39" s="441"/>
      <c r="R39" s="441"/>
      <c r="S39" s="442"/>
      <c r="T39" s="42"/>
      <c r="U39" s="42"/>
      <c r="V39" s="42"/>
    </row>
    <row r="40" spans="1:22" ht="18.95" customHeight="1" x14ac:dyDescent="0.25">
      <c r="A40" s="42"/>
      <c r="B40" s="669" t="s">
        <v>197</v>
      </c>
      <c r="C40" s="670"/>
      <c r="D40" s="157"/>
      <c r="E40" s="438"/>
      <c r="F40" s="438"/>
      <c r="G40" s="438"/>
      <c r="H40" s="441"/>
      <c r="I40" s="441"/>
      <c r="J40" s="441"/>
      <c r="K40" s="441"/>
      <c r="L40" s="441"/>
      <c r="M40" s="441"/>
      <c r="N40" s="441"/>
      <c r="O40" s="441"/>
      <c r="P40" s="441"/>
      <c r="Q40" s="441"/>
      <c r="R40" s="441"/>
      <c r="S40" s="442"/>
      <c r="T40" s="42"/>
      <c r="U40" s="42"/>
      <c r="V40" s="42"/>
    </row>
    <row r="41" spans="1:22" ht="18.95" customHeight="1" x14ac:dyDescent="0.25">
      <c r="A41" s="42"/>
      <c r="B41" s="669" t="s">
        <v>198</v>
      </c>
      <c r="C41" s="670"/>
      <c r="D41" s="157"/>
      <c r="E41" s="438"/>
      <c r="F41" s="438"/>
      <c r="G41" s="438"/>
      <c r="H41" s="441"/>
      <c r="I41" s="441"/>
      <c r="J41" s="441"/>
      <c r="K41" s="441"/>
      <c r="L41" s="441"/>
      <c r="M41" s="441"/>
      <c r="N41" s="441"/>
      <c r="O41" s="441"/>
      <c r="P41" s="441"/>
      <c r="Q41" s="441"/>
      <c r="R41" s="441"/>
      <c r="S41" s="442"/>
      <c r="T41" s="42"/>
      <c r="U41" s="42"/>
      <c r="V41" s="42"/>
    </row>
    <row r="42" spans="1:22" ht="18.95" customHeight="1" x14ac:dyDescent="0.25">
      <c r="A42" s="42"/>
      <c r="B42" s="669"/>
      <c r="C42" s="670"/>
      <c r="D42" s="157"/>
      <c r="E42" s="438"/>
      <c r="F42" s="438"/>
      <c r="G42" s="438"/>
      <c r="H42" s="441"/>
      <c r="I42" s="441"/>
      <c r="J42" s="441"/>
      <c r="K42" s="441"/>
      <c r="L42" s="441"/>
      <c r="M42" s="441"/>
      <c r="N42" s="441"/>
      <c r="O42" s="441"/>
      <c r="P42" s="441"/>
      <c r="Q42" s="441"/>
      <c r="R42" s="441"/>
      <c r="S42" s="442"/>
      <c r="T42" s="42"/>
      <c r="U42" s="42"/>
      <c r="V42" s="42"/>
    </row>
    <row r="43" spans="1:22" ht="18.95" customHeight="1" x14ac:dyDescent="0.25">
      <c r="A43" s="42"/>
      <c r="B43" s="665" t="s">
        <v>410</v>
      </c>
      <c r="C43" s="666"/>
      <c r="D43" s="157"/>
      <c r="E43" s="438"/>
      <c r="F43" s="438"/>
      <c r="G43" s="438"/>
      <c r="H43" s="441"/>
      <c r="I43" s="441"/>
      <c r="J43" s="441"/>
      <c r="K43" s="441"/>
      <c r="L43" s="441"/>
      <c r="M43" s="441"/>
      <c r="N43" s="441"/>
      <c r="O43" s="441"/>
      <c r="P43" s="441"/>
      <c r="Q43" s="441"/>
      <c r="R43" s="441"/>
      <c r="S43" s="442"/>
      <c r="T43" s="42"/>
      <c r="U43" s="42"/>
      <c r="V43" s="42"/>
    </row>
    <row r="44" spans="1:22" ht="18.95" customHeight="1" x14ac:dyDescent="0.25">
      <c r="A44" s="42"/>
      <c r="B44" s="669" t="s">
        <v>285</v>
      </c>
      <c r="C44" s="670"/>
      <c r="D44" s="157"/>
      <c r="E44" s="438"/>
      <c r="F44" s="438"/>
      <c r="G44" s="438"/>
      <c r="H44" s="441"/>
      <c r="I44" s="441"/>
      <c r="J44" s="441"/>
      <c r="K44" s="441"/>
      <c r="L44" s="441"/>
      <c r="M44" s="441"/>
      <c r="N44" s="441"/>
      <c r="O44" s="441"/>
      <c r="P44" s="441"/>
      <c r="Q44" s="441"/>
      <c r="R44" s="441"/>
      <c r="S44" s="442"/>
      <c r="T44" s="42"/>
      <c r="U44" s="42"/>
      <c r="V44" s="42"/>
    </row>
    <row r="45" spans="1:22" ht="18.95" customHeight="1" x14ac:dyDescent="0.25">
      <c r="A45" s="42"/>
      <c r="B45" s="669" t="s">
        <v>196</v>
      </c>
      <c r="C45" s="670"/>
      <c r="D45" s="157"/>
      <c r="E45" s="438"/>
      <c r="F45" s="438"/>
      <c r="G45" s="438"/>
      <c r="H45" s="441"/>
      <c r="I45" s="441"/>
      <c r="J45" s="441"/>
      <c r="K45" s="441"/>
      <c r="L45" s="441"/>
      <c r="M45" s="441"/>
      <c r="N45" s="441"/>
      <c r="O45" s="441"/>
      <c r="P45" s="441"/>
      <c r="Q45" s="441"/>
      <c r="R45" s="441"/>
      <c r="S45" s="442"/>
      <c r="T45" s="42"/>
      <c r="U45" s="42"/>
      <c r="V45" s="42"/>
    </row>
    <row r="46" spans="1:22" ht="18.95" customHeight="1" x14ac:dyDescent="0.25">
      <c r="A46" s="42"/>
      <c r="B46" s="669" t="s">
        <v>198</v>
      </c>
      <c r="C46" s="670"/>
      <c r="D46" s="157"/>
      <c r="E46" s="438"/>
      <c r="F46" s="438"/>
      <c r="G46" s="438"/>
      <c r="H46" s="441"/>
      <c r="I46" s="441"/>
      <c r="J46" s="441"/>
      <c r="K46" s="441"/>
      <c r="L46" s="441"/>
      <c r="M46" s="441"/>
      <c r="N46" s="441"/>
      <c r="O46" s="441"/>
      <c r="P46" s="441"/>
      <c r="Q46" s="441"/>
      <c r="R46" s="441"/>
      <c r="S46" s="442"/>
      <c r="T46" s="42"/>
      <c r="U46" s="42"/>
      <c r="V46" s="42"/>
    </row>
    <row r="47" spans="1:22" ht="18.95" customHeight="1" x14ac:dyDescent="0.25">
      <c r="A47" s="42"/>
      <c r="B47" s="669"/>
      <c r="C47" s="670"/>
      <c r="D47" s="157"/>
      <c r="E47" s="438"/>
      <c r="F47" s="438"/>
      <c r="G47" s="438"/>
      <c r="H47" s="441"/>
      <c r="I47" s="441"/>
      <c r="J47" s="441"/>
      <c r="K47" s="441"/>
      <c r="L47" s="441"/>
      <c r="M47" s="441"/>
      <c r="N47" s="441"/>
      <c r="O47" s="441"/>
      <c r="P47" s="441"/>
      <c r="Q47" s="441"/>
      <c r="R47" s="441"/>
      <c r="S47" s="442"/>
      <c r="T47" s="42"/>
      <c r="U47" s="42"/>
      <c r="V47" s="42"/>
    </row>
    <row r="48" spans="1:22" ht="18.95" customHeight="1" x14ac:dyDescent="0.25">
      <c r="A48" s="42"/>
      <c r="B48" s="665" t="s">
        <v>411</v>
      </c>
      <c r="C48" s="666"/>
      <c r="D48" s="157"/>
      <c r="E48" s="438"/>
      <c r="F48" s="438"/>
      <c r="G48" s="438"/>
      <c r="H48" s="441"/>
      <c r="I48" s="441"/>
      <c r="J48" s="441"/>
      <c r="K48" s="441"/>
      <c r="L48" s="441"/>
      <c r="M48" s="441"/>
      <c r="N48" s="441"/>
      <c r="O48" s="441"/>
      <c r="P48" s="441"/>
      <c r="Q48" s="441"/>
      <c r="R48" s="441"/>
      <c r="S48" s="442"/>
      <c r="T48" s="42"/>
      <c r="U48" s="42"/>
      <c r="V48" s="42"/>
    </row>
    <row r="49" spans="1:22" ht="18.95" customHeight="1" x14ac:dyDescent="0.25">
      <c r="A49" s="42"/>
      <c r="B49" s="669" t="s">
        <v>285</v>
      </c>
      <c r="C49" s="670"/>
      <c r="D49" s="157"/>
      <c r="E49" s="438"/>
      <c r="F49" s="438"/>
      <c r="G49" s="438"/>
      <c r="H49" s="441"/>
      <c r="I49" s="441"/>
      <c r="J49" s="441"/>
      <c r="K49" s="441"/>
      <c r="L49" s="441"/>
      <c r="M49" s="441"/>
      <c r="N49" s="441"/>
      <c r="O49" s="441"/>
      <c r="P49" s="441"/>
      <c r="Q49" s="441"/>
      <c r="R49" s="441"/>
      <c r="S49" s="442"/>
      <c r="T49" s="42"/>
      <c r="U49" s="42"/>
      <c r="V49" s="42"/>
    </row>
    <row r="50" spans="1:22" ht="18.95" customHeight="1" x14ac:dyDescent="0.25">
      <c r="A50" s="42"/>
      <c r="B50" s="669" t="s">
        <v>196</v>
      </c>
      <c r="C50" s="670"/>
      <c r="D50" s="157"/>
      <c r="E50" s="438"/>
      <c r="F50" s="438"/>
      <c r="G50" s="438"/>
      <c r="H50" s="441"/>
      <c r="I50" s="441"/>
      <c r="J50" s="441"/>
      <c r="K50" s="441"/>
      <c r="L50" s="441"/>
      <c r="M50" s="441"/>
      <c r="N50" s="441"/>
      <c r="O50" s="441"/>
      <c r="P50" s="441"/>
      <c r="Q50" s="441"/>
      <c r="R50" s="441"/>
      <c r="S50" s="442"/>
      <c r="T50" s="42"/>
      <c r="U50" s="42"/>
      <c r="V50" s="42"/>
    </row>
    <row r="51" spans="1:22" ht="18.95" customHeight="1" x14ac:dyDescent="0.25">
      <c r="A51" s="42"/>
      <c r="B51" s="669" t="s">
        <v>198</v>
      </c>
      <c r="C51" s="670"/>
      <c r="D51" s="157"/>
      <c r="E51" s="438"/>
      <c r="F51" s="438"/>
      <c r="G51" s="438"/>
      <c r="H51" s="441"/>
      <c r="I51" s="441"/>
      <c r="J51" s="441"/>
      <c r="K51" s="441"/>
      <c r="L51" s="441"/>
      <c r="M51" s="441"/>
      <c r="N51" s="441"/>
      <c r="O51" s="441"/>
      <c r="P51" s="441"/>
      <c r="Q51" s="441"/>
      <c r="R51" s="441"/>
      <c r="S51" s="442"/>
      <c r="T51" s="42"/>
      <c r="U51" s="42"/>
      <c r="V51" s="42"/>
    </row>
    <row r="52" spans="1:22" ht="18.95" customHeight="1" x14ac:dyDescent="0.25">
      <c r="A52" s="42"/>
      <c r="B52" s="669"/>
      <c r="C52" s="670"/>
      <c r="D52" s="157"/>
      <c r="E52" s="438"/>
      <c r="F52" s="438"/>
      <c r="G52" s="438"/>
      <c r="H52" s="441"/>
      <c r="I52" s="441"/>
      <c r="J52" s="441"/>
      <c r="K52" s="441"/>
      <c r="L52" s="441"/>
      <c r="M52" s="441"/>
      <c r="N52" s="441"/>
      <c r="O52" s="441"/>
      <c r="P52" s="441"/>
      <c r="Q52" s="441"/>
      <c r="R52" s="441"/>
      <c r="S52" s="442"/>
      <c r="T52" s="42"/>
      <c r="U52" s="42"/>
      <c r="V52" s="42"/>
    </row>
    <row r="53" spans="1:22" ht="18.95" customHeight="1" x14ac:dyDescent="0.25">
      <c r="A53" s="42"/>
      <c r="B53" s="665" t="s">
        <v>412</v>
      </c>
      <c r="C53" s="666"/>
      <c r="D53" s="157"/>
      <c r="E53" s="438"/>
      <c r="F53" s="438"/>
      <c r="G53" s="438"/>
      <c r="H53" s="441"/>
      <c r="I53" s="441"/>
      <c r="J53" s="441"/>
      <c r="K53" s="441"/>
      <c r="L53" s="441"/>
      <c r="M53" s="441"/>
      <c r="N53" s="441"/>
      <c r="O53" s="441"/>
      <c r="P53" s="441"/>
      <c r="Q53" s="441"/>
      <c r="R53" s="441"/>
      <c r="S53" s="442"/>
      <c r="T53" s="42"/>
      <c r="U53" s="42"/>
      <c r="V53" s="42"/>
    </row>
    <row r="54" spans="1:22" ht="18.95" customHeight="1" x14ac:dyDescent="0.25">
      <c r="A54" s="42"/>
      <c r="B54" s="669" t="s">
        <v>285</v>
      </c>
      <c r="C54" s="670"/>
      <c r="D54" s="157"/>
      <c r="E54" s="438"/>
      <c r="F54" s="438"/>
      <c r="G54" s="438"/>
      <c r="H54" s="441"/>
      <c r="I54" s="441"/>
      <c r="J54" s="441"/>
      <c r="K54" s="441"/>
      <c r="L54" s="441"/>
      <c r="M54" s="441"/>
      <c r="N54" s="441"/>
      <c r="O54" s="441"/>
      <c r="P54" s="441"/>
      <c r="Q54" s="441"/>
      <c r="R54" s="441"/>
      <c r="S54" s="442"/>
      <c r="T54" s="42"/>
      <c r="U54" s="42"/>
      <c r="V54" s="42"/>
    </row>
    <row r="55" spans="1:22" ht="18.95" customHeight="1" x14ac:dyDescent="0.25">
      <c r="A55" s="42"/>
      <c r="B55" s="669" t="s">
        <v>196</v>
      </c>
      <c r="C55" s="670"/>
      <c r="D55" s="157"/>
      <c r="E55" s="438"/>
      <c r="F55" s="438"/>
      <c r="G55" s="438"/>
      <c r="H55" s="441"/>
      <c r="I55" s="441"/>
      <c r="J55" s="441"/>
      <c r="K55" s="441"/>
      <c r="L55" s="441"/>
      <c r="M55" s="441"/>
      <c r="N55" s="441"/>
      <c r="O55" s="441"/>
      <c r="P55" s="441"/>
      <c r="Q55" s="441"/>
      <c r="R55" s="441"/>
      <c r="S55" s="442"/>
      <c r="T55" s="42"/>
      <c r="U55" s="42"/>
      <c r="V55" s="42"/>
    </row>
    <row r="56" spans="1:22" ht="18.95" customHeight="1" x14ac:dyDescent="0.25">
      <c r="A56" s="42"/>
      <c r="B56" s="669" t="s">
        <v>199</v>
      </c>
      <c r="C56" s="670"/>
      <c r="D56" s="157"/>
      <c r="E56" s="438"/>
      <c r="F56" s="438"/>
      <c r="G56" s="438"/>
      <c r="H56" s="441"/>
      <c r="I56" s="441"/>
      <c r="J56" s="441"/>
      <c r="K56" s="441"/>
      <c r="L56" s="441"/>
      <c r="M56" s="441"/>
      <c r="N56" s="441"/>
      <c r="O56" s="441"/>
      <c r="P56" s="441"/>
      <c r="Q56" s="441"/>
      <c r="R56" s="441"/>
      <c r="S56" s="442"/>
      <c r="T56" s="42"/>
      <c r="U56" s="42"/>
      <c r="V56" s="42"/>
    </row>
    <row r="57" spans="1:22" ht="18.95" customHeight="1" x14ac:dyDescent="0.25">
      <c r="A57" s="42"/>
      <c r="B57" s="669" t="s">
        <v>197</v>
      </c>
      <c r="C57" s="670"/>
      <c r="D57" s="157"/>
      <c r="E57" s="438"/>
      <c r="F57" s="438"/>
      <c r="G57" s="438"/>
      <c r="H57" s="441"/>
      <c r="I57" s="441"/>
      <c r="J57" s="441"/>
      <c r="K57" s="441"/>
      <c r="L57" s="441"/>
      <c r="M57" s="441"/>
      <c r="N57" s="441"/>
      <c r="O57" s="441"/>
      <c r="P57" s="441"/>
      <c r="Q57" s="441"/>
      <c r="R57" s="441"/>
      <c r="S57" s="442"/>
      <c r="T57" s="42"/>
      <c r="U57" s="42"/>
      <c r="V57" s="42"/>
    </row>
    <row r="58" spans="1:22" ht="18.95" customHeight="1" x14ac:dyDescent="0.25">
      <c r="A58" s="42"/>
      <c r="B58" s="669" t="s">
        <v>198</v>
      </c>
      <c r="C58" s="670"/>
      <c r="D58" s="157"/>
      <c r="E58" s="438"/>
      <c r="F58" s="438"/>
      <c r="G58" s="438"/>
      <c r="H58" s="441"/>
      <c r="I58" s="441"/>
      <c r="J58" s="441"/>
      <c r="K58" s="441"/>
      <c r="L58" s="441"/>
      <c r="M58" s="441"/>
      <c r="N58" s="441"/>
      <c r="O58" s="441"/>
      <c r="P58" s="441"/>
      <c r="Q58" s="441"/>
      <c r="R58" s="441"/>
      <c r="S58" s="442"/>
      <c r="T58" s="42"/>
      <c r="U58" s="42"/>
      <c r="V58" s="42"/>
    </row>
    <row r="59" spans="1:22" ht="18.95" customHeight="1" x14ac:dyDescent="0.25">
      <c r="A59" s="42"/>
      <c r="B59" s="669"/>
      <c r="C59" s="670"/>
      <c r="D59" s="157"/>
      <c r="E59" s="438"/>
      <c r="F59" s="438"/>
      <c r="G59" s="438"/>
      <c r="H59" s="441"/>
      <c r="I59" s="441"/>
      <c r="J59" s="441"/>
      <c r="K59" s="441"/>
      <c r="L59" s="441"/>
      <c r="M59" s="441"/>
      <c r="N59" s="441"/>
      <c r="O59" s="441"/>
      <c r="P59" s="441"/>
      <c r="Q59" s="441"/>
      <c r="R59" s="441"/>
      <c r="S59" s="442"/>
      <c r="T59" s="42"/>
      <c r="U59" s="42"/>
      <c r="V59" s="42"/>
    </row>
    <row r="60" spans="1:22" ht="26.1" customHeight="1" x14ac:dyDescent="0.25">
      <c r="A60" s="42"/>
      <c r="B60" s="660" t="s">
        <v>239</v>
      </c>
      <c r="C60" s="661"/>
      <c r="D60" s="661"/>
      <c r="E60" s="326">
        <f>SUM(E31:E59)</f>
        <v>0</v>
      </c>
      <c r="F60" s="326">
        <f t="shared" ref="F60:S60" si="0">SUM(F31:F59)</f>
        <v>0</v>
      </c>
      <c r="G60" s="326">
        <f t="shared" si="0"/>
        <v>0</v>
      </c>
      <c r="H60" s="326">
        <f t="shared" si="0"/>
        <v>0</v>
      </c>
      <c r="I60" s="326">
        <f t="shared" si="0"/>
        <v>0</v>
      </c>
      <c r="J60" s="326">
        <f t="shared" si="0"/>
        <v>0</v>
      </c>
      <c r="K60" s="326">
        <f t="shared" si="0"/>
        <v>0</v>
      </c>
      <c r="L60" s="326">
        <f t="shared" si="0"/>
        <v>0</v>
      </c>
      <c r="M60" s="326">
        <f t="shared" si="0"/>
        <v>0</v>
      </c>
      <c r="N60" s="326">
        <f t="shared" si="0"/>
        <v>0</v>
      </c>
      <c r="O60" s="326">
        <f t="shared" si="0"/>
        <v>0</v>
      </c>
      <c r="P60" s="326">
        <f t="shared" si="0"/>
        <v>0</v>
      </c>
      <c r="Q60" s="326">
        <f t="shared" si="0"/>
        <v>0</v>
      </c>
      <c r="R60" s="326">
        <f t="shared" si="0"/>
        <v>0</v>
      </c>
      <c r="S60" s="341">
        <f t="shared" si="0"/>
        <v>0</v>
      </c>
      <c r="T60" s="42"/>
      <c r="U60" s="42"/>
      <c r="V60" s="42"/>
    </row>
    <row r="61" spans="1:22" ht="11.1" customHeight="1" x14ac:dyDescent="0.25">
      <c r="A61" s="42"/>
      <c r="B61" s="327"/>
      <c r="C61" s="327"/>
      <c r="D61" s="327"/>
      <c r="E61" s="327"/>
      <c r="F61" s="327"/>
      <c r="G61" s="328"/>
      <c r="H61" s="328"/>
      <c r="I61" s="328"/>
      <c r="J61" s="328"/>
      <c r="K61" s="328"/>
      <c r="L61" s="328"/>
      <c r="M61" s="328"/>
      <c r="N61" s="328"/>
      <c r="O61" s="328"/>
      <c r="P61" s="328"/>
      <c r="Q61" s="329"/>
      <c r="R61" s="329"/>
      <c r="S61" s="329"/>
      <c r="T61" s="42"/>
      <c r="U61" s="42"/>
      <c r="V61" s="42"/>
    </row>
    <row r="62" spans="1:22" ht="24.95" customHeight="1" x14ac:dyDescent="0.25">
      <c r="A62" s="42"/>
      <c r="B62" s="517" t="s">
        <v>201</v>
      </c>
      <c r="C62" s="664"/>
      <c r="D62" s="664"/>
      <c r="E62" s="155" t="s">
        <v>284</v>
      </c>
      <c r="F62" s="155"/>
      <c r="G62" s="155"/>
      <c r="H62" s="155"/>
      <c r="I62" s="155"/>
      <c r="J62" s="155"/>
      <c r="K62" s="155"/>
      <c r="L62" s="155"/>
      <c r="M62" s="155"/>
      <c r="N62" s="155"/>
      <c r="O62" s="155"/>
      <c r="P62" s="155"/>
      <c r="Q62" s="155"/>
      <c r="R62" s="155"/>
      <c r="S62" s="342"/>
      <c r="T62" s="42"/>
      <c r="U62" s="42"/>
      <c r="V62" s="42"/>
    </row>
    <row r="63" spans="1:22" ht="24.95" customHeight="1" x14ac:dyDescent="0.25">
      <c r="A63" s="42"/>
      <c r="B63" s="517"/>
      <c r="C63" s="664"/>
      <c r="D63" s="664"/>
      <c r="E63" s="437">
        <v>2018</v>
      </c>
      <c r="F63" s="437">
        <v>2019</v>
      </c>
      <c r="G63" s="437">
        <v>2020</v>
      </c>
      <c r="H63" s="439">
        <v>43831</v>
      </c>
      <c r="I63" s="439">
        <v>43862</v>
      </c>
      <c r="J63" s="439">
        <v>43891</v>
      </c>
      <c r="K63" s="439">
        <v>43922</v>
      </c>
      <c r="L63" s="439">
        <v>43952</v>
      </c>
      <c r="M63" s="439">
        <v>43983</v>
      </c>
      <c r="N63" s="439">
        <v>44013</v>
      </c>
      <c r="O63" s="439">
        <v>44044</v>
      </c>
      <c r="P63" s="439">
        <v>44075</v>
      </c>
      <c r="Q63" s="439">
        <v>44105</v>
      </c>
      <c r="R63" s="439">
        <v>44136</v>
      </c>
      <c r="S63" s="440">
        <v>44166</v>
      </c>
      <c r="T63" s="42"/>
      <c r="U63" s="42"/>
      <c r="V63" s="42"/>
    </row>
    <row r="64" spans="1:22" ht="24.95" customHeight="1" x14ac:dyDescent="0.25">
      <c r="A64" s="42"/>
      <c r="B64" s="665" t="s">
        <v>202</v>
      </c>
      <c r="C64" s="666"/>
      <c r="D64" s="158"/>
      <c r="E64" s="438"/>
      <c r="F64" s="438"/>
      <c r="G64" s="438"/>
      <c r="H64" s="441"/>
      <c r="I64" s="441"/>
      <c r="J64" s="441"/>
      <c r="K64" s="441"/>
      <c r="L64" s="441"/>
      <c r="M64" s="441"/>
      <c r="N64" s="441"/>
      <c r="O64" s="441"/>
      <c r="P64" s="441"/>
      <c r="Q64" s="441"/>
      <c r="R64" s="441"/>
      <c r="S64" s="442"/>
      <c r="T64" s="42"/>
      <c r="U64" s="42"/>
      <c r="V64" s="42"/>
    </row>
    <row r="65" spans="1:22" ht="24.95" customHeight="1" x14ac:dyDescent="0.25">
      <c r="A65" s="42"/>
      <c r="B65" s="665" t="s">
        <v>532</v>
      </c>
      <c r="C65" s="666"/>
      <c r="D65" s="158"/>
      <c r="E65" s="438"/>
      <c r="F65" s="438"/>
      <c r="G65" s="438"/>
      <c r="H65" s="441"/>
      <c r="I65" s="441"/>
      <c r="J65" s="441"/>
      <c r="K65" s="441"/>
      <c r="L65" s="441"/>
      <c r="M65" s="441"/>
      <c r="N65" s="441"/>
      <c r="O65" s="441"/>
      <c r="P65" s="441"/>
      <c r="Q65" s="441"/>
      <c r="R65" s="441"/>
      <c r="S65" s="442"/>
      <c r="T65" s="42"/>
      <c r="U65" s="42"/>
      <c r="V65" s="42"/>
    </row>
    <row r="66" spans="1:22" ht="24.95" customHeight="1" x14ac:dyDescent="0.25">
      <c r="A66" s="42"/>
      <c r="B66" s="665" t="s">
        <v>533</v>
      </c>
      <c r="C66" s="666"/>
      <c r="D66" s="158"/>
      <c r="E66" s="438"/>
      <c r="F66" s="438"/>
      <c r="G66" s="438"/>
      <c r="H66" s="441"/>
      <c r="I66" s="441"/>
      <c r="J66" s="441"/>
      <c r="K66" s="441"/>
      <c r="L66" s="441"/>
      <c r="M66" s="441"/>
      <c r="N66" s="441"/>
      <c r="O66" s="441"/>
      <c r="P66" s="441"/>
      <c r="Q66" s="441"/>
      <c r="R66" s="441"/>
      <c r="S66" s="442"/>
      <c r="T66" s="42"/>
      <c r="U66" s="42"/>
      <c r="V66" s="42"/>
    </row>
    <row r="67" spans="1:22" ht="24.95" customHeight="1" x14ac:dyDescent="0.25">
      <c r="A67" s="42"/>
      <c r="B67" s="665" t="s">
        <v>534</v>
      </c>
      <c r="C67" s="666"/>
      <c r="D67" s="158"/>
      <c r="E67" s="438"/>
      <c r="F67" s="438"/>
      <c r="G67" s="438"/>
      <c r="H67" s="441"/>
      <c r="I67" s="441"/>
      <c r="J67" s="441"/>
      <c r="K67" s="441"/>
      <c r="L67" s="441"/>
      <c r="M67" s="441"/>
      <c r="N67" s="441"/>
      <c r="O67" s="441"/>
      <c r="P67" s="441"/>
      <c r="Q67" s="441"/>
      <c r="R67" s="441"/>
      <c r="S67" s="442"/>
      <c r="T67" s="42"/>
      <c r="U67" s="42"/>
      <c r="V67" s="42"/>
    </row>
    <row r="68" spans="1:22" ht="24.95" customHeight="1" x14ac:dyDescent="0.25">
      <c r="A68" s="42"/>
      <c r="B68" s="665" t="s">
        <v>535</v>
      </c>
      <c r="C68" s="666"/>
      <c r="D68" s="158"/>
      <c r="E68" s="438"/>
      <c r="F68" s="438"/>
      <c r="G68" s="438"/>
      <c r="H68" s="441"/>
      <c r="I68" s="441"/>
      <c r="J68" s="441"/>
      <c r="K68" s="441"/>
      <c r="L68" s="441"/>
      <c r="M68" s="441"/>
      <c r="N68" s="441"/>
      <c r="O68" s="441"/>
      <c r="P68" s="441"/>
      <c r="Q68" s="441"/>
      <c r="R68" s="441"/>
      <c r="S68" s="442"/>
      <c r="T68" s="42"/>
      <c r="U68" s="42"/>
      <c r="V68" s="42"/>
    </row>
    <row r="69" spans="1:22" ht="24.95" customHeight="1" x14ac:dyDescent="0.25">
      <c r="A69" s="42"/>
      <c r="B69" s="660" t="s">
        <v>240</v>
      </c>
      <c r="C69" s="661"/>
      <c r="D69" s="661"/>
      <c r="E69" s="326">
        <f>SUM(E64:E68)</f>
        <v>0</v>
      </c>
      <c r="F69" s="326">
        <f t="shared" ref="F69:S69" si="1">SUM(F64:F68)</f>
        <v>0</v>
      </c>
      <c r="G69" s="326">
        <f t="shared" si="1"/>
        <v>0</v>
      </c>
      <c r="H69" s="326">
        <f t="shared" si="1"/>
        <v>0</v>
      </c>
      <c r="I69" s="326">
        <f t="shared" si="1"/>
        <v>0</v>
      </c>
      <c r="J69" s="326">
        <f t="shared" si="1"/>
        <v>0</v>
      </c>
      <c r="K69" s="326">
        <f t="shared" si="1"/>
        <v>0</v>
      </c>
      <c r="L69" s="326">
        <f t="shared" si="1"/>
        <v>0</v>
      </c>
      <c r="M69" s="326">
        <f t="shared" si="1"/>
        <v>0</v>
      </c>
      <c r="N69" s="326">
        <f t="shared" si="1"/>
        <v>0</v>
      </c>
      <c r="O69" s="326">
        <f t="shared" si="1"/>
        <v>0</v>
      </c>
      <c r="P69" s="326">
        <f t="shared" si="1"/>
        <v>0</v>
      </c>
      <c r="Q69" s="326">
        <f t="shared" si="1"/>
        <v>0</v>
      </c>
      <c r="R69" s="326">
        <f t="shared" si="1"/>
        <v>0</v>
      </c>
      <c r="S69" s="341">
        <f t="shared" si="1"/>
        <v>0</v>
      </c>
      <c r="T69" s="42"/>
      <c r="U69" s="42"/>
      <c r="V69" s="42"/>
    </row>
    <row r="70" spans="1:22" ht="11.1" customHeight="1" x14ac:dyDescent="0.25">
      <c r="A70" s="42"/>
      <c r="B70" s="327"/>
      <c r="C70" s="327"/>
      <c r="D70" s="327"/>
      <c r="E70" s="327"/>
      <c r="F70" s="327"/>
      <c r="G70" s="327"/>
      <c r="H70" s="327"/>
      <c r="I70" s="327"/>
      <c r="J70" s="327"/>
      <c r="K70" s="327"/>
      <c r="L70" s="327"/>
      <c r="M70" s="327"/>
      <c r="N70" s="327"/>
      <c r="O70" s="327"/>
      <c r="P70" s="327"/>
      <c r="Q70" s="330"/>
      <c r="R70" s="330"/>
      <c r="S70" s="330"/>
      <c r="T70" s="42"/>
      <c r="U70" s="42"/>
      <c r="V70" s="42"/>
    </row>
    <row r="71" spans="1:22" ht="24.95" customHeight="1" x14ac:dyDescent="0.25">
      <c r="A71" s="42"/>
      <c r="B71" s="517" t="s">
        <v>556</v>
      </c>
      <c r="C71" s="664"/>
      <c r="D71" s="664"/>
      <c r="E71" s="155" t="s">
        <v>283</v>
      </c>
      <c r="F71" s="155"/>
      <c r="G71" s="155"/>
      <c r="H71" s="155"/>
      <c r="I71" s="155"/>
      <c r="J71" s="155"/>
      <c r="K71" s="155"/>
      <c r="L71" s="155"/>
      <c r="M71" s="155"/>
      <c r="N71" s="155"/>
      <c r="O71" s="155"/>
      <c r="P71" s="155"/>
      <c r="Q71" s="155"/>
      <c r="R71" s="155"/>
      <c r="S71" s="342"/>
      <c r="T71" s="42"/>
      <c r="U71" s="42"/>
      <c r="V71" s="42"/>
    </row>
    <row r="72" spans="1:22" ht="24.95" customHeight="1" x14ac:dyDescent="0.25">
      <c r="A72" s="42"/>
      <c r="B72" s="517"/>
      <c r="C72" s="664"/>
      <c r="D72" s="664"/>
      <c r="E72" s="437">
        <v>2018</v>
      </c>
      <c r="F72" s="437">
        <v>2019</v>
      </c>
      <c r="G72" s="437">
        <v>2020</v>
      </c>
      <c r="H72" s="439">
        <v>43831</v>
      </c>
      <c r="I72" s="439">
        <v>43862</v>
      </c>
      <c r="J72" s="439">
        <v>43891</v>
      </c>
      <c r="K72" s="439">
        <v>43922</v>
      </c>
      <c r="L72" s="439">
        <v>43952</v>
      </c>
      <c r="M72" s="439">
        <v>43983</v>
      </c>
      <c r="N72" s="439">
        <v>44013</v>
      </c>
      <c r="O72" s="439">
        <v>44044</v>
      </c>
      <c r="P72" s="439">
        <v>44075</v>
      </c>
      <c r="Q72" s="439">
        <v>44105</v>
      </c>
      <c r="R72" s="439">
        <v>44136</v>
      </c>
      <c r="S72" s="440">
        <v>44166</v>
      </c>
      <c r="T72" s="42"/>
      <c r="U72" s="42"/>
      <c r="V72" s="42"/>
    </row>
    <row r="73" spans="1:22" ht="24.95" customHeight="1" x14ac:dyDescent="0.25">
      <c r="A73" s="42"/>
      <c r="B73" s="665" t="s">
        <v>205</v>
      </c>
      <c r="C73" s="666"/>
      <c r="D73" s="158"/>
      <c r="E73" s="438"/>
      <c r="F73" s="438"/>
      <c r="G73" s="438"/>
      <c r="H73" s="441"/>
      <c r="I73" s="441"/>
      <c r="J73" s="441"/>
      <c r="K73" s="441"/>
      <c r="L73" s="441"/>
      <c r="M73" s="441"/>
      <c r="N73" s="441"/>
      <c r="O73" s="441"/>
      <c r="P73" s="441"/>
      <c r="Q73" s="441"/>
      <c r="R73" s="441"/>
      <c r="S73" s="442"/>
      <c r="T73" s="42"/>
      <c r="U73" s="42"/>
      <c r="V73" s="42"/>
    </row>
    <row r="74" spans="1:22" ht="24.95" customHeight="1" x14ac:dyDescent="0.25">
      <c r="A74" s="42"/>
      <c r="B74" s="665" t="s">
        <v>536</v>
      </c>
      <c r="C74" s="666"/>
      <c r="D74" s="158"/>
      <c r="E74" s="438"/>
      <c r="F74" s="438"/>
      <c r="G74" s="438"/>
      <c r="H74" s="441"/>
      <c r="I74" s="441"/>
      <c r="J74" s="441"/>
      <c r="K74" s="441"/>
      <c r="L74" s="441"/>
      <c r="M74" s="441"/>
      <c r="N74" s="441"/>
      <c r="O74" s="441"/>
      <c r="P74" s="441"/>
      <c r="Q74" s="441"/>
      <c r="R74" s="441"/>
      <c r="S74" s="442"/>
      <c r="T74" s="42"/>
      <c r="U74" s="42"/>
      <c r="V74" s="42"/>
    </row>
    <row r="75" spans="1:22" ht="24.95" customHeight="1" x14ac:dyDescent="0.25">
      <c r="A75" s="42"/>
      <c r="B75" s="665" t="s">
        <v>537</v>
      </c>
      <c r="C75" s="666"/>
      <c r="D75" s="158"/>
      <c r="E75" s="438"/>
      <c r="F75" s="438"/>
      <c r="G75" s="438"/>
      <c r="H75" s="441"/>
      <c r="I75" s="441"/>
      <c r="J75" s="441"/>
      <c r="K75" s="441"/>
      <c r="L75" s="441"/>
      <c r="M75" s="441"/>
      <c r="N75" s="441"/>
      <c r="O75" s="441"/>
      <c r="P75" s="441"/>
      <c r="Q75" s="441"/>
      <c r="R75" s="441"/>
      <c r="S75" s="442"/>
      <c r="T75" s="42"/>
      <c r="U75" s="42"/>
      <c r="V75" s="42"/>
    </row>
    <row r="76" spans="1:22" ht="24.95" customHeight="1" x14ac:dyDescent="0.25">
      <c r="A76" s="42"/>
      <c r="B76" s="665" t="s">
        <v>538</v>
      </c>
      <c r="C76" s="666"/>
      <c r="D76" s="158"/>
      <c r="E76" s="438"/>
      <c r="F76" s="438"/>
      <c r="G76" s="438"/>
      <c r="H76" s="441"/>
      <c r="I76" s="441"/>
      <c r="J76" s="441"/>
      <c r="K76" s="441"/>
      <c r="L76" s="441"/>
      <c r="M76" s="441"/>
      <c r="N76" s="441"/>
      <c r="O76" s="441"/>
      <c r="P76" s="441"/>
      <c r="Q76" s="441"/>
      <c r="R76" s="441"/>
      <c r="S76" s="442"/>
      <c r="T76" s="42"/>
      <c r="U76" s="42"/>
      <c r="V76" s="42"/>
    </row>
    <row r="77" spans="1:22" ht="24.95" customHeight="1" x14ac:dyDescent="0.25">
      <c r="A77" s="42"/>
      <c r="B77" s="665" t="s">
        <v>539</v>
      </c>
      <c r="C77" s="666"/>
      <c r="D77" s="158"/>
      <c r="E77" s="438"/>
      <c r="F77" s="438"/>
      <c r="G77" s="438"/>
      <c r="H77" s="441"/>
      <c r="I77" s="441"/>
      <c r="J77" s="441"/>
      <c r="K77" s="441"/>
      <c r="L77" s="441"/>
      <c r="M77" s="441"/>
      <c r="N77" s="441"/>
      <c r="O77" s="441"/>
      <c r="P77" s="441"/>
      <c r="Q77" s="441"/>
      <c r="R77" s="441"/>
      <c r="S77" s="442"/>
      <c r="T77" s="42"/>
      <c r="U77" s="42"/>
      <c r="V77" s="42"/>
    </row>
    <row r="78" spans="1:22" ht="24.95" customHeight="1" x14ac:dyDescent="0.25">
      <c r="A78" s="42"/>
      <c r="B78" s="660" t="s">
        <v>240</v>
      </c>
      <c r="C78" s="661"/>
      <c r="D78" s="661"/>
      <c r="E78" s="326">
        <f t="shared" ref="E78:S78" si="2">SUM(E73:E77)</f>
        <v>0</v>
      </c>
      <c r="F78" s="326">
        <f t="shared" si="2"/>
        <v>0</v>
      </c>
      <c r="G78" s="326">
        <f t="shared" si="2"/>
        <v>0</v>
      </c>
      <c r="H78" s="326">
        <f t="shared" si="2"/>
        <v>0</v>
      </c>
      <c r="I78" s="326">
        <f t="shared" si="2"/>
        <v>0</v>
      </c>
      <c r="J78" s="326">
        <f t="shared" si="2"/>
        <v>0</v>
      </c>
      <c r="K78" s="326">
        <f t="shared" si="2"/>
        <v>0</v>
      </c>
      <c r="L78" s="326">
        <f t="shared" si="2"/>
        <v>0</v>
      </c>
      <c r="M78" s="326">
        <f t="shared" si="2"/>
        <v>0</v>
      </c>
      <c r="N78" s="326">
        <f t="shared" si="2"/>
        <v>0</v>
      </c>
      <c r="O78" s="326">
        <f t="shared" si="2"/>
        <v>0</v>
      </c>
      <c r="P78" s="326">
        <f t="shared" si="2"/>
        <v>0</v>
      </c>
      <c r="Q78" s="326">
        <f t="shared" si="2"/>
        <v>0</v>
      </c>
      <c r="R78" s="326">
        <f t="shared" si="2"/>
        <v>0</v>
      </c>
      <c r="S78" s="341">
        <f t="shared" si="2"/>
        <v>0</v>
      </c>
      <c r="T78" s="42"/>
      <c r="U78" s="42"/>
      <c r="V78" s="42"/>
    </row>
    <row r="79" spans="1:22" ht="11.1" customHeight="1" x14ac:dyDescent="0.25">
      <c r="A79" s="42"/>
      <c r="B79" s="327"/>
      <c r="C79" s="327"/>
      <c r="D79" s="327"/>
      <c r="E79" s="327"/>
      <c r="F79" s="327"/>
      <c r="G79" s="327"/>
      <c r="H79" s="327"/>
      <c r="I79" s="327"/>
      <c r="J79" s="327"/>
      <c r="K79" s="327"/>
      <c r="L79" s="327"/>
      <c r="M79" s="327"/>
      <c r="N79" s="327"/>
      <c r="O79" s="327"/>
      <c r="P79" s="327"/>
      <c r="Q79" s="330"/>
      <c r="R79" s="330"/>
      <c r="S79" s="330"/>
      <c r="T79" s="42"/>
      <c r="U79" s="42"/>
      <c r="V79" s="42"/>
    </row>
    <row r="80" spans="1:22" ht="24.95" customHeight="1" x14ac:dyDescent="0.25">
      <c r="A80" s="42"/>
      <c r="B80" s="517" t="s">
        <v>413</v>
      </c>
      <c r="C80" s="664"/>
      <c r="D80" s="664"/>
      <c r="E80" s="155" t="s">
        <v>330</v>
      </c>
      <c r="F80" s="155"/>
      <c r="G80" s="155"/>
      <c r="H80" s="155"/>
      <c r="I80" s="155"/>
      <c r="J80" s="155"/>
      <c r="K80" s="155"/>
      <c r="L80" s="155"/>
      <c r="M80" s="155"/>
      <c r="N80" s="155"/>
      <c r="O80" s="155"/>
      <c r="P80" s="155"/>
      <c r="Q80" s="155"/>
      <c r="R80" s="155"/>
      <c r="S80" s="342"/>
      <c r="T80" s="42"/>
      <c r="U80" s="42"/>
      <c r="V80" s="42"/>
    </row>
    <row r="81" spans="1:22" ht="24.95" customHeight="1" x14ac:dyDescent="0.25">
      <c r="A81" s="42"/>
      <c r="B81" s="517"/>
      <c r="C81" s="664"/>
      <c r="D81" s="664"/>
      <c r="E81" s="450">
        <v>2018</v>
      </c>
      <c r="F81" s="450">
        <v>2019</v>
      </c>
      <c r="G81" s="450">
        <v>2020</v>
      </c>
      <c r="H81" s="439">
        <v>43831</v>
      </c>
      <c r="I81" s="439">
        <v>43862</v>
      </c>
      <c r="J81" s="439">
        <v>43891</v>
      </c>
      <c r="K81" s="439">
        <v>43922</v>
      </c>
      <c r="L81" s="439">
        <v>43952</v>
      </c>
      <c r="M81" s="439">
        <v>43983</v>
      </c>
      <c r="N81" s="439">
        <v>44013</v>
      </c>
      <c r="O81" s="439">
        <v>44044</v>
      </c>
      <c r="P81" s="439">
        <v>44075</v>
      </c>
      <c r="Q81" s="439">
        <v>44105</v>
      </c>
      <c r="R81" s="439">
        <v>44136</v>
      </c>
      <c r="S81" s="440">
        <v>44166</v>
      </c>
      <c r="T81" s="42"/>
      <c r="U81" s="42"/>
      <c r="V81" s="42"/>
    </row>
    <row r="82" spans="1:22" ht="24.95" customHeight="1" x14ac:dyDescent="0.25">
      <c r="A82" s="42"/>
      <c r="B82" s="665" t="s">
        <v>206</v>
      </c>
      <c r="C82" s="666"/>
      <c r="D82" s="158"/>
      <c r="E82" s="438"/>
      <c r="F82" s="438"/>
      <c r="G82" s="438"/>
      <c r="H82" s="441"/>
      <c r="I82" s="441"/>
      <c r="J82" s="441"/>
      <c r="K82" s="441"/>
      <c r="L82" s="441"/>
      <c r="M82" s="441"/>
      <c r="N82" s="441"/>
      <c r="O82" s="441"/>
      <c r="P82" s="441"/>
      <c r="Q82" s="441"/>
      <c r="R82" s="441"/>
      <c r="S82" s="442"/>
      <c r="T82" s="42"/>
      <c r="U82" s="42"/>
      <c r="V82" s="42"/>
    </row>
    <row r="83" spans="1:22" ht="24.95" customHeight="1" x14ac:dyDescent="0.25">
      <c r="A83" s="42"/>
      <c r="B83" s="665" t="s">
        <v>540</v>
      </c>
      <c r="C83" s="666"/>
      <c r="D83" s="158"/>
      <c r="E83" s="438"/>
      <c r="F83" s="438"/>
      <c r="G83" s="438"/>
      <c r="H83" s="441"/>
      <c r="I83" s="441"/>
      <c r="J83" s="441"/>
      <c r="K83" s="441"/>
      <c r="L83" s="441"/>
      <c r="M83" s="441"/>
      <c r="N83" s="441"/>
      <c r="O83" s="441"/>
      <c r="P83" s="441"/>
      <c r="Q83" s="441"/>
      <c r="R83" s="441"/>
      <c r="S83" s="442"/>
      <c r="T83" s="42"/>
      <c r="U83" s="42"/>
      <c r="V83" s="42"/>
    </row>
    <row r="84" spans="1:22" ht="24.95" customHeight="1" x14ac:dyDescent="0.25">
      <c r="A84" s="42"/>
      <c r="B84" s="665" t="s">
        <v>541</v>
      </c>
      <c r="C84" s="666"/>
      <c r="D84" s="158"/>
      <c r="E84" s="438"/>
      <c r="F84" s="438"/>
      <c r="G84" s="438"/>
      <c r="H84" s="441"/>
      <c r="I84" s="441"/>
      <c r="J84" s="441"/>
      <c r="K84" s="441"/>
      <c r="L84" s="441"/>
      <c r="M84" s="441"/>
      <c r="N84" s="441"/>
      <c r="O84" s="441"/>
      <c r="P84" s="441"/>
      <c r="Q84" s="441"/>
      <c r="R84" s="441"/>
      <c r="S84" s="442"/>
      <c r="T84" s="42"/>
      <c r="U84" s="42"/>
      <c r="V84" s="42"/>
    </row>
    <row r="85" spans="1:22" ht="24.95" customHeight="1" x14ac:dyDescent="0.25">
      <c r="A85" s="42"/>
      <c r="B85" s="665" t="s">
        <v>542</v>
      </c>
      <c r="C85" s="666"/>
      <c r="D85" s="158"/>
      <c r="E85" s="438"/>
      <c r="F85" s="438"/>
      <c r="G85" s="438"/>
      <c r="H85" s="441"/>
      <c r="I85" s="441"/>
      <c r="J85" s="441"/>
      <c r="K85" s="441"/>
      <c r="L85" s="441"/>
      <c r="M85" s="441"/>
      <c r="N85" s="441"/>
      <c r="O85" s="441"/>
      <c r="P85" s="441"/>
      <c r="Q85" s="441"/>
      <c r="R85" s="441"/>
      <c r="S85" s="442"/>
      <c r="T85" s="42"/>
      <c r="U85" s="42"/>
      <c r="V85" s="42"/>
    </row>
    <row r="86" spans="1:22" ht="24.95" customHeight="1" x14ac:dyDescent="0.25">
      <c r="A86" s="42"/>
      <c r="B86" s="665" t="s">
        <v>543</v>
      </c>
      <c r="C86" s="666"/>
      <c r="D86" s="158"/>
      <c r="E86" s="438"/>
      <c r="F86" s="438"/>
      <c r="G86" s="438"/>
      <c r="H86" s="441"/>
      <c r="I86" s="441"/>
      <c r="J86" s="441"/>
      <c r="K86" s="441"/>
      <c r="L86" s="441"/>
      <c r="M86" s="441"/>
      <c r="N86" s="441"/>
      <c r="O86" s="441"/>
      <c r="P86" s="441"/>
      <c r="Q86" s="441"/>
      <c r="R86" s="441"/>
      <c r="S86" s="442"/>
      <c r="T86" s="42"/>
      <c r="U86" s="42"/>
      <c r="V86" s="42"/>
    </row>
    <row r="87" spans="1:22" ht="24.95" customHeight="1" x14ac:dyDescent="0.25">
      <c r="A87" s="42"/>
      <c r="B87" s="662" t="s">
        <v>240</v>
      </c>
      <c r="C87" s="663"/>
      <c r="D87" s="663"/>
      <c r="E87" s="331">
        <f t="shared" ref="E87:S87" si="3">SUM(E82:E86)</f>
        <v>0</v>
      </c>
      <c r="F87" s="331">
        <f t="shared" si="3"/>
        <v>0</v>
      </c>
      <c r="G87" s="331">
        <f t="shared" si="3"/>
        <v>0</v>
      </c>
      <c r="H87" s="331">
        <f t="shared" si="3"/>
        <v>0</v>
      </c>
      <c r="I87" s="331">
        <f t="shared" si="3"/>
        <v>0</v>
      </c>
      <c r="J87" s="331">
        <f t="shared" si="3"/>
        <v>0</v>
      </c>
      <c r="K87" s="331">
        <f t="shared" si="3"/>
        <v>0</v>
      </c>
      <c r="L87" s="331">
        <f t="shared" si="3"/>
        <v>0</v>
      </c>
      <c r="M87" s="331">
        <f t="shared" si="3"/>
        <v>0</v>
      </c>
      <c r="N87" s="331">
        <f t="shared" si="3"/>
        <v>0</v>
      </c>
      <c r="O87" s="331">
        <f t="shared" si="3"/>
        <v>0</v>
      </c>
      <c r="P87" s="331">
        <f t="shared" si="3"/>
        <v>0</v>
      </c>
      <c r="Q87" s="331">
        <f t="shared" si="3"/>
        <v>0</v>
      </c>
      <c r="R87" s="331">
        <f t="shared" si="3"/>
        <v>0</v>
      </c>
      <c r="S87" s="343">
        <f t="shared" si="3"/>
        <v>0</v>
      </c>
      <c r="T87" s="42"/>
      <c r="U87" s="42"/>
      <c r="V87" s="42"/>
    </row>
    <row r="88" spans="1:22" ht="9.9499999999999993" customHeight="1" x14ac:dyDescent="0.25">
      <c r="A88" s="42"/>
      <c r="B88" s="327"/>
      <c r="C88" s="327"/>
      <c r="D88" s="327"/>
      <c r="E88" s="327"/>
      <c r="F88" s="327"/>
      <c r="G88" s="327"/>
      <c r="H88" s="327"/>
      <c r="I88" s="327"/>
      <c r="J88" s="327"/>
      <c r="K88" s="327"/>
      <c r="L88" s="327"/>
      <c r="M88" s="327"/>
      <c r="N88" s="327"/>
      <c r="O88" s="327"/>
      <c r="P88" s="327"/>
      <c r="Q88" s="330"/>
      <c r="R88" s="330"/>
      <c r="S88" s="330"/>
      <c r="T88" s="42"/>
      <c r="U88" s="42"/>
      <c r="V88" s="42"/>
    </row>
    <row r="89" spans="1:22" ht="24.95" customHeight="1" x14ac:dyDescent="0.25">
      <c r="A89" s="42"/>
      <c r="B89" s="517" t="s">
        <v>203</v>
      </c>
      <c r="C89" s="664"/>
      <c r="D89" s="664"/>
      <c r="E89" s="155" t="s">
        <v>414</v>
      </c>
      <c r="F89" s="332"/>
      <c r="G89" s="332"/>
      <c r="H89" s="332"/>
      <c r="I89" s="332"/>
      <c r="J89" s="332"/>
      <c r="K89" s="332"/>
      <c r="L89" s="332"/>
      <c r="M89" s="332"/>
      <c r="N89" s="332"/>
      <c r="O89" s="332"/>
      <c r="P89" s="332"/>
      <c r="Q89" s="332"/>
      <c r="R89" s="332"/>
      <c r="S89" s="344"/>
      <c r="T89" s="42"/>
      <c r="U89" s="42"/>
      <c r="V89" s="42"/>
    </row>
    <row r="90" spans="1:22" ht="24.95" customHeight="1" x14ac:dyDescent="0.25">
      <c r="A90" s="42"/>
      <c r="B90" s="517"/>
      <c r="C90" s="664"/>
      <c r="D90" s="664"/>
      <c r="E90" s="445">
        <v>2018</v>
      </c>
      <c r="F90" s="445">
        <v>2019</v>
      </c>
      <c r="G90" s="445">
        <v>2020</v>
      </c>
      <c r="H90" s="439">
        <v>43831</v>
      </c>
      <c r="I90" s="439">
        <v>43862</v>
      </c>
      <c r="J90" s="439">
        <v>43891</v>
      </c>
      <c r="K90" s="439">
        <v>43922</v>
      </c>
      <c r="L90" s="439">
        <v>43952</v>
      </c>
      <c r="M90" s="439">
        <v>43983</v>
      </c>
      <c r="N90" s="439">
        <v>44013</v>
      </c>
      <c r="O90" s="439">
        <v>44044</v>
      </c>
      <c r="P90" s="439">
        <v>44075</v>
      </c>
      <c r="Q90" s="439">
        <v>44105</v>
      </c>
      <c r="R90" s="439">
        <v>44136</v>
      </c>
      <c r="S90" s="440">
        <v>44166</v>
      </c>
      <c r="T90" s="42"/>
      <c r="U90" s="42"/>
      <c r="V90" s="42"/>
    </row>
    <row r="91" spans="1:22" ht="24.95" customHeight="1" x14ac:dyDescent="0.25">
      <c r="A91" s="42"/>
      <c r="B91" s="665" t="s">
        <v>207</v>
      </c>
      <c r="C91" s="666"/>
      <c r="D91" s="158"/>
      <c r="E91" s="438"/>
      <c r="F91" s="438"/>
      <c r="G91" s="438"/>
      <c r="H91" s="441"/>
      <c r="I91" s="441"/>
      <c r="J91" s="441"/>
      <c r="K91" s="441"/>
      <c r="L91" s="441"/>
      <c r="M91" s="441"/>
      <c r="N91" s="441"/>
      <c r="O91" s="441"/>
      <c r="P91" s="441"/>
      <c r="Q91" s="441"/>
      <c r="R91" s="441"/>
      <c r="S91" s="442"/>
      <c r="T91" s="42"/>
      <c r="U91" s="42"/>
      <c r="V91" s="42"/>
    </row>
    <row r="92" spans="1:22" ht="24.95" customHeight="1" x14ac:dyDescent="0.25">
      <c r="A92" s="42"/>
      <c r="B92" s="665" t="s">
        <v>544</v>
      </c>
      <c r="C92" s="666"/>
      <c r="D92" s="158"/>
      <c r="E92" s="438"/>
      <c r="F92" s="438"/>
      <c r="G92" s="438"/>
      <c r="H92" s="441"/>
      <c r="I92" s="441"/>
      <c r="J92" s="441"/>
      <c r="K92" s="441"/>
      <c r="L92" s="441"/>
      <c r="M92" s="441"/>
      <c r="N92" s="441"/>
      <c r="O92" s="441"/>
      <c r="P92" s="441"/>
      <c r="Q92" s="441"/>
      <c r="R92" s="441"/>
      <c r="S92" s="442"/>
      <c r="T92" s="42"/>
      <c r="U92" s="42"/>
      <c r="V92" s="42"/>
    </row>
    <row r="93" spans="1:22" ht="24.95" customHeight="1" x14ac:dyDescent="0.25">
      <c r="A93" s="42"/>
      <c r="B93" s="665" t="s">
        <v>545</v>
      </c>
      <c r="C93" s="666"/>
      <c r="D93" s="158"/>
      <c r="E93" s="438"/>
      <c r="F93" s="438"/>
      <c r="G93" s="438"/>
      <c r="H93" s="441"/>
      <c r="I93" s="441"/>
      <c r="J93" s="441"/>
      <c r="K93" s="441"/>
      <c r="L93" s="441"/>
      <c r="M93" s="441"/>
      <c r="N93" s="441"/>
      <c r="O93" s="441"/>
      <c r="P93" s="441"/>
      <c r="Q93" s="441"/>
      <c r="R93" s="441"/>
      <c r="S93" s="442"/>
      <c r="T93" s="42"/>
      <c r="U93" s="42"/>
      <c r="V93" s="42"/>
    </row>
    <row r="94" spans="1:22" ht="24.95" customHeight="1" x14ac:dyDescent="0.25">
      <c r="A94" s="42"/>
      <c r="B94" s="665" t="s">
        <v>546</v>
      </c>
      <c r="C94" s="666"/>
      <c r="D94" s="158"/>
      <c r="E94" s="438"/>
      <c r="F94" s="438"/>
      <c r="G94" s="438"/>
      <c r="H94" s="441"/>
      <c r="I94" s="441"/>
      <c r="J94" s="441"/>
      <c r="K94" s="441"/>
      <c r="L94" s="441"/>
      <c r="M94" s="441"/>
      <c r="N94" s="441"/>
      <c r="O94" s="441"/>
      <c r="P94" s="441"/>
      <c r="Q94" s="441"/>
      <c r="R94" s="441"/>
      <c r="S94" s="442"/>
      <c r="T94" s="42"/>
      <c r="U94" s="42"/>
      <c r="V94" s="42"/>
    </row>
    <row r="95" spans="1:22" ht="24.95" customHeight="1" x14ac:dyDescent="0.25">
      <c r="A95" s="42"/>
      <c r="B95" s="665" t="s">
        <v>547</v>
      </c>
      <c r="C95" s="666"/>
      <c r="D95" s="158"/>
      <c r="E95" s="438"/>
      <c r="F95" s="438"/>
      <c r="G95" s="438"/>
      <c r="H95" s="441"/>
      <c r="I95" s="441"/>
      <c r="J95" s="441"/>
      <c r="K95" s="441"/>
      <c r="L95" s="441"/>
      <c r="M95" s="441"/>
      <c r="N95" s="441"/>
      <c r="O95" s="441"/>
      <c r="P95" s="441"/>
      <c r="Q95" s="441"/>
      <c r="R95" s="441"/>
      <c r="S95" s="442"/>
      <c r="T95" s="42"/>
      <c r="U95" s="42"/>
      <c r="V95" s="42"/>
    </row>
    <row r="96" spans="1:22" ht="24.95" customHeight="1" x14ac:dyDescent="0.25">
      <c r="A96" s="42"/>
      <c r="B96" s="662" t="s">
        <v>240</v>
      </c>
      <c r="C96" s="663"/>
      <c r="D96" s="663"/>
      <c r="E96" s="447">
        <f t="shared" ref="E96:S96" si="4">SUM(E91:E95)</f>
        <v>0</v>
      </c>
      <c r="F96" s="448">
        <f t="shared" si="4"/>
        <v>0</v>
      </c>
      <c r="G96" s="449">
        <f t="shared" si="4"/>
        <v>0</v>
      </c>
      <c r="H96" s="449">
        <f t="shared" si="4"/>
        <v>0</v>
      </c>
      <c r="I96" s="449">
        <f t="shared" si="4"/>
        <v>0</v>
      </c>
      <c r="J96" s="449">
        <f t="shared" si="4"/>
        <v>0</v>
      </c>
      <c r="K96" s="449">
        <f t="shared" si="4"/>
        <v>0</v>
      </c>
      <c r="L96" s="449">
        <f t="shared" si="4"/>
        <v>0</v>
      </c>
      <c r="M96" s="449">
        <f t="shared" si="4"/>
        <v>0</v>
      </c>
      <c r="N96" s="449">
        <f t="shared" si="4"/>
        <v>0</v>
      </c>
      <c r="O96" s="449">
        <f t="shared" si="4"/>
        <v>0</v>
      </c>
      <c r="P96" s="449">
        <f t="shared" si="4"/>
        <v>0</v>
      </c>
      <c r="Q96" s="449">
        <f t="shared" si="4"/>
        <v>0</v>
      </c>
      <c r="R96" s="449">
        <f t="shared" si="4"/>
        <v>0</v>
      </c>
      <c r="S96" s="449">
        <f t="shared" si="4"/>
        <v>0</v>
      </c>
      <c r="T96" s="42"/>
      <c r="U96" s="42"/>
      <c r="V96" s="42"/>
    </row>
    <row r="97" spans="1:22" ht="11.1" customHeight="1" x14ac:dyDescent="0.25">
      <c r="A97" s="42"/>
      <c r="B97" s="327"/>
      <c r="C97" s="327"/>
      <c r="D97" s="327"/>
      <c r="E97" s="327"/>
      <c r="F97" s="327"/>
      <c r="G97" s="327"/>
      <c r="H97" s="327"/>
      <c r="I97" s="327"/>
      <c r="J97" s="327"/>
      <c r="K97" s="327"/>
      <c r="L97" s="327"/>
      <c r="M97" s="327"/>
      <c r="N97" s="327"/>
      <c r="O97" s="327"/>
      <c r="P97" s="327"/>
      <c r="Q97" s="330"/>
      <c r="R97" s="330"/>
      <c r="S97" s="330"/>
      <c r="T97" s="42"/>
      <c r="U97" s="42"/>
      <c r="V97" s="42"/>
    </row>
    <row r="98" spans="1:22" ht="24.95" customHeight="1" x14ac:dyDescent="0.25">
      <c r="A98" s="42"/>
      <c r="B98" s="517" t="s">
        <v>557</v>
      </c>
      <c r="C98" s="664"/>
      <c r="D98" s="664"/>
      <c r="E98" s="155" t="s">
        <v>415</v>
      </c>
      <c r="F98" s="155"/>
      <c r="G98" s="155"/>
      <c r="H98" s="155"/>
      <c r="I98" s="155"/>
      <c r="J98" s="155"/>
      <c r="K98" s="155"/>
      <c r="L98" s="155"/>
      <c r="M98" s="155"/>
      <c r="N98" s="155"/>
      <c r="O98" s="155"/>
      <c r="P98" s="155"/>
      <c r="Q98" s="155"/>
      <c r="R98" s="155"/>
      <c r="S98" s="342"/>
      <c r="T98" s="42"/>
      <c r="U98" s="42"/>
      <c r="V98" s="42"/>
    </row>
    <row r="99" spans="1:22" ht="24.95" customHeight="1" x14ac:dyDescent="0.25">
      <c r="A99" s="42"/>
      <c r="B99" s="517"/>
      <c r="C99" s="664"/>
      <c r="D99" s="664"/>
      <c r="E99" s="445">
        <v>2018</v>
      </c>
      <c r="F99" s="445">
        <v>2019</v>
      </c>
      <c r="G99" s="445">
        <v>2020</v>
      </c>
      <c r="H99" s="439">
        <v>43831</v>
      </c>
      <c r="I99" s="439">
        <v>43862</v>
      </c>
      <c r="J99" s="439">
        <v>43891</v>
      </c>
      <c r="K99" s="439">
        <v>43922</v>
      </c>
      <c r="L99" s="439">
        <v>43952</v>
      </c>
      <c r="M99" s="439">
        <v>43983</v>
      </c>
      <c r="N99" s="439">
        <v>44013</v>
      </c>
      <c r="O99" s="439">
        <v>44044</v>
      </c>
      <c r="P99" s="439">
        <v>44075</v>
      </c>
      <c r="Q99" s="439">
        <v>44105</v>
      </c>
      <c r="R99" s="439">
        <v>44136</v>
      </c>
      <c r="S99" s="440">
        <v>44166</v>
      </c>
      <c r="T99" s="42"/>
      <c r="U99" s="42"/>
      <c r="V99" s="42"/>
    </row>
    <row r="100" spans="1:22" ht="20.100000000000001" customHeight="1" x14ac:dyDescent="0.25">
      <c r="A100" s="42"/>
      <c r="B100" s="673" t="s">
        <v>208</v>
      </c>
      <c r="C100" s="674"/>
      <c r="D100" s="158"/>
      <c r="E100" s="438"/>
      <c r="F100" s="438"/>
      <c r="G100" s="438"/>
      <c r="H100" s="441"/>
      <c r="I100" s="441"/>
      <c r="J100" s="441"/>
      <c r="K100" s="441"/>
      <c r="L100" s="441"/>
      <c r="M100" s="441"/>
      <c r="N100" s="441"/>
      <c r="O100" s="441"/>
      <c r="P100" s="441"/>
      <c r="Q100" s="441"/>
      <c r="R100" s="441"/>
      <c r="S100" s="442"/>
      <c r="T100" s="42"/>
      <c r="U100" s="42"/>
      <c r="V100" s="42"/>
    </row>
    <row r="101" spans="1:22" ht="20.100000000000001" customHeight="1" x14ac:dyDescent="0.25">
      <c r="A101" s="42"/>
      <c r="B101" s="673" t="s">
        <v>548</v>
      </c>
      <c r="C101" s="674"/>
      <c r="D101" s="158"/>
      <c r="E101" s="438"/>
      <c r="F101" s="438"/>
      <c r="G101" s="438"/>
      <c r="H101" s="441"/>
      <c r="I101" s="441"/>
      <c r="J101" s="441"/>
      <c r="K101" s="441"/>
      <c r="L101" s="441"/>
      <c r="M101" s="441"/>
      <c r="N101" s="441"/>
      <c r="O101" s="441"/>
      <c r="P101" s="441"/>
      <c r="Q101" s="441"/>
      <c r="R101" s="441"/>
      <c r="S101" s="442"/>
      <c r="T101" s="42"/>
      <c r="U101" s="42"/>
      <c r="V101" s="42"/>
    </row>
    <row r="102" spans="1:22" ht="20.100000000000001" customHeight="1" x14ac:dyDescent="0.25">
      <c r="A102" s="42"/>
      <c r="B102" s="673" t="s">
        <v>549</v>
      </c>
      <c r="C102" s="674"/>
      <c r="D102" s="158"/>
      <c r="E102" s="438"/>
      <c r="F102" s="438"/>
      <c r="G102" s="438"/>
      <c r="H102" s="441"/>
      <c r="I102" s="441"/>
      <c r="J102" s="441"/>
      <c r="K102" s="441"/>
      <c r="L102" s="441"/>
      <c r="M102" s="441"/>
      <c r="N102" s="441"/>
      <c r="O102" s="441"/>
      <c r="P102" s="441"/>
      <c r="Q102" s="441"/>
      <c r="R102" s="441"/>
      <c r="S102" s="442"/>
      <c r="T102" s="42"/>
      <c r="U102" s="42"/>
      <c r="V102" s="42"/>
    </row>
    <row r="103" spans="1:22" ht="20.100000000000001" customHeight="1" x14ac:dyDescent="0.25">
      <c r="A103" s="42"/>
      <c r="B103" s="673" t="s">
        <v>550</v>
      </c>
      <c r="C103" s="674"/>
      <c r="D103" s="158"/>
      <c r="E103" s="438"/>
      <c r="F103" s="438"/>
      <c r="G103" s="438"/>
      <c r="H103" s="441"/>
      <c r="I103" s="441"/>
      <c r="J103" s="441"/>
      <c r="K103" s="441"/>
      <c r="L103" s="441"/>
      <c r="M103" s="441"/>
      <c r="N103" s="441"/>
      <c r="O103" s="441"/>
      <c r="P103" s="441"/>
      <c r="Q103" s="441"/>
      <c r="R103" s="441"/>
      <c r="S103" s="442"/>
      <c r="T103" s="42"/>
      <c r="U103" s="42"/>
      <c r="V103" s="42"/>
    </row>
    <row r="104" spans="1:22" ht="20.100000000000001" customHeight="1" x14ac:dyDescent="0.25">
      <c r="A104" s="42"/>
      <c r="B104" s="673" t="s">
        <v>551</v>
      </c>
      <c r="C104" s="674"/>
      <c r="D104" s="158"/>
      <c r="E104" s="438"/>
      <c r="F104" s="438"/>
      <c r="G104" s="438"/>
      <c r="H104" s="441"/>
      <c r="I104" s="441"/>
      <c r="J104" s="441"/>
      <c r="K104" s="441"/>
      <c r="L104" s="441"/>
      <c r="M104" s="441"/>
      <c r="N104" s="441"/>
      <c r="O104" s="441"/>
      <c r="P104" s="441"/>
      <c r="Q104" s="441"/>
      <c r="R104" s="441"/>
      <c r="S104" s="442"/>
      <c r="T104" s="42"/>
      <c r="U104" s="42"/>
      <c r="V104" s="42"/>
    </row>
    <row r="105" spans="1:22" ht="20.100000000000001" customHeight="1" x14ac:dyDescent="0.25">
      <c r="A105" s="42"/>
      <c r="B105" s="662" t="s">
        <v>240</v>
      </c>
      <c r="C105" s="663"/>
      <c r="D105" s="663"/>
      <c r="E105" s="447">
        <f t="shared" ref="E105:S105" si="5">SUM(E100:E104)</f>
        <v>0</v>
      </c>
      <c r="F105" s="448">
        <f t="shared" si="5"/>
        <v>0</v>
      </c>
      <c r="G105" s="449">
        <f t="shared" si="5"/>
        <v>0</v>
      </c>
      <c r="H105" s="449">
        <f t="shared" si="5"/>
        <v>0</v>
      </c>
      <c r="I105" s="449">
        <f t="shared" si="5"/>
        <v>0</v>
      </c>
      <c r="J105" s="449">
        <f t="shared" si="5"/>
        <v>0</v>
      </c>
      <c r="K105" s="449">
        <f t="shared" si="5"/>
        <v>0</v>
      </c>
      <c r="L105" s="449">
        <f t="shared" si="5"/>
        <v>0</v>
      </c>
      <c r="M105" s="449">
        <f t="shared" si="5"/>
        <v>0</v>
      </c>
      <c r="N105" s="449">
        <f t="shared" si="5"/>
        <v>0</v>
      </c>
      <c r="O105" s="449">
        <f t="shared" si="5"/>
        <v>0</v>
      </c>
      <c r="P105" s="449">
        <f t="shared" si="5"/>
        <v>0</v>
      </c>
      <c r="Q105" s="449">
        <f t="shared" si="5"/>
        <v>0</v>
      </c>
      <c r="R105" s="449">
        <f t="shared" si="5"/>
        <v>0</v>
      </c>
      <c r="S105" s="449">
        <f t="shared" si="5"/>
        <v>0</v>
      </c>
      <c r="T105" s="42"/>
      <c r="U105" s="42"/>
      <c r="V105" s="42"/>
    </row>
    <row r="106" spans="1:22" ht="11.1" customHeight="1" x14ac:dyDescent="0.25">
      <c r="A106" s="42"/>
      <c r="B106" s="327"/>
      <c r="C106" s="327"/>
      <c r="D106" s="327"/>
      <c r="E106" s="327"/>
      <c r="F106" s="327"/>
      <c r="G106" s="327"/>
      <c r="H106" s="327"/>
      <c r="I106" s="327"/>
      <c r="J106" s="327"/>
      <c r="K106" s="327"/>
      <c r="L106" s="327"/>
      <c r="M106" s="327"/>
      <c r="N106" s="327"/>
      <c r="O106" s="327"/>
      <c r="P106" s="327"/>
      <c r="Q106" s="330"/>
      <c r="R106" s="330"/>
      <c r="S106" s="330"/>
      <c r="T106" s="42"/>
      <c r="U106" s="42"/>
      <c r="V106" s="42"/>
    </row>
    <row r="107" spans="1:22" ht="24.95" customHeight="1" x14ac:dyDescent="0.25">
      <c r="A107" s="42"/>
      <c r="B107" s="517" t="s">
        <v>204</v>
      </c>
      <c r="C107" s="664"/>
      <c r="D107" s="664"/>
      <c r="E107" s="155" t="s">
        <v>416</v>
      </c>
      <c r="F107" s="155"/>
      <c r="G107" s="155"/>
      <c r="H107" s="155"/>
      <c r="I107" s="155"/>
      <c r="J107" s="155"/>
      <c r="K107" s="155"/>
      <c r="L107" s="155"/>
      <c r="M107" s="155"/>
      <c r="N107" s="155"/>
      <c r="O107" s="155"/>
      <c r="P107" s="155"/>
      <c r="Q107" s="155"/>
      <c r="R107" s="155"/>
      <c r="S107" s="342"/>
      <c r="T107" s="42"/>
      <c r="U107" s="42"/>
      <c r="V107" s="42"/>
    </row>
    <row r="108" spans="1:22" ht="24.95" customHeight="1" x14ac:dyDescent="0.25">
      <c r="A108" s="42"/>
      <c r="B108" s="517"/>
      <c r="C108" s="664"/>
      <c r="D108" s="664"/>
      <c r="E108" s="445">
        <v>2018</v>
      </c>
      <c r="F108" s="445">
        <v>2019</v>
      </c>
      <c r="G108" s="445">
        <v>2020</v>
      </c>
      <c r="H108" s="439">
        <v>43831</v>
      </c>
      <c r="I108" s="439">
        <v>43862</v>
      </c>
      <c r="J108" s="439">
        <v>43891</v>
      </c>
      <c r="K108" s="439">
        <v>43922</v>
      </c>
      <c r="L108" s="439">
        <v>43952</v>
      </c>
      <c r="M108" s="439">
        <v>43983</v>
      </c>
      <c r="N108" s="439">
        <v>44013</v>
      </c>
      <c r="O108" s="439">
        <v>44044</v>
      </c>
      <c r="P108" s="439">
        <v>44075</v>
      </c>
      <c r="Q108" s="439">
        <v>44105</v>
      </c>
      <c r="R108" s="439">
        <v>44136</v>
      </c>
      <c r="S108" s="440">
        <v>44166</v>
      </c>
      <c r="T108" s="42"/>
      <c r="U108" s="42"/>
      <c r="V108" s="42"/>
    </row>
    <row r="109" spans="1:22" ht="18.95" customHeight="1" x14ac:dyDescent="0.25">
      <c r="A109" s="42"/>
      <c r="B109" s="671" t="s">
        <v>209</v>
      </c>
      <c r="C109" s="672"/>
      <c r="D109" s="672"/>
      <c r="E109" s="446"/>
      <c r="F109" s="446"/>
      <c r="G109" s="446"/>
      <c r="H109" s="443"/>
      <c r="I109" s="443"/>
      <c r="J109" s="443"/>
      <c r="K109" s="443"/>
      <c r="L109" s="443"/>
      <c r="M109" s="443"/>
      <c r="N109" s="443"/>
      <c r="O109" s="443"/>
      <c r="P109" s="443"/>
      <c r="Q109" s="443"/>
      <c r="R109" s="443"/>
      <c r="S109" s="444"/>
      <c r="T109" s="42"/>
      <c r="U109" s="42"/>
      <c r="V109" s="42"/>
    </row>
    <row r="110" spans="1:22" ht="18.95" customHeight="1" x14ac:dyDescent="0.25">
      <c r="A110" s="42"/>
      <c r="B110" s="671" t="s">
        <v>210</v>
      </c>
      <c r="C110" s="672"/>
      <c r="D110" s="672"/>
      <c r="E110" s="446"/>
      <c r="F110" s="446"/>
      <c r="G110" s="446"/>
      <c r="H110" s="443"/>
      <c r="I110" s="443"/>
      <c r="J110" s="443"/>
      <c r="K110" s="443"/>
      <c r="L110" s="443"/>
      <c r="M110" s="443"/>
      <c r="N110" s="443"/>
      <c r="O110" s="443"/>
      <c r="P110" s="443"/>
      <c r="Q110" s="443"/>
      <c r="R110" s="443"/>
      <c r="S110" s="444"/>
      <c r="T110" s="42"/>
      <c r="U110" s="42"/>
      <c r="V110" s="42"/>
    </row>
    <row r="111" spans="1:22" ht="18.95" customHeight="1" x14ac:dyDescent="0.25">
      <c r="A111" s="42"/>
      <c r="B111" s="671" t="s">
        <v>211</v>
      </c>
      <c r="C111" s="672"/>
      <c r="D111" s="672"/>
      <c r="E111" s="446"/>
      <c r="F111" s="446"/>
      <c r="G111" s="446"/>
      <c r="H111" s="443"/>
      <c r="I111" s="443"/>
      <c r="J111" s="443"/>
      <c r="K111" s="443"/>
      <c r="L111" s="443"/>
      <c r="M111" s="443"/>
      <c r="N111" s="443"/>
      <c r="O111" s="443"/>
      <c r="P111" s="443"/>
      <c r="Q111" s="443"/>
      <c r="R111" s="443"/>
      <c r="S111" s="444"/>
      <c r="T111" s="42"/>
      <c r="U111" s="42"/>
      <c r="V111" s="42"/>
    </row>
    <row r="112" spans="1:22" ht="18.95" customHeight="1" x14ac:dyDescent="0.25">
      <c r="A112" s="42"/>
      <c r="B112" s="671" t="s">
        <v>329</v>
      </c>
      <c r="C112" s="672"/>
      <c r="D112" s="672"/>
      <c r="E112" s="446"/>
      <c r="F112" s="446"/>
      <c r="G112" s="446"/>
      <c r="H112" s="443"/>
      <c r="I112" s="443"/>
      <c r="J112" s="443"/>
      <c r="K112" s="443"/>
      <c r="L112" s="443"/>
      <c r="M112" s="443"/>
      <c r="N112" s="443"/>
      <c r="O112" s="443"/>
      <c r="P112" s="443"/>
      <c r="Q112" s="443"/>
      <c r="R112" s="443"/>
      <c r="S112" s="444"/>
      <c r="T112" s="42"/>
      <c r="U112" s="42"/>
      <c r="V112" s="42"/>
    </row>
    <row r="113" spans="1:22" ht="24.95" customHeight="1" x14ac:dyDescent="0.25">
      <c r="A113" s="42"/>
      <c r="B113" s="153"/>
      <c r="C113" s="153"/>
      <c r="D113" s="153"/>
      <c r="E113" s="153"/>
      <c r="F113" s="153"/>
      <c r="G113" s="153"/>
      <c r="H113" s="153"/>
      <c r="I113" s="153"/>
      <c r="J113" s="153"/>
      <c r="K113" s="153"/>
      <c r="L113" s="153"/>
      <c r="M113" s="153"/>
      <c r="N113" s="349"/>
      <c r="O113" s="349"/>
      <c r="P113" s="349"/>
      <c r="Q113" s="82"/>
      <c r="R113" s="82"/>
      <c r="S113" s="82"/>
      <c r="T113" s="82"/>
      <c r="U113" s="82"/>
      <c r="V113" s="82"/>
    </row>
    <row r="114" spans="1:22" ht="60" customHeight="1" x14ac:dyDescent="0.25">
      <c r="A114" s="150" t="s">
        <v>213</v>
      </c>
      <c r="B114" s="151" t="s">
        <v>238</v>
      </c>
      <c r="C114" s="154"/>
      <c r="D114" s="154"/>
      <c r="E114" s="154"/>
      <c r="F114" s="154"/>
      <c r="G114" s="154"/>
      <c r="H114" s="154"/>
      <c r="I114" s="154"/>
      <c r="J114" s="154"/>
      <c r="K114" s="154"/>
      <c r="L114" s="154"/>
      <c r="M114" s="154"/>
      <c r="N114" s="349"/>
      <c r="O114" s="349"/>
      <c r="P114" s="349"/>
      <c r="Q114" s="82"/>
      <c r="R114" s="82"/>
      <c r="S114" s="82"/>
      <c r="T114" s="82"/>
      <c r="U114" s="82"/>
      <c r="V114" s="82"/>
    </row>
    <row r="115" spans="1:22" ht="69" customHeight="1" x14ac:dyDescent="0.25">
      <c r="A115" s="147"/>
      <c r="B115" s="658" t="s">
        <v>563</v>
      </c>
      <c r="C115" s="659"/>
      <c r="D115" s="659"/>
      <c r="E115" s="659"/>
      <c r="F115" s="659"/>
      <c r="G115" s="659"/>
      <c r="H115" s="659"/>
      <c r="I115" s="659"/>
      <c r="J115" s="659"/>
      <c r="K115" s="659"/>
      <c r="L115" s="345"/>
      <c r="M115" s="346"/>
      <c r="N115" s="349"/>
      <c r="O115" s="349"/>
      <c r="P115" s="349"/>
      <c r="Q115" s="82"/>
      <c r="R115" s="82"/>
      <c r="S115" s="82"/>
      <c r="T115" s="82"/>
      <c r="U115" s="82"/>
      <c r="V115" s="82"/>
    </row>
    <row r="116" spans="1:22" s="4" customFormat="1" ht="41.1" customHeight="1" x14ac:dyDescent="0.2">
      <c r="A116" s="148"/>
      <c r="B116" s="573" t="s">
        <v>552</v>
      </c>
      <c r="C116" s="518" t="s">
        <v>297</v>
      </c>
      <c r="D116" s="518" t="s">
        <v>298</v>
      </c>
      <c r="E116" s="518" t="s">
        <v>332</v>
      </c>
      <c r="F116" s="518" t="s">
        <v>333</v>
      </c>
      <c r="G116" s="518" t="s">
        <v>334</v>
      </c>
      <c r="H116" s="518" t="s">
        <v>553</v>
      </c>
      <c r="I116" s="518"/>
      <c r="J116" s="518"/>
      <c r="K116" s="518"/>
      <c r="L116" s="518" t="s">
        <v>554</v>
      </c>
      <c r="M116" s="519"/>
      <c r="N116" s="115"/>
      <c r="O116" s="115"/>
      <c r="P116" s="115"/>
      <c r="Q116" s="115"/>
      <c r="R116" s="115"/>
      <c r="S116" s="115"/>
      <c r="T116" s="115"/>
      <c r="U116" s="115"/>
      <c r="V116" s="115"/>
    </row>
    <row r="117" spans="1:22" ht="39.950000000000003" customHeight="1" x14ac:dyDescent="0.25">
      <c r="A117" s="42"/>
      <c r="B117" s="573"/>
      <c r="C117" s="518"/>
      <c r="D117" s="518"/>
      <c r="E117" s="518"/>
      <c r="F117" s="518"/>
      <c r="G117" s="518"/>
      <c r="H117" s="173" t="s">
        <v>215</v>
      </c>
      <c r="I117" s="173" t="s">
        <v>555</v>
      </c>
      <c r="J117" s="173" t="s">
        <v>214</v>
      </c>
      <c r="K117" s="173" t="s">
        <v>555</v>
      </c>
      <c r="L117" s="173" t="s">
        <v>216</v>
      </c>
      <c r="M117" s="272" t="s">
        <v>555</v>
      </c>
      <c r="N117" s="349"/>
      <c r="O117" s="349"/>
      <c r="P117" s="349"/>
      <c r="Q117" s="82"/>
      <c r="R117" s="82"/>
      <c r="S117" s="82"/>
      <c r="T117" s="82"/>
      <c r="U117" s="82"/>
      <c r="V117" s="82"/>
    </row>
    <row r="118" spans="1:22" ht="18" customHeight="1" x14ac:dyDescent="0.25">
      <c r="A118" s="42"/>
      <c r="B118" s="348" t="s">
        <v>331</v>
      </c>
      <c r="C118" s="159">
        <v>0.47649301143583228</v>
      </c>
      <c r="D118" s="159">
        <v>0.22122647394401693</v>
      </c>
      <c r="E118" s="160">
        <v>76.238230939383982</v>
      </c>
      <c r="F118" s="160">
        <v>257.23654105757549</v>
      </c>
      <c r="G118" s="160">
        <v>34354.123560311295</v>
      </c>
      <c r="H118" s="161">
        <v>5.9172185430463573</v>
      </c>
      <c r="I118" s="161">
        <v>2.9209179019292244</v>
      </c>
      <c r="J118" s="161">
        <v>3.8493377483443707</v>
      </c>
      <c r="K118" s="161">
        <v>1.6819117521219149</v>
      </c>
      <c r="L118" s="161">
        <v>2</v>
      </c>
      <c r="M118" s="347">
        <v>1</v>
      </c>
      <c r="N118" s="349"/>
      <c r="O118" s="349"/>
      <c r="P118" s="349"/>
      <c r="Q118" s="82"/>
      <c r="R118" s="82"/>
      <c r="S118" s="82"/>
      <c r="T118" s="82"/>
      <c r="U118" s="82"/>
      <c r="V118" s="82"/>
    </row>
    <row r="119" spans="1:22" ht="18" customHeight="1" x14ac:dyDescent="0.25">
      <c r="A119" s="42"/>
      <c r="B119" s="348" t="s">
        <v>303</v>
      </c>
      <c r="C119" s="159">
        <v>0.42724867724867727</v>
      </c>
      <c r="D119" s="159">
        <v>0.37139280335283853</v>
      </c>
      <c r="E119" s="160">
        <v>57.274011432769804</v>
      </c>
      <c r="F119" s="160">
        <v>190.06339737752145</v>
      </c>
      <c r="G119" s="160">
        <v>42351.070733688743</v>
      </c>
      <c r="H119" s="161">
        <v>8</v>
      </c>
      <c r="I119" s="161">
        <v>4</v>
      </c>
      <c r="J119" s="161">
        <v>5</v>
      </c>
      <c r="K119" s="161">
        <v>2</v>
      </c>
      <c r="L119" s="161">
        <v>2</v>
      </c>
      <c r="M119" s="347">
        <v>1</v>
      </c>
      <c r="N119" s="349"/>
      <c r="O119" s="349"/>
      <c r="P119" s="349"/>
      <c r="Q119" s="82"/>
      <c r="R119" s="82"/>
      <c r="S119" s="82"/>
      <c r="T119" s="82"/>
      <c r="U119" s="82"/>
      <c r="V119" s="82"/>
    </row>
    <row r="120" spans="1:22" ht="18" customHeight="1" x14ac:dyDescent="0.25">
      <c r="A120" s="42"/>
      <c r="B120" s="348" t="s">
        <v>217</v>
      </c>
      <c r="C120" s="159">
        <v>0.44348894348894347</v>
      </c>
      <c r="D120" s="159">
        <v>0.40709931113624243</v>
      </c>
      <c r="E120" s="160">
        <v>54.349571019426591</v>
      </c>
      <c r="F120" s="160">
        <v>174.39736956106589</v>
      </c>
      <c r="G120" s="160">
        <v>50127.70490627546</v>
      </c>
      <c r="H120" s="161">
        <v>13</v>
      </c>
      <c r="I120" s="161">
        <v>6</v>
      </c>
      <c r="J120" s="161">
        <v>9</v>
      </c>
      <c r="K120" s="161">
        <v>4</v>
      </c>
      <c r="L120" s="161">
        <v>3</v>
      </c>
      <c r="M120" s="347">
        <v>2</v>
      </c>
      <c r="N120" s="349"/>
      <c r="O120" s="349"/>
      <c r="P120" s="349"/>
      <c r="Q120" s="82"/>
      <c r="R120" s="82"/>
      <c r="S120" s="82"/>
      <c r="T120" s="82"/>
      <c r="U120" s="82"/>
      <c r="V120" s="82"/>
    </row>
    <row r="121" spans="1:22" ht="18" customHeight="1" x14ac:dyDescent="0.25">
      <c r="A121" s="42"/>
      <c r="B121" s="348" t="s">
        <v>218</v>
      </c>
      <c r="C121" s="159">
        <v>0.42313323572474376</v>
      </c>
      <c r="D121" s="159">
        <v>0.49348465881037912</v>
      </c>
      <c r="E121" s="160">
        <v>57.282601269718903</v>
      </c>
      <c r="F121" s="160">
        <v>168.58894990698664</v>
      </c>
      <c r="G121" s="160">
        <v>65581.613946457961</v>
      </c>
      <c r="H121" s="161">
        <v>23</v>
      </c>
      <c r="I121" s="161">
        <v>12</v>
      </c>
      <c r="J121" s="161">
        <v>17</v>
      </c>
      <c r="K121" s="161">
        <v>9</v>
      </c>
      <c r="L121" s="161">
        <v>5</v>
      </c>
      <c r="M121" s="347">
        <v>2</v>
      </c>
      <c r="N121" s="349"/>
      <c r="O121" s="349"/>
      <c r="P121" s="349"/>
      <c r="Q121" s="82"/>
      <c r="R121" s="82"/>
      <c r="S121" s="82"/>
      <c r="T121" s="82"/>
      <c r="U121" s="82"/>
      <c r="V121" s="82"/>
    </row>
    <row r="122" spans="1:22" ht="18" customHeight="1" x14ac:dyDescent="0.25">
      <c r="A122" s="42"/>
      <c r="B122" s="348" t="s">
        <v>219</v>
      </c>
      <c r="C122" s="159">
        <v>0.515625</v>
      </c>
      <c r="D122" s="159">
        <v>0.61770723035030728</v>
      </c>
      <c r="E122" s="160">
        <v>64.262099506674858</v>
      </c>
      <c r="F122" s="160">
        <v>194.38418757108315</v>
      </c>
      <c r="G122" s="160">
        <v>97837.907813303551</v>
      </c>
      <c r="H122" s="161">
        <v>40</v>
      </c>
      <c r="I122" s="161">
        <v>16</v>
      </c>
      <c r="J122" s="161">
        <v>29</v>
      </c>
      <c r="K122" s="161">
        <v>12</v>
      </c>
      <c r="L122" s="161">
        <v>9</v>
      </c>
      <c r="M122" s="347">
        <v>4</v>
      </c>
      <c r="N122" s="349"/>
      <c r="O122" s="349"/>
      <c r="P122" s="349"/>
      <c r="Q122" s="82"/>
      <c r="R122" s="82"/>
      <c r="S122" s="82"/>
      <c r="T122" s="82"/>
      <c r="U122" s="82"/>
      <c r="V122" s="82"/>
    </row>
    <row r="123" spans="1:22" ht="18" customHeight="1" x14ac:dyDescent="0.25">
      <c r="A123" s="42"/>
      <c r="B123" s="348" t="s">
        <v>220</v>
      </c>
      <c r="C123" s="159">
        <v>0.6097560975609756</v>
      </c>
      <c r="D123" s="159">
        <v>0.67613131055343656</v>
      </c>
      <c r="E123" s="160">
        <v>73.567370548852153</v>
      </c>
      <c r="F123" s="160">
        <v>235.74406674919163</v>
      </c>
      <c r="G123" s="160">
        <v>127348.6575142635</v>
      </c>
      <c r="H123" s="161">
        <v>77</v>
      </c>
      <c r="I123" s="161">
        <v>28</v>
      </c>
      <c r="J123" s="161">
        <v>55</v>
      </c>
      <c r="K123" s="161">
        <v>21</v>
      </c>
      <c r="L123" s="161">
        <v>14</v>
      </c>
      <c r="M123" s="347">
        <v>5</v>
      </c>
      <c r="N123" s="349"/>
      <c r="O123" s="349"/>
      <c r="P123" s="349"/>
      <c r="Q123" s="82"/>
      <c r="R123" s="82"/>
      <c r="S123" s="82"/>
      <c r="T123" s="82"/>
      <c r="U123" s="82"/>
      <c r="V123" s="82"/>
    </row>
    <row r="124" spans="1:22" ht="18" customHeight="1" x14ac:dyDescent="0.25">
      <c r="A124" s="42"/>
      <c r="B124" s="348" t="s">
        <v>221</v>
      </c>
      <c r="C124" s="159">
        <v>0.65625</v>
      </c>
      <c r="D124" s="159">
        <v>0.67737895956477123</v>
      </c>
      <c r="E124" s="160">
        <v>91.295354972229489</v>
      </c>
      <c r="F124" s="160">
        <v>293.65988211593054</v>
      </c>
      <c r="G124" s="160">
        <v>156054.3674866762</v>
      </c>
      <c r="H124" s="161">
        <v>174</v>
      </c>
      <c r="I124" s="161">
        <v>86</v>
      </c>
      <c r="J124" s="161">
        <v>123</v>
      </c>
      <c r="K124" s="161">
        <v>58</v>
      </c>
      <c r="L124" s="161">
        <v>27</v>
      </c>
      <c r="M124" s="347">
        <v>12</v>
      </c>
      <c r="N124" s="349"/>
      <c r="O124" s="349"/>
      <c r="P124" s="349"/>
      <c r="Q124" s="82"/>
      <c r="R124" s="82"/>
      <c r="S124" s="82"/>
      <c r="T124" s="82"/>
      <c r="U124" s="82"/>
      <c r="V124" s="82"/>
    </row>
    <row r="125" spans="1:22" ht="18" customHeight="1" x14ac:dyDescent="0.25">
      <c r="A125" s="42"/>
      <c r="B125" s="348" t="s">
        <v>222</v>
      </c>
      <c r="C125" s="159">
        <v>0.79166666666666663</v>
      </c>
      <c r="D125" s="159">
        <v>0.33469481500750975</v>
      </c>
      <c r="E125" s="160">
        <v>94.653332395743064</v>
      </c>
      <c r="F125" s="160">
        <v>253.75185308935417</v>
      </c>
      <c r="G125" s="160">
        <v>153510.06051820077</v>
      </c>
      <c r="H125" s="161">
        <v>407</v>
      </c>
      <c r="I125" s="161">
        <v>159</v>
      </c>
      <c r="J125" s="161">
        <v>281</v>
      </c>
      <c r="K125" s="161">
        <v>100</v>
      </c>
      <c r="L125" s="161">
        <v>59</v>
      </c>
      <c r="M125" s="347">
        <v>23</v>
      </c>
      <c r="N125" s="349"/>
      <c r="O125" s="349"/>
      <c r="P125" s="349"/>
      <c r="Q125" s="82"/>
      <c r="R125" s="82"/>
      <c r="S125" s="82"/>
      <c r="T125" s="82"/>
      <c r="U125" s="82"/>
      <c r="V125" s="82"/>
    </row>
    <row r="126" spans="1:22" ht="18" customHeight="1" x14ac:dyDescent="0.25">
      <c r="A126" s="42"/>
      <c r="B126" s="348" t="s">
        <v>223</v>
      </c>
      <c r="C126" s="159">
        <v>0.6470588235294118</v>
      </c>
      <c r="D126" s="159">
        <v>0.90267986707356007</v>
      </c>
      <c r="E126" s="160">
        <v>123.31286747588608</v>
      </c>
      <c r="F126" s="160">
        <v>317.73313071215892</v>
      </c>
      <c r="G126" s="160">
        <v>173594.18733896015</v>
      </c>
      <c r="H126" s="161">
        <v>1875</v>
      </c>
      <c r="I126" s="161">
        <v>1389</v>
      </c>
      <c r="J126" s="161">
        <v>1261</v>
      </c>
      <c r="K126" s="161">
        <v>952</v>
      </c>
      <c r="L126" s="161">
        <v>180</v>
      </c>
      <c r="M126" s="347">
        <v>114</v>
      </c>
      <c r="N126" s="349"/>
      <c r="O126" s="349"/>
      <c r="P126" s="349"/>
      <c r="Q126" s="82"/>
      <c r="R126" s="82"/>
      <c r="S126" s="82"/>
      <c r="T126" s="82"/>
      <c r="U126" s="82"/>
      <c r="V126" s="82"/>
    </row>
    <row r="127" spans="1:22" ht="24.95" customHeight="1" x14ac:dyDescent="0.25">
      <c r="A127" s="42"/>
      <c r="B127" s="50" t="s">
        <v>335</v>
      </c>
      <c r="C127" s="42"/>
      <c r="D127" s="42"/>
      <c r="E127" s="42"/>
      <c r="F127" s="50" t="s">
        <v>224</v>
      </c>
      <c r="G127" s="42"/>
      <c r="H127" s="42"/>
      <c r="I127" s="42"/>
      <c r="J127" s="42"/>
      <c r="K127" s="42"/>
      <c r="L127" s="42"/>
      <c r="M127" s="42"/>
      <c r="N127" s="82"/>
      <c r="O127" s="82"/>
      <c r="P127" s="82"/>
      <c r="Q127" s="82"/>
      <c r="R127" s="82"/>
      <c r="S127" s="82"/>
      <c r="T127" s="82"/>
      <c r="U127" s="82"/>
      <c r="V127" s="82"/>
    </row>
    <row r="128" spans="1:22" x14ac:dyDescent="0.25">
      <c r="A128" s="137"/>
      <c r="B128" s="137"/>
      <c r="C128" s="137"/>
      <c r="D128" s="137"/>
      <c r="E128" s="137"/>
      <c r="F128" s="137"/>
      <c r="G128" s="137"/>
      <c r="H128" s="137"/>
      <c r="I128" s="137"/>
      <c r="J128" s="137"/>
      <c r="K128" s="137"/>
      <c r="L128" s="137"/>
      <c r="M128" s="137"/>
    </row>
    <row r="129" spans="1:13" x14ac:dyDescent="0.25">
      <c r="A129" s="137"/>
      <c r="B129" s="137"/>
      <c r="C129" s="137"/>
      <c r="D129" s="137"/>
      <c r="E129" s="137"/>
      <c r="F129" s="109"/>
      <c r="G129" s="109"/>
      <c r="H129" s="109"/>
      <c r="I129" s="109"/>
      <c r="J129" s="109"/>
      <c r="K129" s="109"/>
      <c r="L129" s="137"/>
      <c r="M129" s="137"/>
    </row>
    <row r="130" spans="1:13" x14ac:dyDescent="0.25">
      <c r="A130" s="137"/>
      <c r="B130" s="137"/>
      <c r="C130" s="137"/>
      <c r="D130" s="137"/>
      <c r="E130" s="137"/>
      <c r="F130" s="109"/>
      <c r="G130" s="109"/>
      <c r="H130" s="109"/>
      <c r="I130" s="109"/>
      <c r="J130" s="109"/>
      <c r="K130" s="109"/>
      <c r="L130" s="137"/>
      <c r="M130" s="137"/>
    </row>
    <row r="131" spans="1:13" x14ac:dyDescent="0.25">
      <c r="A131" s="137"/>
      <c r="B131" s="137"/>
      <c r="C131" s="137"/>
      <c r="D131" s="137"/>
      <c r="E131" s="137"/>
      <c r="F131" s="109"/>
      <c r="G131" s="325"/>
      <c r="H131" s="109"/>
      <c r="I131" s="109"/>
      <c r="J131" s="109"/>
      <c r="K131" s="109"/>
      <c r="L131" s="137"/>
      <c r="M131" s="137"/>
    </row>
    <row r="132" spans="1:13" x14ac:dyDescent="0.25">
      <c r="A132" s="137"/>
      <c r="B132" s="137"/>
      <c r="C132" s="137"/>
      <c r="D132" s="137"/>
      <c r="E132" s="137"/>
      <c r="F132" s="109"/>
      <c r="G132" s="109"/>
      <c r="H132" s="109"/>
      <c r="I132" s="109"/>
      <c r="J132" s="109"/>
      <c r="K132" s="109"/>
      <c r="L132" s="137"/>
      <c r="M132" s="137"/>
    </row>
    <row r="133" spans="1:13" x14ac:dyDescent="0.25">
      <c r="F133" s="85"/>
      <c r="G133" s="85"/>
      <c r="H133" s="85"/>
      <c r="I133" s="85"/>
      <c r="J133" s="85"/>
      <c r="K133" s="85"/>
    </row>
    <row r="134" spans="1:13" x14ac:dyDescent="0.25">
      <c r="F134" s="85"/>
      <c r="G134" s="85"/>
      <c r="H134" s="85"/>
      <c r="I134" s="85"/>
      <c r="J134" s="85"/>
      <c r="K134" s="85"/>
    </row>
    <row r="135" spans="1:13" x14ac:dyDescent="0.25">
      <c r="F135" s="85"/>
      <c r="G135" s="85"/>
      <c r="H135" s="85"/>
      <c r="I135" s="85"/>
      <c r="J135" s="85"/>
      <c r="K135" s="85"/>
    </row>
    <row r="136" spans="1:13" x14ac:dyDescent="0.25">
      <c r="F136" s="85"/>
      <c r="G136" s="85"/>
      <c r="H136" s="85"/>
      <c r="I136" s="85"/>
      <c r="J136" s="85"/>
      <c r="K136" s="85"/>
    </row>
    <row r="137" spans="1:13" x14ac:dyDescent="0.25">
      <c r="F137" s="85"/>
      <c r="G137" s="85"/>
      <c r="H137" s="85"/>
      <c r="I137" s="85"/>
      <c r="J137" s="85"/>
      <c r="K137" s="85"/>
    </row>
    <row r="138" spans="1:13" x14ac:dyDescent="0.25">
      <c r="F138" s="85"/>
      <c r="G138" s="85"/>
      <c r="H138" s="85"/>
      <c r="I138" s="85"/>
      <c r="J138" s="85"/>
      <c r="K138" s="85"/>
    </row>
    <row r="139" spans="1:13" x14ac:dyDescent="0.25">
      <c r="F139" s="85"/>
      <c r="G139" s="85"/>
      <c r="H139" s="85"/>
      <c r="I139" s="85"/>
      <c r="J139" s="85"/>
      <c r="K139" s="85"/>
    </row>
    <row r="140" spans="1:13" x14ac:dyDescent="0.25">
      <c r="F140" s="85"/>
      <c r="G140" s="85"/>
      <c r="H140" s="85"/>
      <c r="I140" s="85"/>
      <c r="J140" s="85"/>
      <c r="K140" s="85"/>
    </row>
    <row r="141" spans="1:13" x14ac:dyDescent="0.25">
      <c r="F141" s="85"/>
      <c r="G141" s="85"/>
      <c r="H141" s="85"/>
      <c r="I141" s="85"/>
      <c r="J141" s="85"/>
      <c r="K141" s="85"/>
    </row>
  </sheetData>
  <mergeCells count="90">
    <mergeCell ref="B1:G1"/>
    <mergeCell ref="B95:C95"/>
    <mergeCell ref="B98:D99"/>
    <mergeCell ref="B100:C100"/>
    <mergeCell ref="B96:D96"/>
    <mergeCell ref="B89:D90"/>
    <mergeCell ref="B2:K2"/>
    <mergeCell ref="B71:D72"/>
    <mergeCell ref="B73:C73"/>
    <mergeCell ref="B74:C74"/>
    <mergeCell ref="B75:C75"/>
    <mergeCell ref="B77:C77"/>
    <mergeCell ref="B80:D81"/>
    <mergeCell ref="B82:C82"/>
    <mergeCell ref="B83:C83"/>
    <mergeCell ref="B84:C84"/>
    <mergeCell ref="B112:D112"/>
    <mergeCell ref="B101:C101"/>
    <mergeCell ref="B102:C102"/>
    <mergeCell ref="B103:C103"/>
    <mergeCell ref="B104:C104"/>
    <mergeCell ref="B107:D108"/>
    <mergeCell ref="B110:D110"/>
    <mergeCell ref="B111:D111"/>
    <mergeCell ref="B105:D105"/>
    <mergeCell ref="B109:D109"/>
    <mergeCell ref="B54:C54"/>
    <mergeCell ref="B55:C55"/>
    <mergeCell ref="B93:C93"/>
    <mergeCell ref="B94:C94"/>
    <mergeCell ref="B58:C58"/>
    <mergeCell ref="B59:C59"/>
    <mergeCell ref="B56:C56"/>
    <mergeCell ref="B57:C57"/>
    <mergeCell ref="B42:C42"/>
    <mergeCell ref="B53:C53"/>
    <mergeCell ref="B44:C44"/>
    <mergeCell ref="B45:C45"/>
    <mergeCell ref="B46:C46"/>
    <mergeCell ref="B47:C47"/>
    <mergeCell ref="B48:C48"/>
    <mergeCell ref="B49:C49"/>
    <mergeCell ref="B50:C50"/>
    <mergeCell ref="B51:C51"/>
    <mergeCell ref="B52:C52"/>
    <mergeCell ref="L3:M3"/>
    <mergeCell ref="B28:K28"/>
    <mergeCell ref="B43:C43"/>
    <mergeCell ref="B31:C31"/>
    <mergeCell ref="B29:C30"/>
    <mergeCell ref="D29:D30"/>
    <mergeCell ref="B36:C36"/>
    <mergeCell ref="B37:C37"/>
    <mergeCell ref="B38:C38"/>
    <mergeCell ref="B39:C39"/>
    <mergeCell ref="B32:C32"/>
    <mergeCell ref="B33:C33"/>
    <mergeCell ref="B34:C34"/>
    <mergeCell ref="B35:C35"/>
    <mergeCell ref="B40:C40"/>
    <mergeCell ref="B41:C41"/>
    <mergeCell ref="B3:C3"/>
    <mergeCell ref="D3:E3"/>
    <mergeCell ref="F3:G3"/>
    <mergeCell ref="H3:I3"/>
    <mergeCell ref="J3:K3"/>
    <mergeCell ref="B116:B117"/>
    <mergeCell ref="F116:F117"/>
    <mergeCell ref="L116:M116"/>
    <mergeCell ref="H116:K116"/>
    <mergeCell ref="G116:G117"/>
    <mergeCell ref="E116:E117"/>
    <mergeCell ref="D116:D117"/>
    <mergeCell ref="C116:C117"/>
    <mergeCell ref="B115:K115"/>
    <mergeCell ref="B60:D60"/>
    <mergeCell ref="B69:D69"/>
    <mergeCell ref="B78:D78"/>
    <mergeCell ref="B87:D87"/>
    <mergeCell ref="B62:D63"/>
    <mergeCell ref="B91:C91"/>
    <mergeCell ref="B76:C76"/>
    <mergeCell ref="B64:C64"/>
    <mergeCell ref="B65:C65"/>
    <mergeCell ref="B66:C66"/>
    <mergeCell ref="B67:C67"/>
    <mergeCell ref="B68:C68"/>
    <mergeCell ref="B92:C92"/>
    <mergeCell ref="B85:C85"/>
    <mergeCell ref="B86:C86"/>
  </mergeCells>
  <hyperlinks>
    <hyperlink ref="H1" location="'1 Identificação e Parâmetros'!A1" display="RETORNAR para o Índice" xr:uid="{00000000-0004-0000-0900-000000000000}"/>
  </hyperlinks>
  <pageMargins left="0.511811024" right="0.511811024" top="0.78740157499999996" bottom="0.78740157499999996" header="0.31496062000000002" footer="0.31496062000000002"/>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CG55"/>
  <sheetViews>
    <sheetView showGridLines="0" topLeftCell="A22" zoomScale="90" zoomScaleNormal="90" workbookViewId="0">
      <selection activeCell="AC1" sqref="AC1:CG1048576"/>
    </sheetView>
  </sheetViews>
  <sheetFormatPr defaultColWidth="8.85546875" defaultRowHeight="12.75" x14ac:dyDescent="0.2"/>
  <cols>
    <col min="1" max="1" width="7.140625" customWidth="1"/>
    <col min="2" max="2" width="3.140625" customWidth="1"/>
    <col min="4" max="4" width="6.85546875" customWidth="1"/>
    <col min="5" max="5" width="16.85546875" customWidth="1"/>
    <col min="9" max="9" width="11.85546875" bestFit="1" customWidth="1"/>
    <col min="10" max="10" width="17.42578125" customWidth="1"/>
    <col min="11" max="11" width="15" customWidth="1"/>
    <col min="12" max="12" width="8.140625" customWidth="1"/>
    <col min="15" max="15" width="9.140625" customWidth="1"/>
    <col min="16" max="16" width="11" customWidth="1"/>
    <col min="20" max="20" width="15.42578125" customWidth="1"/>
    <col min="21" max="21" width="32.42578125" customWidth="1"/>
    <col min="22" max="22" width="12.85546875" customWidth="1"/>
    <col min="23" max="23" width="13.140625" customWidth="1"/>
    <col min="24" max="24" width="11.42578125" customWidth="1"/>
    <col min="25" max="25" width="10.42578125" customWidth="1"/>
    <col min="26" max="26" width="10.140625" customWidth="1"/>
    <col min="27" max="27" width="13.85546875" bestFit="1" customWidth="1"/>
    <col min="29" max="85" width="8.85546875" style="8"/>
  </cols>
  <sheetData>
    <row r="1" spans="1:85" ht="9.9499999999999993" customHeight="1" x14ac:dyDescent="0.25">
      <c r="A1" s="493"/>
      <c r="B1" s="493"/>
      <c r="C1" s="493"/>
      <c r="D1" s="493"/>
      <c r="E1" s="493"/>
      <c r="F1" s="493"/>
      <c r="G1" s="493"/>
      <c r="H1" s="493"/>
      <c r="I1" s="493"/>
      <c r="J1" s="493"/>
      <c r="K1" s="493"/>
      <c r="L1" s="493"/>
      <c r="M1" s="493"/>
      <c r="N1" s="493"/>
      <c r="O1" s="493"/>
      <c r="P1" s="1"/>
      <c r="Q1" s="1"/>
      <c r="R1" s="1"/>
      <c r="S1" s="1"/>
      <c r="T1" s="1"/>
      <c r="U1" s="1"/>
      <c r="V1" s="1"/>
      <c r="W1" s="110"/>
      <c r="X1" s="110"/>
      <c r="Y1" s="110"/>
    </row>
    <row r="2" spans="1:85" ht="12" customHeight="1" x14ac:dyDescent="0.2">
      <c r="A2" s="494"/>
      <c r="B2" s="494"/>
      <c r="C2" s="494"/>
      <c r="D2" s="494"/>
      <c r="E2" s="494"/>
      <c r="F2" s="494"/>
      <c r="G2" s="494"/>
      <c r="H2" s="494"/>
      <c r="I2" s="494"/>
      <c r="J2" s="494"/>
      <c r="K2" s="494"/>
      <c r="L2" s="494"/>
      <c r="M2" s="494"/>
      <c r="N2" s="494"/>
      <c r="O2" s="494"/>
      <c r="P2" s="1"/>
      <c r="Q2" s="1"/>
      <c r="R2" s="1"/>
      <c r="S2" s="1"/>
      <c r="T2" s="1"/>
      <c r="U2" s="1"/>
      <c r="V2" s="1"/>
      <c r="W2" s="110"/>
      <c r="X2" s="110"/>
      <c r="Y2" s="110"/>
    </row>
    <row r="3" spans="1:85" ht="45" customHeight="1" x14ac:dyDescent="0.3">
      <c r="A3" s="496"/>
      <c r="B3" s="496"/>
      <c r="C3" s="496"/>
      <c r="D3" s="496"/>
      <c r="E3" s="496"/>
      <c r="F3" s="496"/>
      <c r="G3" s="496"/>
      <c r="H3" s="496"/>
      <c r="I3" s="496"/>
      <c r="J3" s="496"/>
      <c r="K3" s="164" t="s">
        <v>319</v>
      </c>
      <c r="L3" s="184" t="s">
        <v>575</v>
      </c>
      <c r="M3" s="164" t="s">
        <v>159</v>
      </c>
      <c r="N3" s="499">
        <v>43889</v>
      </c>
      <c r="O3" s="499"/>
      <c r="P3" s="1"/>
      <c r="Q3" s="1"/>
      <c r="R3" s="1"/>
      <c r="S3" s="1"/>
      <c r="T3" s="1"/>
      <c r="U3" s="1"/>
      <c r="V3" s="1"/>
      <c r="W3" s="110"/>
      <c r="X3" s="110"/>
      <c r="Y3" s="110"/>
    </row>
    <row r="4" spans="1:85" ht="21.95" customHeight="1" x14ac:dyDescent="0.25">
      <c r="A4" s="166" t="s">
        <v>566</v>
      </c>
      <c r="B4" s="165"/>
      <c r="C4" s="163"/>
      <c r="D4" s="497" t="s">
        <v>574</v>
      </c>
      <c r="E4" s="497"/>
      <c r="F4" s="497"/>
      <c r="G4" s="497"/>
      <c r="H4" s="164" t="s">
        <v>159</v>
      </c>
      <c r="I4" s="426">
        <v>43861</v>
      </c>
      <c r="J4" s="162"/>
      <c r="K4" s="164" t="s">
        <v>347</v>
      </c>
      <c r="L4" s="497" t="s">
        <v>576</v>
      </c>
      <c r="M4" s="497"/>
      <c r="N4" s="497"/>
      <c r="O4" s="497"/>
      <c r="P4" s="1"/>
      <c r="Q4" s="1"/>
      <c r="R4" s="1"/>
      <c r="S4" s="1"/>
      <c r="T4" s="1"/>
      <c r="U4" s="1"/>
      <c r="V4" s="1"/>
      <c r="W4" s="110"/>
      <c r="X4" s="110"/>
      <c r="Y4" s="110"/>
    </row>
    <row r="5" spans="1:85" ht="32.1" customHeight="1" x14ac:dyDescent="0.2">
      <c r="A5" s="167"/>
      <c r="B5" s="16"/>
      <c r="C5" s="16"/>
      <c r="D5" s="16"/>
      <c r="E5" s="16"/>
      <c r="F5" s="16"/>
      <c r="G5" s="16"/>
      <c r="H5" s="16"/>
      <c r="I5" s="16"/>
      <c r="J5" s="16"/>
      <c r="K5" s="16"/>
      <c r="L5" s="16"/>
      <c r="M5" s="16"/>
      <c r="N5" s="16"/>
      <c r="O5" s="16"/>
      <c r="P5" s="1"/>
      <c r="Q5" s="1"/>
      <c r="R5" s="1"/>
      <c r="S5" s="1"/>
      <c r="T5" s="1"/>
      <c r="U5" s="1"/>
      <c r="V5" s="1"/>
      <c r="W5" s="110"/>
      <c r="X5" s="110"/>
      <c r="Y5" s="110"/>
    </row>
    <row r="6" spans="1:85" s="8" customFormat="1" ht="18.95" customHeight="1" x14ac:dyDescent="0.25">
      <c r="A6" s="16"/>
      <c r="B6" s="21">
        <v>1</v>
      </c>
      <c r="C6" s="498" t="s">
        <v>267</v>
      </c>
      <c r="D6" s="498"/>
      <c r="E6" s="498"/>
      <c r="F6" s="500" t="s">
        <v>569</v>
      </c>
      <c r="G6" s="500"/>
      <c r="H6" s="500"/>
      <c r="I6" s="500"/>
      <c r="J6" s="500"/>
      <c r="K6" s="500"/>
      <c r="L6" s="16"/>
      <c r="M6" s="495" t="s">
        <v>48</v>
      </c>
      <c r="N6" s="495"/>
      <c r="O6" s="16"/>
      <c r="P6" s="6"/>
      <c r="Q6" s="6"/>
      <c r="R6" s="6"/>
      <c r="S6" s="6"/>
      <c r="T6" s="6"/>
      <c r="U6" s="6"/>
      <c r="V6" s="6"/>
      <c r="W6" s="114"/>
      <c r="X6" s="114"/>
      <c r="Y6" s="114"/>
    </row>
    <row r="7" spans="1:85" s="8" customFormat="1" ht="18.95" customHeight="1" x14ac:dyDescent="0.25">
      <c r="A7" s="16"/>
      <c r="B7" s="21">
        <v>2</v>
      </c>
      <c r="C7" s="498" t="s">
        <v>432</v>
      </c>
      <c r="D7" s="498"/>
      <c r="E7" s="498"/>
      <c r="F7" s="500" t="s">
        <v>570</v>
      </c>
      <c r="G7" s="500"/>
      <c r="H7" s="500"/>
      <c r="I7" s="500"/>
      <c r="J7" s="500"/>
      <c r="K7" s="500"/>
      <c r="L7" s="16"/>
      <c r="M7" s="495">
        <v>12345</v>
      </c>
      <c r="N7" s="495"/>
      <c r="O7" s="16"/>
      <c r="P7" s="6"/>
      <c r="Q7" s="6"/>
      <c r="R7" s="6"/>
      <c r="S7" s="6"/>
      <c r="T7" s="6"/>
      <c r="U7" s="6"/>
      <c r="V7" s="6"/>
      <c r="W7" s="114"/>
      <c r="X7" s="114"/>
      <c r="Y7" s="114"/>
    </row>
    <row r="8" spans="1:85" s="8" customFormat="1" ht="18.95" customHeight="1" x14ac:dyDescent="0.25">
      <c r="A8" s="16"/>
      <c r="B8" s="21">
        <v>3</v>
      </c>
      <c r="C8" s="512" t="s">
        <v>320</v>
      </c>
      <c r="D8" s="513"/>
      <c r="E8" s="513"/>
      <c r="F8" s="508" t="s">
        <v>571</v>
      </c>
      <c r="G8" s="508"/>
      <c r="H8" s="508"/>
      <c r="I8" s="508"/>
      <c r="J8" s="508"/>
      <c r="K8" s="508"/>
      <c r="L8" s="16"/>
      <c r="M8" s="16"/>
      <c r="N8" s="16"/>
      <c r="O8" s="16"/>
      <c r="P8" s="501" t="s">
        <v>586</v>
      </c>
      <c r="Q8" s="502"/>
      <c r="R8" s="503"/>
      <c r="S8" s="6"/>
      <c r="T8" s="6"/>
      <c r="U8" s="6"/>
      <c r="V8" s="6"/>
      <c r="W8" s="114"/>
      <c r="X8" s="114"/>
      <c r="Y8" s="114"/>
    </row>
    <row r="9" spans="1:85" s="8" customFormat="1" ht="18.95" customHeight="1" x14ac:dyDescent="0.25">
      <c r="A9" s="16"/>
      <c r="B9" s="21">
        <v>4</v>
      </c>
      <c r="C9" s="498" t="s">
        <v>433</v>
      </c>
      <c r="D9" s="498"/>
      <c r="E9" s="498"/>
      <c r="F9" s="498"/>
      <c r="G9" s="498"/>
      <c r="H9" s="498"/>
      <c r="I9" s="498"/>
      <c r="J9" s="498"/>
      <c r="K9" s="427">
        <v>2019</v>
      </c>
      <c r="L9" s="16"/>
      <c r="M9" s="16"/>
      <c r="N9" s="16"/>
      <c r="O9" s="16"/>
      <c r="P9" s="504"/>
      <c r="Q9" s="505"/>
      <c r="R9" s="506"/>
      <c r="S9" s="6"/>
      <c r="T9" s="6"/>
      <c r="U9" s="6"/>
      <c r="V9" s="6"/>
      <c r="W9" s="114"/>
      <c r="X9" s="114"/>
      <c r="Y9" s="114"/>
    </row>
    <row r="10" spans="1:85" s="8" customFormat="1" ht="18.95" customHeight="1" x14ac:dyDescent="0.25">
      <c r="A10" s="16"/>
      <c r="B10" s="21">
        <v>5</v>
      </c>
      <c r="C10" s="498" t="s">
        <v>434</v>
      </c>
      <c r="D10" s="498"/>
      <c r="E10" s="498"/>
      <c r="F10" s="498"/>
      <c r="G10" s="498"/>
      <c r="H10" s="498"/>
      <c r="I10" s="498"/>
      <c r="J10" s="498"/>
      <c r="K10" s="428">
        <v>1</v>
      </c>
      <c r="L10" s="16"/>
      <c r="M10" s="16"/>
      <c r="N10" s="16"/>
      <c r="O10" s="16"/>
      <c r="P10" s="82"/>
      <c r="Q10" s="82"/>
      <c r="R10" s="82"/>
      <c r="S10" s="6"/>
      <c r="T10" s="6"/>
      <c r="U10" s="6"/>
      <c r="V10" s="6"/>
      <c r="W10" s="114"/>
      <c r="X10" s="114"/>
      <c r="Y10" s="114"/>
    </row>
    <row r="11" spans="1:85" s="8" customFormat="1" ht="18.95" customHeight="1" x14ac:dyDescent="0.25">
      <c r="A11" s="16"/>
      <c r="B11" s="21">
        <v>6</v>
      </c>
      <c r="C11" s="498" t="s">
        <v>435</v>
      </c>
      <c r="D11" s="498"/>
      <c r="E11" s="498"/>
      <c r="F11" s="498"/>
      <c r="G11" s="498"/>
      <c r="H11" s="498"/>
      <c r="I11" s="498"/>
      <c r="J11" s="498"/>
      <c r="K11" s="428">
        <v>0.1</v>
      </c>
      <c r="L11" s="16"/>
      <c r="M11" s="16"/>
      <c r="N11" s="16"/>
      <c r="O11" s="16"/>
      <c r="P11" s="454" t="s">
        <v>579</v>
      </c>
      <c r="Q11" s="455"/>
      <c r="R11" s="462"/>
      <c r="S11" s="6"/>
      <c r="T11" s="6"/>
      <c r="U11" s="6"/>
      <c r="V11" s="6"/>
      <c r="W11" s="114"/>
      <c r="X11" s="114"/>
      <c r="Y11" s="114"/>
    </row>
    <row r="12" spans="1:85" s="8" customFormat="1" ht="18.95" customHeight="1" x14ac:dyDescent="0.25">
      <c r="A12" s="16"/>
      <c r="B12" s="21">
        <v>7</v>
      </c>
      <c r="C12" s="498" t="s">
        <v>436</v>
      </c>
      <c r="D12" s="498"/>
      <c r="E12" s="498"/>
      <c r="F12" s="498"/>
      <c r="G12" s="498"/>
      <c r="H12" s="498"/>
      <c r="I12" s="498"/>
      <c r="J12" s="498"/>
      <c r="K12" s="428">
        <v>1</v>
      </c>
      <c r="L12" s="16"/>
      <c r="M12" s="16"/>
      <c r="N12" s="16"/>
      <c r="O12" s="16"/>
      <c r="P12" s="82"/>
      <c r="Q12" s="82"/>
      <c r="R12" s="82"/>
      <c r="S12" s="6"/>
      <c r="T12" s="6"/>
      <c r="U12" s="6"/>
      <c r="V12" s="6"/>
      <c r="W12" s="114"/>
      <c r="X12" s="114"/>
      <c r="Y12" s="114"/>
    </row>
    <row r="13" spans="1:85" s="8" customFormat="1" ht="18.95" customHeight="1" x14ac:dyDescent="0.25">
      <c r="A13" s="16"/>
      <c r="B13" s="21">
        <v>8</v>
      </c>
      <c r="C13" s="509" t="s">
        <v>437</v>
      </c>
      <c r="D13" s="509"/>
      <c r="E13" s="509"/>
      <c r="F13" s="509"/>
      <c r="G13" s="509"/>
      <c r="H13" s="509"/>
      <c r="I13" s="509"/>
      <c r="J13" s="429" t="s">
        <v>572</v>
      </c>
      <c r="K13" s="428">
        <v>3.5999999999999997E-2</v>
      </c>
      <c r="L13" s="16"/>
      <c r="M13" s="16"/>
      <c r="N13" s="16"/>
      <c r="O13" s="16"/>
      <c r="P13" s="456"/>
      <c r="Q13" s="349" t="s">
        <v>580</v>
      </c>
      <c r="R13" s="82"/>
      <c r="S13" s="6"/>
      <c r="T13" s="6"/>
      <c r="U13" s="6"/>
      <c r="V13" s="6"/>
      <c r="W13" s="114"/>
      <c r="X13" s="114"/>
      <c r="Y13" s="114"/>
    </row>
    <row r="14" spans="1:85" s="8" customFormat="1" ht="18.95" customHeight="1" x14ac:dyDescent="0.25">
      <c r="A14" s="16"/>
      <c r="B14" s="21">
        <v>9</v>
      </c>
      <c r="C14" s="509" t="s">
        <v>438</v>
      </c>
      <c r="D14" s="509"/>
      <c r="E14" s="509"/>
      <c r="F14" s="509"/>
      <c r="G14" s="509"/>
      <c r="H14" s="509"/>
      <c r="I14" s="430">
        <f>IF(J14=0," ",IF(J14="1 - Reajuste de todas parcelas",1,2))</f>
        <v>1</v>
      </c>
      <c r="J14" s="510" t="s">
        <v>573</v>
      </c>
      <c r="K14" s="511"/>
      <c r="L14" s="16"/>
      <c r="M14" s="16"/>
      <c r="N14" s="16"/>
      <c r="O14" s="16"/>
      <c r="P14" s="457"/>
      <c r="Q14" s="349" t="s">
        <v>581</v>
      </c>
      <c r="R14" s="82"/>
      <c r="S14" s="6"/>
      <c r="T14" s="6"/>
      <c r="U14" s="6"/>
      <c r="V14" s="6"/>
      <c r="W14" s="114"/>
      <c r="X14" s="114"/>
      <c r="Y14" s="114"/>
    </row>
    <row r="15" spans="1:85" s="8" customFormat="1" ht="18.95" customHeight="1" x14ac:dyDescent="0.25">
      <c r="A15" s="16"/>
      <c r="B15" s="21">
        <v>10</v>
      </c>
      <c r="C15" s="498" t="s">
        <v>439</v>
      </c>
      <c r="D15" s="498"/>
      <c r="E15" s="498"/>
      <c r="F15" s="498"/>
      <c r="G15" s="498"/>
      <c r="H15" s="498"/>
      <c r="I15" s="498"/>
      <c r="J15" s="498"/>
      <c r="K15" s="428">
        <v>5.5E-2</v>
      </c>
      <c r="L15" s="16"/>
      <c r="M15" s="16"/>
      <c r="N15" s="16"/>
      <c r="O15" s="16"/>
      <c r="P15" s="458"/>
      <c r="Q15" s="349" t="s">
        <v>582</v>
      </c>
      <c r="R15" s="82"/>
      <c r="S15" s="6"/>
      <c r="T15" s="6"/>
      <c r="U15" s="6"/>
      <c r="V15" s="6"/>
      <c r="W15" s="114"/>
      <c r="X15" s="114"/>
      <c r="Y15" s="114"/>
    </row>
    <row r="16" spans="1:85" s="20" customFormat="1" ht="18.95" customHeight="1" thickBot="1" x14ac:dyDescent="0.3">
      <c r="A16" s="16"/>
      <c r="B16" s="21">
        <v>11</v>
      </c>
      <c r="C16" s="498" t="s">
        <v>291</v>
      </c>
      <c r="D16" s="498"/>
      <c r="E16" s="498"/>
      <c r="F16" s="498"/>
      <c r="G16" s="498"/>
      <c r="H16" s="498"/>
      <c r="I16" s="507" t="s">
        <v>292</v>
      </c>
      <c r="J16" s="507"/>
      <c r="K16" s="125" t="str">
        <f>IF(I16="Versão Completa","Ir para Aba 2"," ")</f>
        <v>Ir para Aba 2</v>
      </c>
      <c r="L16" s="16"/>
      <c r="M16" s="16"/>
      <c r="N16" s="16"/>
      <c r="O16" s="16"/>
      <c r="P16" s="459"/>
      <c r="Q16" s="349" t="s">
        <v>583</v>
      </c>
      <c r="R16" s="82"/>
      <c r="S16" s="6"/>
      <c r="T16" s="6"/>
      <c r="U16" s="6"/>
      <c r="V16" s="6"/>
      <c r="W16" s="114"/>
      <c r="X16" s="114"/>
      <c r="Y16" s="114"/>
      <c r="Z16" s="114"/>
      <c r="AA16" s="114"/>
      <c r="AB16" s="114"/>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row>
    <row r="17" spans="1:25" ht="35.25" customHeight="1" thickTop="1" x14ac:dyDescent="0.25">
      <c r="A17" s="17"/>
      <c r="B17" s="22"/>
      <c r="C17" s="23"/>
      <c r="D17" s="23"/>
      <c r="E17" s="23"/>
      <c r="F17" s="23"/>
      <c r="G17" s="23"/>
      <c r="H17" s="23"/>
      <c r="I17" s="23"/>
      <c r="J17" s="23"/>
      <c r="K17" s="131" t="str">
        <f>IF(I16="Versão Simplificada","Ir para Aba 5.2"," ")</f>
        <v xml:space="preserve"> </v>
      </c>
      <c r="L17" s="16"/>
      <c r="M17" s="16"/>
      <c r="N17" s="16"/>
      <c r="O17" s="16"/>
      <c r="P17" s="460"/>
      <c r="Q17" s="349" t="s">
        <v>584</v>
      </c>
      <c r="R17" s="1"/>
      <c r="S17" s="1"/>
      <c r="T17" s="1"/>
      <c r="U17" s="1"/>
      <c r="V17" s="1"/>
      <c r="W17" s="110"/>
      <c r="X17" s="110"/>
      <c r="Y17" s="110"/>
    </row>
    <row r="18" spans="1:25" ht="60.95" customHeight="1" x14ac:dyDescent="0.2">
      <c r="A18" s="6"/>
      <c r="B18" s="6"/>
      <c r="C18" s="6"/>
      <c r="D18" s="6"/>
      <c r="E18" s="6"/>
      <c r="F18" s="6"/>
      <c r="G18" s="6"/>
      <c r="H18" s="6"/>
      <c r="I18" s="6"/>
      <c r="J18" s="6"/>
      <c r="K18" s="6"/>
      <c r="L18" s="6"/>
      <c r="M18" s="6"/>
      <c r="N18" s="6"/>
      <c r="O18" s="6"/>
      <c r="P18" s="1"/>
      <c r="Q18" s="1"/>
      <c r="R18" s="1"/>
      <c r="S18" s="1"/>
      <c r="T18" s="1"/>
      <c r="U18" s="1"/>
      <c r="V18" s="1"/>
      <c r="W18" s="110"/>
      <c r="X18" s="110"/>
      <c r="Y18" s="110"/>
    </row>
    <row r="19" spans="1:25" ht="24" customHeight="1" x14ac:dyDescent="0.35">
      <c r="A19" s="130" t="s">
        <v>564</v>
      </c>
      <c r="B19" s="18"/>
      <c r="C19" s="16"/>
      <c r="D19" s="16"/>
      <c r="E19" s="16"/>
      <c r="F19" s="16"/>
      <c r="G19" s="16"/>
      <c r="H19" s="16"/>
      <c r="I19" s="16"/>
      <c r="J19" s="16"/>
      <c r="K19" s="16"/>
      <c r="L19" s="16"/>
      <c r="M19" s="16"/>
      <c r="N19" s="16"/>
      <c r="O19" s="16"/>
      <c r="P19" s="1"/>
      <c r="Q19" s="1"/>
      <c r="R19" s="1"/>
      <c r="S19" s="1"/>
      <c r="T19" s="1"/>
      <c r="U19" s="1"/>
      <c r="V19" s="1"/>
      <c r="W19" s="110"/>
      <c r="X19" s="110"/>
      <c r="Y19" s="110"/>
    </row>
    <row r="20" spans="1:25" ht="30.95" customHeight="1" x14ac:dyDescent="0.25">
      <c r="A20" s="126" t="s">
        <v>565</v>
      </c>
      <c r="B20" s="19"/>
      <c r="C20" s="16"/>
      <c r="D20" s="16"/>
      <c r="E20" s="16"/>
      <c r="F20" s="16"/>
      <c r="G20" s="16"/>
      <c r="H20" s="16"/>
      <c r="I20" s="16"/>
      <c r="J20" s="16"/>
      <c r="K20" s="16"/>
      <c r="L20" s="16"/>
      <c r="M20" s="16"/>
      <c r="N20" s="16"/>
      <c r="O20" s="16"/>
      <c r="P20" s="1"/>
      <c r="Q20" s="1"/>
      <c r="R20" s="1"/>
      <c r="S20" s="1"/>
      <c r="T20" s="1"/>
      <c r="U20" s="1"/>
      <c r="V20" s="1"/>
      <c r="W20" s="110"/>
      <c r="X20" s="110"/>
      <c r="Y20" s="110"/>
    </row>
    <row r="21" spans="1:25" ht="18.95" customHeight="1" x14ac:dyDescent="0.25">
      <c r="A21" s="127">
        <v>2</v>
      </c>
      <c r="B21" s="128" t="s">
        <v>145</v>
      </c>
      <c r="C21" s="129"/>
      <c r="D21" s="129"/>
      <c r="E21" s="129"/>
      <c r="F21" s="129"/>
      <c r="G21" s="129"/>
      <c r="H21" s="129"/>
      <c r="I21" s="16"/>
      <c r="J21" s="16"/>
      <c r="K21" s="16"/>
      <c r="L21" s="16"/>
      <c r="M21" s="16"/>
      <c r="N21" s="16"/>
      <c r="O21" s="16"/>
      <c r="P21" s="463"/>
      <c r="Q21" s="1"/>
      <c r="R21" s="1"/>
      <c r="S21" s="1"/>
      <c r="T21" s="1"/>
      <c r="U21" s="1"/>
      <c r="V21" s="1"/>
      <c r="W21" s="110"/>
      <c r="X21" s="110"/>
      <c r="Y21" s="110"/>
    </row>
    <row r="22" spans="1:25" ht="18.95" customHeight="1" x14ac:dyDescent="0.25">
      <c r="A22" s="127">
        <v>3</v>
      </c>
      <c r="B22" s="128" t="s">
        <v>336</v>
      </c>
      <c r="C22" s="129"/>
      <c r="D22" s="129"/>
      <c r="E22" s="129"/>
      <c r="F22" s="129"/>
      <c r="G22" s="129"/>
      <c r="H22" s="129"/>
      <c r="I22" s="16"/>
      <c r="J22" s="16"/>
      <c r="K22" s="16"/>
      <c r="L22" s="16"/>
      <c r="M22" s="16"/>
      <c r="N22" s="16"/>
      <c r="O22" s="16"/>
      <c r="P22" s="463"/>
      <c r="Q22" s="1"/>
      <c r="R22" s="1"/>
      <c r="S22" s="1"/>
      <c r="T22" s="1"/>
      <c r="U22" s="1"/>
      <c r="V22" s="1"/>
      <c r="W22" s="110"/>
      <c r="X22" s="110"/>
      <c r="Y22" s="110"/>
    </row>
    <row r="23" spans="1:25" ht="18.95" customHeight="1" x14ac:dyDescent="0.25">
      <c r="A23" s="127">
        <v>4</v>
      </c>
      <c r="B23" s="128" t="s">
        <v>337</v>
      </c>
      <c r="C23" s="129"/>
      <c r="D23" s="129"/>
      <c r="E23" s="129"/>
      <c r="F23" s="129"/>
      <c r="G23" s="129"/>
      <c r="H23" s="129"/>
      <c r="I23" s="16"/>
      <c r="J23" s="16"/>
      <c r="K23" s="16"/>
      <c r="L23" s="16"/>
      <c r="M23" s="16"/>
      <c r="N23" s="16"/>
      <c r="O23" s="1"/>
      <c r="P23" s="1"/>
      <c r="Q23" s="1"/>
      <c r="R23" s="1"/>
      <c r="S23" s="1"/>
      <c r="T23" s="1"/>
      <c r="U23" s="1"/>
      <c r="V23" s="1"/>
      <c r="W23" s="110"/>
      <c r="X23" s="110"/>
      <c r="Y23" s="110"/>
    </row>
    <row r="24" spans="1:25" ht="18.95" customHeight="1" x14ac:dyDescent="0.25">
      <c r="A24" s="127" t="s">
        <v>293</v>
      </c>
      <c r="B24" s="128" t="s">
        <v>338</v>
      </c>
      <c r="C24" s="129"/>
      <c r="D24" s="129"/>
      <c r="E24" s="129"/>
      <c r="F24" s="129"/>
      <c r="G24" s="129"/>
      <c r="H24" s="129"/>
      <c r="I24" s="16"/>
      <c r="J24" s="16"/>
      <c r="K24" s="16"/>
      <c r="L24" s="16"/>
      <c r="M24" s="16"/>
      <c r="N24" s="16"/>
      <c r="O24" s="1"/>
      <c r="P24" s="1"/>
      <c r="Q24" s="1"/>
      <c r="R24" s="1"/>
      <c r="S24" s="1"/>
      <c r="T24" s="1"/>
      <c r="U24" s="1"/>
      <c r="V24" s="1"/>
      <c r="W24" s="110"/>
      <c r="X24" s="110"/>
      <c r="Y24" s="110"/>
    </row>
    <row r="25" spans="1:25" ht="18.95" customHeight="1" x14ac:dyDescent="0.25">
      <c r="A25" s="127" t="s">
        <v>294</v>
      </c>
      <c r="B25" s="128" t="s">
        <v>339</v>
      </c>
      <c r="C25" s="129"/>
      <c r="D25" s="129"/>
      <c r="E25" s="129"/>
      <c r="F25" s="129"/>
      <c r="G25" s="129"/>
      <c r="H25" s="129"/>
      <c r="I25" s="16"/>
      <c r="J25" s="16"/>
      <c r="K25" s="16"/>
      <c r="L25" s="16"/>
      <c r="M25" s="16"/>
      <c r="N25" s="16"/>
      <c r="O25" s="1"/>
      <c r="P25" s="1"/>
      <c r="Q25" s="1"/>
      <c r="R25" s="1"/>
      <c r="S25" s="1"/>
      <c r="T25" s="1"/>
      <c r="U25" s="1"/>
      <c r="V25" s="1"/>
      <c r="W25" s="110"/>
      <c r="X25" s="110"/>
      <c r="Y25" s="110"/>
    </row>
    <row r="26" spans="1:25" ht="18.95" customHeight="1" x14ac:dyDescent="0.25">
      <c r="A26" s="127">
        <v>6</v>
      </c>
      <c r="B26" s="128" t="s">
        <v>340</v>
      </c>
      <c r="C26" s="129"/>
      <c r="D26" s="129"/>
      <c r="E26" s="129"/>
      <c r="F26" s="129"/>
      <c r="G26" s="129"/>
      <c r="H26" s="129"/>
      <c r="I26" s="16"/>
      <c r="J26" s="16"/>
      <c r="K26" s="16"/>
      <c r="L26" s="16"/>
      <c r="M26" s="16"/>
      <c r="N26" s="16"/>
      <c r="O26" s="1"/>
      <c r="P26" s="1"/>
      <c r="Q26" s="1"/>
      <c r="R26" s="1"/>
      <c r="S26" s="1"/>
      <c r="T26" s="1"/>
      <c r="U26" s="1"/>
      <c r="V26" s="1"/>
      <c r="W26" s="110"/>
      <c r="X26" s="110"/>
      <c r="Y26" s="110"/>
    </row>
    <row r="27" spans="1:25" ht="18.95" customHeight="1" x14ac:dyDescent="0.25">
      <c r="A27" s="127" t="s">
        <v>49</v>
      </c>
      <c r="B27" s="128"/>
      <c r="C27" s="129" t="s">
        <v>341</v>
      </c>
      <c r="D27" s="129"/>
      <c r="E27" s="129"/>
      <c r="F27" s="129"/>
      <c r="G27" s="129"/>
      <c r="H27" s="129"/>
      <c r="I27" s="16"/>
      <c r="J27" s="16"/>
      <c r="K27" s="16"/>
      <c r="L27" s="16"/>
      <c r="M27" s="16"/>
      <c r="N27" s="16"/>
      <c r="O27" s="1"/>
      <c r="P27" s="1"/>
      <c r="Q27" s="1"/>
      <c r="R27" s="1"/>
      <c r="S27" s="1"/>
      <c r="T27" s="1"/>
      <c r="U27" s="1"/>
      <c r="V27" s="1"/>
      <c r="W27" s="110"/>
      <c r="X27" s="110"/>
      <c r="Y27" s="110"/>
    </row>
    <row r="28" spans="1:25" ht="18.95" customHeight="1" x14ac:dyDescent="0.25">
      <c r="A28" s="127" t="s">
        <v>50</v>
      </c>
      <c r="B28" s="128"/>
      <c r="C28" s="129" t="s">
        <v>342</v>
      </c>
      <c r="D28" s="129"/>
      <c r="E28" s="129"/>
      <c r="F28" s="129"/>
      <c r="G28" s="129"/>
      <c r="H28" s="129"/>
      <c r="I28" s="16"/>
      <c r="J28" s="16"/>
      <c r="K28" s="16"/>
      <c r="L28" s="16"/>
      <c r="M28" s="16"/>
      <c r="N28" s="16"/>
      <c r="O28" s="16"/>
      <c r="P28" s="463"/>
      <c r="Q28" s="1"/>
      <c r="R28" s="1"/>
      <c r="S28" s="1"/>
      <c r="T28" s="1"/>
      <c r="U28" s="1"/>
      <c r="V28" s="1"/>
      <c r="W28" s="110"/>
      <c r="X28" s="110"/>
      <c r="Y28" s="110"/>
    </row>
    <row r="29" spans="1:25" ht="18.95" customHeight="1" x14ac:dyDescent="0.25">
      <c r="A29" s="127" t="s">
        <v>140</v>
      </c>
      <c r="B29" s="128"/>
      <c r="C29" s="129" t="s">
        <v>343</v>
      </c>
      <c r="D29" s="129"/>
      <c r="E29" s="129"/>
      <c r="F29" s="129"/>
      <c r="G29" s="129"/>
      <c r="H29" s="129"/>
      <c r="I29" s="16"/>
      <c r="J29" s="16"/>
      <c r="K29" s="16"/>
      <c r="L29" s="16"/>
      <c r="M29" s="16"/>
      <c r="N29" s="16"/>
      <c r="O29" s="16"/>
      <c r="P29" s="480"/>
      <c r="Q29" s="6"/>
      <c r="R29" s="6"/>
      <c r="S29" s="6"/>
      <c r="T29" s="6"/>
      <c r="U29" s="6"/>
      <c r="V29" s="1"/>
      <c r="W29" s="110"/>
      <c r="X29" s="110"/>
      <c r="Y29" s="110"/>
    </row>
    <row r="30" spans="1:25" ht="18.95" customHeight="1" x14ac:dyDescent="0.25">
      <c r="A30" s="127" t="s">
        <v>152</v>
      </c>
      <c r="B30" s="128"/>
      <c r="C30" s="129" t="s">
        <v>344</v>
      </c>
      <c r="D30" s="129"/>
      <c r="E30" s="129"/>
      <c r="F30" s="129"/>
      <c r="G30" s="129"/>
      <c r="H30" s="129"/>
      <c r="I30" s="16"/>
      <c r="J30" s="16"/>
      <c r="K30" s="16"/>
      <c r="L30" s="16"/>
      <c r="M30" s="16"/>
      <c r="N30" s="16"/>
      <c r="O30" s="16"/>
      <c r="P30" s="479"/>
      <c r="Q30" s="477"/>
      <c r="R30" s="477"/>
      <c r="S30" s="478"/>
      <c r="T30" s="6"/>
      <c r="U30" s="6"/>
      <c r="V30" s="1"/>
      <c r="W30" s="110"/>
      <c r="X30" s="110"/>
      <c r="Y30" s="110"/>
    </row>
    <row r="31" spans="1:25" ht="18.95" customHeight="1" x14ac:dyDescent="0.25">
      <c r="A31" s="127">
        <v>6.5</v>
      </c>
      <c r="B31" s="128"/>
      <c r="C31" s="129" t="s">
        <v>345</v>
      </c>
      <c r="D31" s="129"/>
      <c r="E31" s="129"/>
      <c r="F31" s="129"/>
      <c r="G31" s="129"/>
      <c r="H31" s="129"/>
      <c r="I31" s="16"/>
      <c r="J31" s="16"/>
      <c r="K31" s="16"/>
      <c r="L31" s="16"/>
      <c r="M31" s="16"/>
      <c r="N31" s="16"/>
      <c r="O31" s="16"/>
      <c r="P31" s="479"/>
      <c r="Q31" s="477"/>
      <c r="R31" s="477"/>
      <c r="S31" s="478"/>
      <c r="T31" s="6"/>
      <c r="U31" s="6"/>
      <c r="V31" s="1"/>
      <c r="W31" s="110"/>
      <c r="X31" s="110"/>
      <c r="Y31" s="110"/>
    </row>
    <row r="32" spans="1:25" ht="18.95" customHeight="1" x14ac:dyDescent="0.25">
      <c r="A32" s="127">
        <v>7</v>
      </c>
      <c r="B32" s="128" t="s">
        <v>346</v>
      </c>
      <c r="C32" s="129"/>
      <c r="D32" s="129"/>
      <c r="E32" s="129"/>
      <c r="F32" s="129"/>
      <c r="G32" s="129"/>
      <c r="H32" s="129"/>
      <c r="I32" s="16"/>
      <c r="J32" s="16"/>
      <c r="K32" s="16"/>
      <c r="L32" s="16"/>
      <c r="M32" s="16"/>
      <c r="N32" s="16"/>
      <c r="O32" s="16"/>
      <c r="P32" s="479"/>
      <c r="Q32" s="477"/>
      <c r="R32" s="477"/>
      <c r="S32" s="478"/>
      <c r="T32" s="6"/>
      <c r="U32" s="6"/>
      <c r="V32" s="1"/>
      <c r="W32" s="110"/>
      <c r="X32" s="110"/>
      <c r="Y32" s="110"/>
    </row>
    <row r="33" spans="1:25" ht="18.95" customHeight="1" x14ac:dyDescent="0.25">
      <c r="A33" s="127">
        <v>8</v>
      </c>
      <c r="B33" s="128" t="s">
        <v>225</v>
      </c>
      <c r="C33" s="128"/>
      <c r="D33" s="129"/>
      <c r="E33" s="129"/>
      <c r="F33" s="129"/>
      <c r="G33" s="129"/>
      <c r="H33" s="129"/>
      <c r="I33" s="16"/>
      <c r="J33" s="16"/>
      <c r="K33" s="16"/>
      <c r="L33" s="16"/>
      <c r="M33" s="16"/>
      <c r="N33" s="16"/>
      <c r="O33" s="16"/>
      <c r="P33" s="478"/>
      <c r="Q33" s="478"/>
      <c r="R33" s="478"/>
      <c r="S33" s="478"/>
      <c r="T33" s="6"/>
      <c r="U33" s="6"/>
      <c r="V33" s="1"/>
      <c r="W33" s="110"/>
      <c r="X33" s="110"/>
      <c r="Y33" s="110"/>
    </row>
    <row r="34" spans="1:25" ht="24" customHeight="1" x14ac:dyDescent="0.2">
      <c r="A34" s="110"/>
      <c r="B34" s="110"/>
      <c r="C34" s="110"/>
      <c r="D34" s="124"/>
      <c r="E34" s="110"/>
      <c r="F34" s="110"/>
      <c r="G34" s="110"/>
      <c r="H34" s="110"/>
      <c r="I34" s="110"/>
      <c r="J34" s="110"/>
      <c r="K34" s="110"/>
      <c r="L34" s="110"/>
      <c r="M34" s="110"/>
      <c r="N34" s="110"/>
      <c r="O34" s="114"/>
      <c r="P34" s="114"/>
      <c r="Q34" s="114"/>
      <c r="R34" s="114"/>
      <c r="S34" s="114"/>
      <c r="T34" s="114"/>
      <c r="U34" s="114"/>
      <c r="V34" s="110"/>
      <c r="W34" s="110"/>
      <c r="X34" s="110"/>
      <c r="Y34" s="110"/>
    </row>
    <row r="35" spans="1:25" ht="24" customHeight="1" x14ac:dyDescent="0.2">
      <c r="A35" s="110"/>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row>
    <row r="36" spans="1:25" ht="30.75" customHeight="1" x14ac:dyDescent="0.2">
      <c r="A36" s="110"/>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0"/>
    </row>
    <row r="37" spans="1:25" ht="86.25" customHeight="1" x14ac:dyDescent="0.2">
      <c r="A37" s="110"/>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row>
    <row r="38" spans="1:25" ht="39.75" customHeight="1" x14ac:dyDescent="0.2">
      <c r="A38" s="110"/>
      <c r="B38" s="110"/>
      <c r="C38" s="110"/>
      <c r="D38" s="110"/>
      <c r="E38" s="110"/>
      <c r="F38" s="110"/>
      <c r="G38" s="110"/>
      <c r="H38" s="110"/>
      <c r="I38" s="110"/>
      <c r="J38" s="110"/>
      <c r="K38" s="110"/>
      <c r="L38" s="110"/>
      <c r="M38" s="110"/>
      <c r="N38" s="110"/>
      <c r="O38" s="110"/>
      <c r="P38" s="110"/>
      <c r="Q38" s="110"/>
      <c r="R38" s="110"/>
      <c r="S38" s="110"/>
      <c r="T38" s="110"/>
      <c r="U38" s="110"/>
      <c r="V38" s="110"/>
      <c r="W38" s="110"/>
      <c r="X38" s="110"/>
      <c r="Y38" s="110"/>
    </row>
    <row r="39" spans="1:25" ht="10.5" customHeight="1" x14ac:dyDescent="0.2">
      <c r="A39" s="110"/>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row>
    <row r="40" spans="1:25" x14ac:dyDescent="0.2">
      <c r="A40" s="110"/>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10"/>
    </row>
    <row r="41" spans="1:25" ht="12.75" customHeight="1" x14ac:dyDescent="0.2">
      <c r="A41" s="110"/>
      <c r="B41" s="110"/>
      <c r="C41" s="110"/>
      <c r="D41" s="110"/>
      <c r="E41" s="110"/>
      <c r="F41" s="110"/>
      <c r="G41" s="110"/>
      <c r="H41" s="110"/>
      <c r="I41" s="110"/>
      <c r="J41" s="110"/>
      <c r="K41" s="110"/>
      <c r="L41" s="110"/>
      <c r="M41" s="110"/>
      <c r="N41" s="110"/>
      <c r="O41" s="110"/>
      <c r="P41" s="110"/>
      <c r="Q41" s="110"/>
      <c r="R41" s="110"/>
      <c r="S41" s="110"/>
      <c r="T41" s="110"/>
      <c r="U41" s="110"/>
      <c r="V41" s="110"/>
      <c r="W41" s="110"/>
      <c r="X41" s="110"/>
      <c r="Y41" s="110"/>
    </row>
    <row r="42" spans="1:25" ht="27" customHeight="1" x14ac:dyDescent="0.2">
      <c r="A42" s="110"/>
      <c r="B42" s="110"/>
      <c r="C42" s="110"/>
      <c r="D42" s="110"/>
      <c r="E42" s="110"/>
      <c r="F42" s="110"/>
      <c r="G42" s="110"/>
      <c r="H42" s="110"/>
      <c r="I42" s="110"/>
      <c r="J42" s="110"/>
      <c r="K42" s="110"/>
      <c r="L42" s="110"/>
      <c r="M42" s="110"/>
      <c r="N42" s="110"/>
      <c r="O42" s="110"/>
      <c r="P42" s="110"/>
      <c r="Q42" s="110"/>
      <c r="R42" s="110"/>
      <c r="S42" s="110"/>
      <c r="T42" s="110"/>
      <c r="U42" s="110"/>
      <c r="V42" s="110"/>
      <c r="W42" s="110"/>
      <c r="X42" s="110"/>
      <c r="Y42" s="110"/>
    </row>
    <row r="43" spans="1:25" ht="15" customHeight="1" x14ac:dyDescent="0.2">
      <c r="A43" s="110"/>
      <c r="B43" s="110"/>
      <c r="C43" s="110"/>
      <c r="D43" s="110"/>
      <c r="E43" s="110"/>
      <c r="F43" s="110"/>
      <c r="G43" s="110"/>
      <c r="H43" s="110"/>
      <c r="I43" s="110"/>
      <c r="J43" s="110"/>
      <c r="K43" s="110"/>
      <c r="L43" s="110"/>
      <c r="M43" s="110"/>
      <c r="N43" s="110"/>
      <c r="O43" s="110"/>
      <c r="P43" s="110"/>
      <c r="Q43" s="110"/>
      <c r="R43" s="110"/>
      <c r="S43" s="110"/>
      <c r="T43" s="110"/>
      <c r="U43" s="110"/>
      <c r="V43" s="110"/>
      <c r="W43" s="110"/>
      <c r="X43" s="110"/>
      <c r="Y43" s="110"/>
    </row>
    <row r="44" spans="1:25" x14ac:dyDescent="0.2">
      <c r="A44" s="110"/>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row>
    <row r="45" spans="1:25" ht="12.75" customHeight="1" x14ac:dyDescent="0.2">
      <c r="A45" s="110"/>
      <c r="B45" s="110"/>
      <c r="C45" s="110"/>
      <c r="D45" s="110"/>
      <c r="E45" s="110"/>
      <c r="F45" s="110"/>
      <c r="G45" s="110"/>
      <c r="H45" s="110"/>
      <c r="I45" s="110"/>
      <c r="J45" s="110"/>
      <c r="K45" s="110"/>
      <c r="L45" s="110"/>
      <c r="M45" s="110"/>
      <c r="N45" s="110"/>
      <c r="O45" s="110"/>
      <c r="P45" s="110"/>
      <c r="Q45" s="110"/>
      <c r="R45" s="110"/>
      <c r="S45" s="110"/>
      <c r="T45" s="110"/>
      <c r="U45" s="110"/>
      <c r="V45" s="110"/>
      <c r="W45" s="110"/>
      <c r="X45" s="110"/>
      <c r="Y45" s="110"/>
    </row>
    <row r="46" spans="1:25" ht="12.75" customHeight="1" x14ac:dyDescent="0.2">
      <c r="P46" s="110"/>
      <c r="Q46" s="110"/>
      <c r="R46" s="110"/>
      <c r="S46" s="110"/>
      <c r="T46" s="110"/>
      <c r="U46" s="110"/>
      <c r="V46" s="110"/>
      <c r="W46" s="110"/>
      <c r="X46" s="110"/>
      <c r="Y46" s="110"/>
    </row>
    <row r="47" spans="1:25" x14ac:dyDescent="0.2">
      <c r="P47" s="110"/>
      <c r="Q47" s="110"/>
      <c r="R47" s="110"/>
      <c r="S47" s="110"/>
      <c r="T47" s="110"/>
      <c r="U47" s="110"/>
      <c r="V47" s="110"/>
      <c r="W47" s="110"/>
      <c r="X47" s="110"/>
      <c r="Y47" s="110"/>
    </row>
    <row r="49" ht="23.25" customHeight="1" x14ac:dyDescent="0.2"/>
    <row r="50" ht="12.75" customHeight="1" x14ac:dyDescent="0.2"/>
    <row r="51" ht="12.75" customHeight="1" x14ac:dyDescent="0.2"/>
    <row r="54" ht="12.75" customHeight="1" x14ac:dyDescent="0.2"/>
    <row r="55" ht="26.25" customHeight="1" x14ac:dyDescent="0.2"/>
  </sheetData>
  <mergeCells count="25">
    <mergeCell ref="P8:R9"/>
    <mergeCell ref="C16:H16"/>
    <mergeCell ref="I16:J16"/>
    <mergeCell ref="F8:K8"/>
    <mergeCell ref="C10:J10"/>
    <mergeCell ref="C11:J11"/>
    <mergeCell ref="C15:J15"/>
    <mergeCell ref="C13:I13"/>
    <mergeCell ref="C14:H14"/>
    <mergeCell ref="J14:K14"/>
    <mergeCell ref="C9:J9"/>
    <mergeCell ref="C12:J12"/>
    <mergeCell ref="C8:E8"/>
    <mergeCell ref="A1:O1"/>
    <mergeCell ref="A2:O2"/>
    <mergeCell ref="M6:N6"/>
    <mergeCell ref="M7:N7"/>
    <mergeCell ref="A3:J3"/>
    <mergeCell ref="L4:O4"/>
    <mergeCell ref="C6:E6"/>
    <mergeCell ref="C7:E7"/>
    <mergeCell ref="D4:G4"/>
    <mergeCell ref="N3:O3"/>
    <mergeCell ref="F7:K7"/>
    <mergeCell ref="F6:K6"/>
  </mergeCells>
  <dataValidations count="4">
    <dataValidation type="list" allowBlank="1" showInputMessage="1" showErrorMessage="1" sqref="F8:K8" xr:uid="{00000000-0002-0000-0100-000000000000}">
      <formula1>"Prestação direta por órgão da Admnistração Direta,Prestação direta por Autarquia/Empresa Municipal,Prestação indireta por Consórcio Público,Prestação indireta mediante concessão"</formula1>
    </dataValidation>
    <dataValidation type="list" allowBlank="1" showInputMessage="1" showErrorMessage="1" sqref="J13" xr:uid="{00000000-0002-0000-0100-000001000000}">
      <formula1>"INPC,IPCA,IGPM,INCC,SELIC,UFM"</formula1>
    </dataValidation>
    <dataValidation type="list" allowBlank="1" showInputMessage="1" showErrorMessage="1" sqref="K14 J14:J15" xr:uid="{00000000-0002-0000-0100-000002000000}">
      <formula1>"1 - Reajuste de todas parcelas, 2 - Reajuste do custo total"</formula1>
    </dataValidation>
    <dataValidation type="list" allowBlank="1" showInputMessage="1" showErrorMessage="1" sqref="I16:J16" xr:uid="{00000000-0002-0000-0100-000003000000}">
      <formula1>"Versão Completa,Versão Simplificada"</formula1>
    </dataValidation>
  </dataValidations>
  <hyperlinks>
    <hyperlink ref="A22" location="'3 Dados-Complementares'!A1" display="'3 Dados-Complementares'!A1" xr:uid="{00000000-0004-0000-0100-000000000000}"/>
    <hyperlink ref="A23" location="'4 Dados Cadastrais-USUÁRIOS'!A1" display="'4 Dados Cadastrais-USUÁRIOS'!A1" xr:uid="{00000000-0004-0000-0100-000001000000}"/>
    <hyperlink ref="A24" location="'5.1 CalcCustoVBC-Completo'!A1" display="5.1" xr:uid="{00000000-0004-0000-0100-000002000000}"/>
    <hyperlink ref="A26" location="'6 Tabelas-Taxas_PreçosUnitários'!A1" display="'6 Tabelas-Taxas_PreçosUnitários'!A1" xr:uid="{00000000-0004-0000-0100-000003000000}"/>
    <hyperlink ref="A27" location="'6 Tabelas-Taxas_PreçosUnitários'!B1" display="6.1" xr:uid="{00000000-0004-0000-0100-000004000000}"/>
    <hyperlink ref="A28" location="'6 Tabelas-Taxas_PreçosUnitários'!A21" display="6.2" xr:uid="{00000000-0004-0000-0100-000005000000}"/>
    <hyperlink ref="A21" location="'2 DadosFinanServRSU'!A1" display="'2 DadosFinanServRSU'!A1" xr:uid="{00000000-0004-0000-0100-000006000000}"/>
    <hyperlink ref="A29" location="'6 Tabelas-Taxas_PreçosUnitários'!A40" display="6.3" xr:uid="{00000000-0004-0000-0100-000007000000}"/>
    <hyperlink ref="A30" location="'6 Tabelas-Taxas_PreçosUnitários'!A80" display="6.4" xr:uid="{00000000-0004-0000-0100-000008000000}"/>
    <hyperlink ref="A31" location="'6 Tabelas-Taxas_PreçosUnitários'!A118" display="'6 Tabelas-Taxas_PreçosUnitários'!A118" xr:uid="{00000000-0004-0000-0100-000009000000}"/>
    <hyperlink ref="A32" location="'7 Glossário'!A1" display="'7 Glossário'!A1" xr:uid="{00000000-0004-0000-0100-00000A000000}"/>
    <hyperlink ref="A33" location="'8 OrientaçõesTabelasAuxiliares'!A1" display="'8 OrientaçõesTabelasAuxiliares'!A1" xr:uid="{00000000-0004-0000-0100-00000B000000}"/>
    <hyperlink ref="K17" location="'5.2 CalcCustoVBC-Simplificado'!A1" display="'5.2 CalcCustoVBC-Simplificado'!A1" xr:uid="{00000000-0004-0000-0100-00000C000000}"/>
    <hyperlink ref="K16" location="'2 DadosFinanServRSU'!A1" display="'2 DadosFinanServRSU'!A1" xr:uid="{00000000-0004-0000-0100-00000D000000}"/>
    <hyperlink ref="A25" location="'5.2 CalcCustoVBC-Simplificado'!A1" display="5.2" xr:uid="{00000000-0004-0000-0100-00000E000000}"/>
    <hyperlink ref="C8:E8" location="'7 Glossário'!B33" display="Regime e Forma de Prestação" xr:uid="{00000000-0004-0000-0100-00000F000000}"/>
  </hyperlinks>
  <pageMargins left="0.51181102362204722" right="0.51181102362204722" top="0.78740157480314965" bottom="0.78740157480314965" header="0.31496062992125984" footer="0.31496062992125984"/>
  <pageSetup paperSize="9" scale="58" orientation="landscape" r:id="rId1"/>
  <headerFooter>
    <oddFooter>&amp;A</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H187"/>
  <sheetViews>
    <sheetView showGridLines="0" defaultGridColor="0" topLeftCell="A63" colorId="23" zoomScale="90" zoomScaleNormal="90" workbookViewId="0">
      <selection activeCell="F20" sqref="F20"/>
    </sheetView>
  </sheetViews>
  <sheetFormatPr defaultColWidth="8.85546875" defaultRowHeight="12.75" x14ac:dyDescent="0.2"/>
  <cols>
    <col min="1" max="1" width="2.85546875" customWidth="1"/>
    <col min="2" max="2" width="82.85546875" customWidth="1"/>
    <col min="3" max="3" width="15.42578125" customWidth="1"/>
    <col min="4" max="4" width="16.140625" customWidth="1"/>
    <col min="5" max="5" width="8" customWidth="1"/>
    <col min="6" max="6" width="76.85546875" customWidth="1"/>
    <col min="7" max="7" width="13.42578125" style="3" customWidth="1"/>
    <col min="8" max="8" width="12.85546875" customWidth="1"/>
  </cols>
  <sheetData>
    <row r="1" spans="1:8" ht="26.1" customHeight="1" x14ac:dyDescent="0.2">
      <c r="A1" s="1"/>
      <c r="B1" s="139" t="s">
        <v>396</v>
      </c>
      <c r="C1" s="16"/>
      <c r="D1" s="16"/>
      <c r="E1" s="25"/>
      <c r="F1" s="25"/>
      <c r="G1" s="132"/>
      <c r="H1" s="25"/>
    </row>
    <row r="2" spans="1:8" ht="50.1" customHeight="1" x14ac:dyDescent="0.2">
      <c r="A2" s="1"/>
      <c r="B2" s="514" t="s">
        <v>448</v>
      </c>
      <c r="C2" s="515"/>
      <c r="D2" s="516"/>
      <c r="E2" s="25"/>
      <c r="F2" s="514" t="s">
        <v>449</v>
      </c>
      <c r="G2" s="515"/>
      <c r="H2" s="516"/>
    </row>
    <row r="3" spans="1:8" ht="89.1" customHeight="1" x14ac:dyDescent="0.2">
      <c r="A3" s="1"/>
      <c r="B3" s="522" t="s">
        <v>456</v>
      </c>
      <c r="C3" s="523"/>
      <c r="D3" s="524"/>
      <c r="E3" s="25"/>
      <c r="F3" s="525" t="s">
        <v>450</v>
      </c>
      <c r="G3" s="526"/>
      <c r="H3" s="527"/>
    </row>
    <row r="4" spans="1:8" s="34" customFormat="1" ht="18.95" customHeight="1" x14ac:dyDescent="0.2">
      <c r="A4" s="133"/>
      <c r="B4" s="517" t="s">
        <v>13</v>
      </c>
      <c r="C4" s="518" t="s">
        <v>2</v>
      </c>
      <c r="D4" s="519"/>
      <c r="E4" s="35"/>
      <c r="F4" s="531" t="s">
        <v>5</v>
      </c>
      <c r="G4" s="532" t="s">
        <v>2</v>
      </c>
      <c r="H4" s="533"/>
    </row>
    <row r="5" spans="1:8" s="34" customFormat="1" ht="18.95" customHeight="1" x14ac:dyDescent="0.2">
      <c r="A5" s="133"/>
      <c r="B5" s="517"/>
      <c r="C5" s="351" t="s">
        <v>451</v>
      </c>
      <c r="D5" s="350" t="s">
        <v>156</v>
      </c>
      <c r="E5" s="35"/>
      <c r="F5" s="531"/>
      <c r="G5" s="168" t="s">
        <v>451</v>
      </c>
      <c r="H5" s="188" t="s">
        <v>156</v>
      </c>
    </row>
    <row r="6" spans="1:8" s="34" customFormat="1" ht="18.95" customHeight="1" x14ac:dyDescent="0.2">
      <c r="A6" s="133"/>
      <c r="B6" s="517"/>
      <c r="C6" s="351">
        <f>'1 Identificação e Parâmetros'!K9</f>
        <v>2019</v>
      </c>
      <c r="D6" s="350">
        <f>C6+1</f>
        <v>2020</v>
      </c>
      <c r="E6" s="35"/>
      <c r="F6" s="531"/>
      <c r="G6" s="38">
        <f>C6</f>
        <v>2019</v>
      </c>
      <c r="H6" s="189">
        <f>G6+1</f>
        <v>2020</v>
      </c>
    </row>
    <row r="7" spans="1:8" s="27" customFormat="1" ht="18.95" customHeight="1" x14ac:dyDescent="0.2">
      <c r="A7" s="134"/>
      <c r="B7" s="205" t="s">
        <v>421</v>
      </c>
      <c r="C7" s="355"/>
      <c r="D7" s="356"/>
      <c r="E7" s="28"/>
      <c r="F7" s="190" t="s">
        <v>457</v>
      </c>
      <c r="G7" s="234">
        <v>0</v>
      </c>
      <c r="H7" s="237">
        <f>G7/'4 Dados Cadastrais-USUÁRIOS'!E10*'4 Dados Cadastrais-USUÁRIOS'!F6*(1+'1 Identificação e Parâmetros'!K13)</f>
        <v>0</v>
      </c>
    </row>
    <row r="8" spans="1:8" s="27" customFormat="1" ht="18.95" customHeight="1" x14ac:dyDescent="0.2">
      <c r="A8" s="134"/>
      <c r="B8" s="196" t="s">
        <v>422</v>
      </c>
      <c r="C8" s="431">
        <f>SUM(C9:C13)</f>
        <v>419417.12</v>
      </c>
      <c r="D8" s="432">
        <f>SUM(D9:D13)</f>
        <v>434516.13632000005</v>
      </c>
      <c r="E8" s="28"/>
      <c r="F8" s="190" t="s">
        <v>455</v>
      </c>
      <c r="G8" s="234">
        <v>0</v>
      </c>
      <c r="H8" s="237">
        <f>IF(G8=0,0,G8/G7*H7)</f>
        <v>0</v>
      </c>
    </row>
    <row r="9" spans="1:8" s="27" customFormat="1" ht="18.95" customHeight="1" x14ac:dyDescent="0.2">
      <c r="A9" s="135"/>
      <c r="B9" s="206" t="s">
        <v>300</v>
      </c>
      <c r="C9" s="357">
        <v>0</v>
      </c>
      <c r="D9" s="358">
        <f>IF('1 Identificação e Parâmetros'!$I$14=1,'2 DadosFinanServRSU'!C9*(1+'1 Identificação e Parâmetros'!$K$13),0)</f>
        <v>0</v>
      </c>
      <c r="E9" s="28"/>
      <c r="F9" s="191" t="s">
        <v>430</v>
      </c>
      <c r="G9" s="197">
        <f>SUM(G7:G8)</f>
        <v>0</v>
      </c>
      <c r="H9" s="198">
        <f>SUM(H7:H8)</f>
        <v>0</v>
      </c>
    </row>
    <row r="10" spans="1:8" s="27" customFormat="1" ht="18.95" customHeight="1" x14ac:dyDescent="0.2">
      <c r="A10" s="134"/>
      <c r="B10" s="207" t="s">
        <v>97</v>
      </c>
      <c r="C10" s="357">
        <v>181019.2</v>
      </c>
      <c r="D10" s="358">
        <f>IF('1 Identificação e Parâmetros'!$I$14=1,'2 DadosFinanServRSU'!C10*(1+'1 Identificação e Parâmetros'!$K$13),0)</f>
        <v>187535.89120000001</v>
      </c>
      <c r="E10" s="28"/>
      <c r="F10" s="190" t="s">
        <v>458</v>
      </c>
      <c r="G10" s="234">
        <v>0</v>
      </c>
      <c r="H10" s="237">
        <f>IF(G10=0,0,G10/G7*H7)</f>
        <v>0</v>
      </c>
    </row>
    <row r="11" spans="1:8" s="27" customFormat="1" ht="18.95" customHeight="1" x14ac:dyDescent="0.2">
      <c r="A11" s="134"/>
      <c r="B11" s="207" t="s">
        <v>98</v>
      </c>
      <c r="C11" s="357">
        <v>0</v>
      </c>
      <c r="D11" s="358">
        <f>IF('1 Identificação e Parâmetros'!$I$14=1,'2 DadosFinanServRSU'!C11*(1+'1 Identificação e Parâmetros'!$K$13),0)</f>
        <v>0</v>
      </c>
      <c r="E11" s="28"/>
      <c r="F11" s="190" t="s">
        <v>268</v>
      </c>
      <c r="G11" s="234">
        <v>0</v>
      </c>
      <c r="H11" s="237">
        <f>IF(G11=0,0,G11/G10*H10)</f>
        <v>0</v>
      </c>
    </row>
    <row r="12" spans="1:8" s="27" customFormat="1" ht="18.95" customHeight="1" x14ac:dyDescent="0.2">
      <c r="A12" s="134"/>
      <c r="B12" s="207" t="s">
        <v>99</v>
      </c>
      <c r="C12" s="357">
        <v>116129.03</v>
      </c>
      <c r="D12" s="358">
        <f>IF('1 Identificação e Parâmetros'!$I$14=1,'2 DadosFinanServRSU'!C12*(1+'1 Identificação e Parâmetros'!$K$13),0)</f>
        <v>120309.67508</v>
      </c>
      <c r="E12" s="28"/>
      <c r="F12" s="192" t="s">
        <v>269</v>
      </c>
      <c r="G12" s="234">
        <v>0</v>
      </c>
      <c r="H12" s="237">
        <f>IF(G12=0,0,G12/G7*H7)</f>
        <v>0</v>
      </c>
    </row>
    <row r="13" spans="1:8" s="27" customFormat="1" ht="18.95" customHeight="1" x14ac:dyDescent="0.2">
      <c r="A13" s="134"/>
      <c r="B13" s="207" t="s">
        <v>100</v>
      </c>
      <c r="C13" s="357">
        <v>122268.89</v>
      </c>
      <c r="D13" s="358">
        <f>IF('1 Identificação e Parâmetros'!$I$14=1,'2 DadosFinanServRSU'!C13*(1+'1 Identificação e Parâmetros'!$K$13),0)</f>
        <v>126670.57004000001</v>
      </c>
      <c r="E13" s="28"/>
      <c r="F13" s="191" t="s">
        <v>425</v>
      </c>
      <c r="G13" s="197">
        <f>SUM(G10:G12)</f>
        <v>0</v>
      </c>
      <c r="H13" s="198">
        <f>SUM(H10:H12)</f>
        <v>0</v>
      </c>
    </row>
    <row r="14" spans="1:8" s="27" customFormat="1" ht="18.95" customHeight="1" x14ac:dyDescent="0.2">
      <c r="A14" s="134"/>
      <c r="B14" s="433" t="s">
        <v>423</v>
      </c>
      <c r="C14" s="431">
        <f>SUM(C15:C19)</f>
        <v>1071081.3900000001</v>
      </c>
      <c r="D14" s="432">
        <f>SUM(D15:D19)</f>
        <v>1109640.3200400001</v>
      </c>
      <c r="E14" s="28"/>
      <c r="F14" s="193" t="s">
        <v>459</v>
      </c>
      <c r="G14" s="199"/>
      <c r="H14" s="200"/>
    </row>
    <row r="15" spans="1:8" s="27" customFormat="1" ht="18.95" customHeight="1" x14ac:dyDescent="0.2">
      <c r="A15" s="134"/>
      <c r="B15" s="207" t="s">
        <v>101</v>
      </c>
      <c r="C15" s="357">
        <v>0</v>
      </c>
      <c r="D15" s="358">
        <f>IF('1 Identificação e Parâmetros'!$I$14=1,'2 DadosFinanServRSU'!C15*(1+'1 Identificação e Parâmetros'!$K$13),0)</f>
        <v>0</v>
      </c>
      <c r="E15" s="28"/>
      <c r="F15" s="194" t="s">
        <v>440</v>
      </c>
      <c r="G15" s="234">
        <v>0</v>
      </c>
      <c r="H15" s="237">
        <f>G15*(1+'1 Identificação e Parâmetros'!$K$13)</f>
        <v>0</v>
      </c>
    </row>
    <row r="16" spans="1:8" s="27" customFormat="1" ht="18.95" customHeight="1" x14ac:dyDescent="0.2">
      <c r="A16" s="134"/>
      <c r="B16" s="207" t="s">
        <v>102</v>
      </c>
      <c r="C16" s="357">
        <v>853644.41</v>
      </c>
      <c r="D16" s="358">
        <f>IF('1 Identificação e Parâmetros'!$I$14=1,'2 DadosFinanServRSU'!C16*(1+'1 Identificação e Parâmetros'!$K$13),0)</f>
        <v>884375.60876000009</v>
      </c>
      <c r="E16" s="28"/>
      <c r="F16" s="194" t="s">
        <v>441</v>
      </c>
      <c r="G16" s="234">
        <v>0</v>
      </c>
      <c r="H16" s="237">
        <f>G16*(1+'1 Identificação e Parâmetros'!$K$13)</f>
        <v>0</v>
      </c>
    </row>
    <row r="17" spans="1:8" s="27" customFormat="1" ht="18.95" customHeight="1" x14ac:dyDescent="0.2">
      <c r="A17" s="134"/>
      <c r="B17" s="207" t="s">
        <v>103</v>
      </c>
      <c r="C17" s="357">
        <v>0</v>
      </c>
      <c r="D17" s="358">
        <f>IF('1 Identificação e Parâmetros'!$I$14=1,'2 DadosFinanServRSU'!C17*(1+'1 Identificação e Parâmetros'!$K$13),0)</f>
        <v>0</v>
      </c>
      <c r="E17" s="28"/>
      <c r="F17" s="194" t="s">
        <v>442</v>
      </c>
      <c r="G17" s="234">
        <v>0</v>
      </c>
      <c r="H17" s="237">
        <f>G17*(1+'1 Identificação e Parâmetros'!$K$13)</f>
        <v>0</v>
      </c>
    </row>
    <row r="18" spans="1:8" s="27" customFormat="1" ht="18.95" customHeight="1" x14ac:dyDescent="0.2">
      <c r="A18" s="134"/>
      <c r="B18" s="207" t="s">
        <v>104</v>
      </c>
      <c r="C18" s="357">
        <v>0</v>
      </c>
      <c r="D18" s="358">
        <f>IF('1 Identificação e Parâmetros'!$I$14=1,'2 DadosFinanServRSU'!C18*(1+'1 Identificação e Parâmetros'!$K$13),0)</f>
        <v>0</v>
      </c>
      <c r="E18" s="28"/>
      <c r="F18" s="194" t="s">
        <v>443</v>
      </c>
      <c r="G18" s="234">
        <v>0</v>
      </c>
      <c r="H18" s="237">
        <f>G18*(1+'1 Identificação e Parâmetros'!$K$13)</f>
        <v>0</v>
      </c>
    </row>
    <row r="19" spans="1:8" s="27" customFormat="1" ht="18.95" customHeight="1" x14ac:dyDescent="0.2">
      <c r="A19" s="134"/>
      <c r="B19" s="207" t="s">
        <v>105</v>
      </c>
      <c r="C19" s="357">
        <v>217436.98</v>
      </c>
      <c r="D19" s="358">
        <f>IF('1 Identificação e Parâmetros'!$I$14=1,'2 DadosFinanServRSU'!C19*(1+'1 Identificação e Parâmetros'!$K$13),0)</f>
        <v>225264.71128000002</v>
      </c>
      <c r="E19" s="28"/>
      <c r="F19" s="190" t="s">
        <v>270</v>
      </c>
      <c r="G19" s="234">
        <v>0</v>
      </c>
      <c r="H19" s="237">
        <f>G19*(1+'1 Identificação e Parâmetros'!$K$13)</f>
        <v>0</v>
      </c>
    </row>
    <row r="20" spans="1:8" s="27" customFormat="1" ht="18.95" customHeight="1" x14ac:dyDescent="0.2">
      <c r="A20" s="134"/>
      <c r="B20" s="433" t="s">
        <v>424</v>
      </c>
      <c r="C20" s="431">
        <f>SUM(C21:C27)</f>
        <v>0</v>
      </c>
      <c r="D20" s="432">
        <f>SUM(D21:D27)</f>
        <v>0</v>
      </c>
      <c r="E20" s="28"/>
      <c r="F20" s="191" t="s">
        <v>426</v>
      </c>
      <c r="G20" s="197">
        <f>SUM(G15:G19)</f>
        <v>0</v>
      </c>
      <c r="H20" s="198">
        <f>SUM(H15:H19)</f>
        <v>0</v>
      </c>
    </row>
    <row r="21" spans="1:8" s="27" customFormat="1" ht="18.95" customHeight="1" x14ac:dyDescent="0.2">
      <c r="A21" s="134"/>
      <c r="B21" s="207" t="s">
        <v>321</v>
      </c>
      <c r="C21" s="357">
        <v>0</v>
      </c>
      <c r="D21" s="358">
        <f>IF('1 Identificação e Parâmetros'!$I$14=1,'2 DadosFinanServRSU'!C21*(1+'1 Identificação e Parâmetros'!$K$13),0)</f>
        <v>0</v>
      </c>
      <c r="E21" s="28"/>
      <c r="F21" s="190" t="s">
        <v>271</v>
      </c>
      <c r="G21" s="234">
        <v>0</v>
      </c>
      <c r="H21" s="237">
        <f>G21*(1+'1 Identificação e Parâmetros'!$K$13)</f>
        <v>0</v>
      </c>
    </row>
    <row r="22" spans="1:8" s="27" customFormat="1" ht="18.95" customHeight="1" x14ac:dyDescent="0.2">
      <c r="A22" s="134"/>
      <c r="B22" s="207" t="s">
        <v>59</v>
      </c>
      <c r="C22" s="357">
        <v>0</v>
      </c>
      <c r="D22" s="358">
        <f>IF('1 Identificação e Parâmetros'!$I$14=1,'2 DadosFinanServRSU'!C22*(1+'1 Identificação e Parâmetros'!$K$13),0)</f>
        <v>0</v>
      </c>
      <c r="E22" s="28"/>
      <c r="F22" s="195" t="s">
        <v>272</v>
      </c>
      <c r="G22" s="234">
        <v>0</v>
      </c>
      <c r="H22" s="237">
        <f>G22*(1+'1 Identificação e Parâmetros'!$K$13)</f>
        <v>0</v>
      </c>
    </row>
    <row r="23" spans="1:8" s="27" customFormat="1" ht="18.95" customHeight="1" x14ac:dyDescent="0.2">
      <c r="A23" s="134"/>
      <c r="B23" s="207" t="s">
        <v>60</v>
      </c>
      <c r="C23" s="357">
        <v>0</v>
      </c>
      <c r="D23" s="358">
        <f>IF('1 Identificação e Parâmetros'!$I$14=1,'2 DadosFinanServRSU'!C23*(1+'1 Identificação e Parâmetros'!$K$13),0)</f>
        <v>0</v>
      </c>
      <c r="E23" s="28"/>
      <c r="F23" s="190" t="s">
        <v>273</v>
      </c>
      <c r="G23" s="234">
        <v>0</v>
      </c>
      <c r="H23" s="237">
        <f>G23*(1+'1 Identificação e Parâmetros'!$K$13)</f>
        <v>0</v>
      </c>
    </row>
    <row r="24" spans="1:8" s="27" customFormat="1" ht="18.95" customHeight="1" x14ac:dyDescent="0.2">
      <c r="A24" s="134"/>
      <c r="B24" s="207" t="s">
        <v>322</v>
      </c>
      <c r="C24" s="357">
        <v>0</v>
      </c>
      <c r="D24" s="358">
        <f>IF('1 Identificação e Parâmetros'!$I$14=1,'2 DadosFinanServRSU'!C24*(1+'1 Identificação e Parâmetros'!$K$13),0)</f>
        <v>0</v>
      </c>
      <c r="E24" s="28"/>
      <c r="F24" s="190" t="s">
        <v>274</v>
      </c>
      <c r="G24" s="234">
        <v>0</v>
      </c>
      <c r="H24" s="237">
        <f>G24*(1+'1 Identificação e Parâmetros'!$K$13)</f>
        <v>0</v>
      </c>
    </row>
    <row r="25" spans="1:8" s="27" customFormat="1" ht="18.95" customHeight="1" x14ac:dyDescent="0.2">
      <c r="A25" s="134"/>
      <c r="B25" s="207" t="s">
        <v>63</v>
      </c>
      <c r="C25" s="357">
        <v>0</v>
      </c>
      <c r="D25" s="358">
        <f>IF('1 Identificação e Parâmetros'!$I$14=1,'2 DadosFinanServRSU'!C25*(1+'1 Identificação e Parâmetros'!$K$13),0)</f>
        <v>0</v>
      </c>
      <c r="E25" s="28"/>
      <c r="F25" s="191" t="s">
        <v>427</v>
      </c>
      <c r="G25" s="197">
        <f>SUM(G21:G24)</f>
        <v>0</v>
      </c>
      <c r="H25" s="198">
        <f>SUM(H21:H24)</f>
        <v>0</v>
      </c>
    </row>
    <row r="26" spans="1:8" s="27" customFormat="1" ht="18.95" customHeight="1" x14ac:dyDescent="0.2">
      <c r="A26" s="134"/>
      <c r="B26" s="207" t="s">
        <v>64</v>
      </c>
      <c r="C26" s="357">
        <v>0</v>
      </c>
      <c r="D26" s="358">
        <f>IF('1 Identificação e Parâmetros'!$I$14=1,'2 DadosFinanServRSU'!C26*(1+'1 Identificação e Parâmetros'!$K$13),0)</f>
        <v>0</v>
      </c>
      <c r="E26" s="28"/>
      <c r="F26" s="195" t="s">
        <v>275</v>
      </c>
      <c r="G26" s="235">
        <v>0</v>
      </c>
      <c r="H26" s="236">
        <v>0</v>
      </c>
    </row>
    <row r="27" spans="1:8" s="27" customFormat="1" ht="18.95" customHeight="1" x14ac:dyDescent="0.2">
      <c r="A27" s="134"/>
      <c r="B27" s="207" t="s">
        <v>444</v>
      </c>
      <c r="C27" s="357">
        <v>0</v>
      </c>
      <c r="D27" s="358">
        <f>IF('1 Identificação e Parâmetros'!$I$14=1,'2 DadosFinanServRSU'!C27*(1+'1 Identificação e Parâmetros'!$K$13),0)</f>
        <v>0</v>
      </c>
      <c r="E27" s="28"/>
      <c r="F27" s="195" t="s">
        <v>428</v>
      </c>
      <c r="G27" s="235">
        <v>0</v>
      </c>
      <c r="H27" s="236">
        <v>0</v>
      </c>
    </row>
    <row r="28" spans="1:8" s="27" customFormat="1" ht="18.95" customHeight="1" x14ac:dyDescent="0.2">
      <c r="A28" s="134"/>
      <c r="B28" s="433" t="s">
        <v>419</v>
      </c>
      <c r="C28" s="431">
        <f>SUM(C29:C32)</f>
        <v>42000</v>
      </c>
      <c r="D28" s="432">
        <f>SUM(D29:D32)</f>
        <v>43512</v>
      </c>
      <c r="E28" s="28"/>
      <c r="F28" s="195" t="s">
        <v>460</v>
      </c>
      <c r="G28" s="235">
        <v>0</v>
      </c>
      <c r="H28" s="236">
        <v>0</v>
      </c>
    </row>
    <row r="29" spans="1:8" s="27" customFormat="1" ht="18.95" customHeight="1" x14ac:dyDescent="0.2">
      <c r="A29" s="134"/>
      <c r="B29" s="207" t="s">
        <v>67</v>
      </c>
      <c r="C29" s="357">
        <v>0</v>
      </c>
      <c r="D29" s="358">
        <f>IF('1 Identificação e Parâmetros'!$I$14=1,'2 DadosFinanServRSU'!C29*(1+'1 Identificação e Parâmetros'!$K$13),0)</f>
        <v>0</v>
      </c>
      <c r="E29" s="28"/>
      <c r="F29" s="196" t="s">
        <v>429</v>
      </c>
      <c r="G29" s="201">
        <f>G13+G20+G25+G26+G27+G28</f>
        <v>0</v>
      </c>
      <c r="H29" s="198">
        <f>H13+H20+H25+H26+H27+H28</f>
        <v>0</v>
      </c>
    </row>
    <row r="30" spans="1:8" s="27" customFormat="1" ht="18.95" customHeight="1" x14ac:dyDescent="0.2">
      <c r="A30" s="134"/>
      <c r="B30" s="207" t="s">
        <v>65</v>
      </c>
      <c r="C30" s="357">
        <v>0</v>
      </c>
      <c r="D30" s="358">
        <f>IF('1 Identificação e Parâmetros'!$I$14=1,'2 DadosFinanServRSU'!C30*(1+'1 Identificação e Parâmetros'!$K$13),0)</f>
        <v>0</v>
      </c>
      <c r="E30" s="28"/>
      <c r="F30" s="37" t="s">
        <v>25</v>
      </c>
      <c r="G30" s="28"/>
      <c r="H30" s="28"/>
    </row>
    <row r="31" spans="1:8" s="27" customFormat="1" ht="18.95" customHeight="1" x14ac:dyDescent="0.2">
      <c r="A31" s="134"/>
      <c r="B31" s="207" t="s">
        <v>69</v>
      </c>
      <c r="C31" s="357">
        <v>0</v>
      </c>
      <c r="D31" s="358">
        <f>IF('1 Identificação e Parâmetros'!$I$14=1,'2 DadosFinanServRSU'!C31*(1+'1 Identificação e Parâmetros'!$K$13),0)</f>
        <v>0</v>
      </c>
      <c r="E31" s="28"/>
      <c r="F31" s="39" t="s">
        <v>1</v>
      </c>
      <c r="G31" s="40"/>
      <c r="H31" s="40"/>
    </row>
    <row r="32" spans="1:8" s="27" customFormat="1" ht="18.95" customHeight="1" x14ac:dyDescent="0.2">
      <c r="A32" s="134"/>
      <c r="B32" s="207" t="s">
        <v>68</v>
      </c>
      <c r="C32" s="357">
        <v>42000</v>
      </c>
      <c r="D32" s="358">
        <f>IF('1 Identificação e Parâmetros'!$I$14=1,'2 DadosFinanServRSU'!C32*(1+'1 Identificação e Parâmetros'!$K$13),0)</f>
        <v>43512</v>
      </c>
      <c r="E32" s="28"/>
      <c r="F32" s="534" t="s">
        <v>445</v>
      </c>
      <c r="G32" s="535"/>
      <c r="H32" s="536"/>
    </row>
    <row r="33" spans="1:8" s="27" customFormat="1" ht="18.95" customHeight="1" x14ac:dyDescent="0.2">
      <c r="A33" s="134"/>
      <c r="B33" s="433" t="s">
        <v>420</v>
      </c>
      <c r="C33" s="431">
        <f>SUM(C34:C39)</f>
        <v>288390.7</v>
      </c>
      <c r="D33" s="432">
        <f>SUM(D34:D39)</f>
        <v>298772.76520000002</v>
      </c>
      <c r="E33" s="28"/>
      <c r="F33" s="528" t="s">
        <v>11</v>
      </c>
      <c r="G33" s="529"/>
      <c r="H33" s="530"/>
    </row>
    <row r="34" spans="1:8" s="27" customFormat="1" ht="18.95" customHeight="1" x14ac:dyDescent="0.2">
      <c r="A34" s="134"/>
      <c r="B34" s="207" t="s">
        <v>70</v>
      </c>
      <c r="C34" s="357">
        <v>0</v>
      </c>
      <c r="D34" s="358">
        <f>IF('1 Identificação e Parâmetros'!$I$14=1,'2 DadosFinanServRSU'!C34*(1+'1 Identificação e Parâmetros'!$K$13),0)</f>
        <v>0</v>
      </c>
      <c r="E34" s="28"/>
      <c r="F34" s="528" t="s">
        <v>12</v>
      </c>
      <c r="G34" s="529"/>
      <c r="H34" s="530"/>
    </row>
    <row r="35" spans="1:8" s="27" customFormat="1" ht="18.95" customHeight="1" x14ac:dyDescent="0.2">
      <c r="A35" s="134"/>
      <c r="B35" s="207" t="s">
        <v>71</v>
      </c>
      <c r="C35" s="357">
        <v>0</v>
      </c>
      <c r="D35" s="358">
        <f>IF('1 Identificação e Parâmetros'!$I$14=1,'2 DadosFinanServRSU'!C35*(1+'1 Identificação e Parâmetros'!$K$13),0)</f>
        <v>0</v>
      </c>
      <c r="E35" s="28"/>
      <c r="F35" s="217"/>
      <c r="G35" s="218"/>
      <c r="H35" s="219"/>
    </row>
    <row r="36" spans="1:8" s="27" customFormat="1" ht="18.95" customHeight="1" x14ac:dyDescent="0.2">
      <c r="A36" s="134"/>
      <c r="B36" s="207" t="s">
        <v>73</v>
      </c>
      <c r="C36" s="357">
        <v>69600</v>
      </c>
      <c r="D36" s="358">
        <f>IF('1 Identificação e Parâmetros'!$I$14=1,'2 DadosFinanServRSU'!C36*(1+'1 Identificação e Parâmetros'!$K$13),0)</f>
        <v>72105.600000000006</v>
      </c>
      <c r="E36" s="28"/>
      <c r="F36" s="29"/>
      <c r="G36" s="30"/>
      <c r="H36" s="29"/>
    </row>
    <row r="37" spans="1:8" s="27" customFormat="1" ht="18.95" customHeight="1" x14ac:dyDescent="0.2">
      <c r="A37" s="134"/>
      <c r="B37" s="207" t="s">
        <v>75</v>
      </c>
      <c r="C37" s="357">
        <v>0</v>
      </c>
      <c r="D37" s="358">
        <f>IF('1 Identificação e Parâmetros'!$I$14=1,'2 DadosFinanServRSU'!C37*(1+'1 Identificação e Parâmetros'!$K$13),0)</f>
        <v>0</v>
      </c>
      <c r="E37" s="28"/>
      <c r="F37" s="29"/>
      <c r="G37" s="30"/>
      <c r="H37" s="29"/>
    </row>
    <row r="38" spans="1:8" s="27" customFormat="1" ht="18.95" customHeight="1" x14ac:dyDescent="0.2">
      <c r="A38" s="134"/>
      <c r="B38" s="207" t="s">
        <v>74</v>
      </c>
      <c r="C38" s="357">
        <v>0</v>
      </c>
      <c r="D38" s="358">
        <f>IF('1 Identificação e Parâmetros'!$I$14=1,'2 DadosFinanServRSU'!C38*(1+'1 Identificação e Parâmetros'!$K$13),0)</f>
        <v>0</v>
      </c>
      <c r="E38" s="28"/>
      <c r="F38" s="29"/>
      <c r="G38" s="30"/>
      <c r="H38" s="29"/>
    </row>
    <row r="39" spans="1:8" s="27" customFormat="1" ht="18.95" customHeight="1" x14ac:dyDescent="0.2">
      <c r="A39" s="134"/>
      <c r="B39" s="207" t="s">
        <v>76</v>
      </c>
      <c r="C39" s="357">
        <v>218790.7</v>
      </c>
      <c r="D39" s="358">
        <f>IF('1 Identificação e Parâmetros'!$I$14=1,'2 DadosFinanServRSU'!C39*(1+'1 Identificação e Parâmetros'!$K$13),0)</f>
        <v>226667.16520000002</v>
      </c>
      <c r="E39" s="28"/>
      <c r="F39" s="29"/>
      <c r="G39" s="30"/>
      <c r="H39" s="29"/>
    </row>
    <row r="40" spans="1:8" s="27" customFormat="1" ht="18.95" customHeight="1" x14ac:dyDescent="0.2">
      <c r="A40" s="134"/>
      <c r="B40" s="433" t="s">
        <v>452</v>
      </c>
      <c r="C40" s="431">
        <f>SUM(C41:C46)</f>
        <v>414567.92000000004</v>
      </c>
      <c r="D40" s="432">
        <f>SUM(D41:D46)</f>
        <v>429492.36512000003</v>
      </c>
      <c r="E40" s="28"/>
      <c r="F40" s="29"/>
      <c r="G40" s="30"/>
      <c r="H40" s="29"/>
    </row>
    <row r="41" spans="1:8" s="27" customFormat="1" ht="18.95" customHeight="1" x14ac:dyDescent="0.2">
      <c r="A41" s="134"/>
      <c r="B41" s="207" t="s">
        <v>78</v>
      </c>
      <c r="C41" s="357">
        <v>0</v>
      </c>
      <c r="D41" s="358">
        <f>IF('1 Identificação e Parâmetros'!$I$14=1,'2 DadosFinanServRSU'!C41*(1+'1 Identificação e Parâmetros'!$K$13),0)</f>
        <v>0</v>
      </c>
      <c r="E41" s="28"/>
      <c r="F41" s="29"/>
      <c r="G41" s="30"/>
      <c r="H41" s="29"/>
    </row>
    <row r="42" spans="1:8" s="27" customFormat="1" ht="18.95" customHeight="1" x14ac:dyDescent="0.2">
      <c r="A42" s="134"/>
      <c r="B42" s="207" t="s">
        <v>79</v>
      </c>
      <c r="C42" s="357">
        <v>331118.71000000002</v>
      </c>
      <c r="D42" s="358">
        <f>IF('1 Identificação e Parâmetros'!$I$14=1,'2 DadosFinanServRSU'!C42*(1+'1 Identificação e Parâmetros'!$K$13),0)</f>
        <v>343038.98356000002</v>
      </c>
      <c r="E42" s="28"/>
      <c r="F42" s="29"/>
      <c r="G42" s="30"/>
      <c r="H42" s="29"/>
    </row>
    <row r="43" spans="1:8" s="27" customFormat="1" ht="18.95" customHeight="1" x14ac:dyDescent="0.2">
      <c r="A43" s="134"/>
      <c r="B43" s="207" t="s">
        <v>80</v>
      </c>
      <c r="C43" s="357">
        <v>36247.370000000003</v>
      </c>
      <c r="D43" s="358">
        <f>IF('1 Identificação e Parâmetros'!$I$14=1,'2 DadosFinanServRSU'!C43*(1+'1 Identificação e Parâmetros'!$K$13),0)</f>
        <v>37552.275320000001</v>
      </c>
      <c r="E43" s="28"/>
      <c r="F43" s="29"/>
      <c r="G43" s="30"/>
      <c r="H43" s="29"/>
    </row>
    <row r="44" spans="1:8" s="27" customFormat="1" ht="18.95" customHeight="1" x14ac:dyDescent="0.2">
      <c r="A44" s="134"/>
      <c r="B44" s="207" t="s">
        <v>81</v>
      </c>
      <c r="C44" s="357">
        <v>0</v>
      </c>
      <c r="D44" s="358">
        <f>IF('1 Identificação e Parâmetros'!$I$14=1,'2 DadosFinanServRSU'!C44*(1+'1 Identificação e Parâmetros'!$K$13),0)</f>
        <v>0</v>
      </c>
      <c r="E44" s="28"/>
      <c r="F44" s="29"/>
      <c r="G44" s="30"/>
      <c r="H44" s="29"/>
    </row>
    <row r="45" spans="1:8" s="27" customFormat="1" ht="18.95" customHeight="1" x14ac:dyDescent="0.2">
      <c r="A45" s="134"/>
      <c r="B45" s="207" t="s">
        <v>82</v>
      </c>
      <c r="C45" s="357">
        <v>0</v>
      </c>
      <c r="D45" s="358">
        <f>IF('1 Identificação e Parâmetros'!$I$14=1,'2 DadosFinanServRSU'!C45*(1+'1 Identificação e Parâmetros'!$K$13),0)</f>
        <v>0</v>
      </c>
      <c r="E45" s="28"/>
      <c r="F45" s="29"/>
      <c r="G45" s="30"/>
      <c r="H45" s="29"/>
    </row>
    <row r="46" spans="1:8" s="27" customFormat="1" ht="18.95" customHeight="1" x14ac:dyDescent="0.2">
      <c r="A46" s="134"/>
      <c r="B46" s="207" t="s">
        <v>83</v>
      </c>
      <c r="C46" s="357">
        <v>47201.84</v>
      </c>
      <c r="D46" s="358">
        <f>IF('1 Identificação e Parâmetros'!$I$14=1,'2 DadosFinanServRSU'!C46*(1+'1 Identificação e Parâmetros'!$K$13),0)</f>
        <v>48901.106240000001</v>
      </c>
      <c r="E46" s="28"/>
      <c r="F46" s="29"/>
      <c r="G46" s="30"/>
      <c r="H46" s="29"/>
    </row>
    <row r="47" spans="1:8" s="27" customFormat="1" ht="18.95" customHeight="1" x14ac:dyDescent="0.2">
      <c r="A47" s="134"/>
      <c r="B47" s="433" t="s">
        <v>418</v>
      </c>
      <c r="C47" s="431">
        <f>SUM(C48:C52)</f>
        <v>5760</v>
      </c>
      <c r="D47" s="432">
        <f>SUM(D48:D52)</f>
        <v>5967.3600000000006</v>
      </c>
      <c r="E47" s="28"/>
      <c r="F47" s="29"/>
      <c r="G47" s="30"/>
      <c r="H47" s="29"/>
    </row>
    <row r="48" spans="1:8" s="27" customFormat="1" ht="18.95" customHeight="1" x14ac:dyDescent="0.2">
      <c r="A48" s="134"/>
      <c r="B48" s="207" t="s">
        <v>85</v>
      </c>
      <c r="C48" s="357">
        <v>0</v>
      </c>
      <c r="D48" s="358">
        <f>IF('1 Identificação e Parâmetros'!$I$14=1,'2 DadosFinanServRSU'!C48*(1+'1 Identificação e Parâmetros'!$K$13),0)</f>
        <v>0</v>
      </c>
      <c r="E48" s="28"/>
      <c r="F48" s="29"/>
      <c r="G48" s="30"/>
      <c r="H48" s="29"/>
    </row>
    <row r="49" spans="1:8" s="27" customFormat="1" ht="18.95" customHeight="1" x14ac:dyDescent="0.2">
      <c r="A49" s="134"/>
      <c r="B49" s="207" t="s">
        <v>86</v>
      </c>
      <c r="C49" s="357">
        <v>0</v>
      </c>
      <c r="D49" s="358">
        <f>IF('1 Identificação e Parâmetros'!$I$14=1,'2 DadosFinanServRSU'!C49*(1+'1 Identificação e Parâmetros'!$K$13),0)</f>
        <v>0</v>
      </c>
      <c r="E49" s="28"/>
      <c r="F49" s="29"/>
      <c r="G49" s="30"/>
      <c r="H49" s="29"/>
    </row>
    <row r="50" spans="1:8" s="27" customFormat="1" ht="18.95" customHeight="1" x14ac:dyDescent="0.2">
      <c r="A50" s="134"/>
      <c r="B50" s="207" t="s">
        <v>87</v>
      </c>
      <c r="C50" s="357">
        <v>0</v>
      </c>
      <c r="D50" s="358">
        <f>IF('1 Identificação e Parâmetros'!$I$14=1,'2 DadosFinanServRSU'!C50*(1+'1 Identificação e Parâmetros'!$K$13),0)</f>
        <v>0</v>
      </c>
      <c r="E50" s="28"/>
      <c r="F50" s="29"/>
      <c r="G50" s="30"/>
      <c r="H50" s="29"/>
    </row>
    <row r="51" spans="1:8" s="27" customFormat="1" ht="18.95" customHeight="1" x14ac:dyDescent="0.2">
      <c r="A51" s="134"/>
      <c r="B51" s="207" t="s">
        <v>88</v>
      </c>
      <c r="C51" s="357">
        <v>0</v>
      </c>
      <c r="D51" s="358">
        <f>IF('1 Identificação e Parâmetros'!$I$14=1,'2 DadosFinanServRSU'!C51*(1+'1 Identificação e Parâmetros'!$K$13),0)</f>
        <v>0</v>
      </c>
      <c r="E51" s="28"/>
      <c r="F51" s="29"/>
      <c r="G51" s="30"/>
      <c r="H51" s="29"/>
    </row>
    <row r="52" spans="1:8" s="27" customFormat="1" ht="18.95" customHeight="1" x14ac:dyDescent="0.2">
      <c r="A52" s="134"/>
      <c r="B52" s="207" t="s">
        <v>89</v>
      </c>
      <c r="C52" s="357">
        <v>5760</v>
      </c>
      <c r="D52" s="358">
        <f>IF('1 Identificação e Parâmetros'!$I$14=1,'2 DadosFinanServRSU'!C52*(1+'1 Identificação e Parâmetros'!$K$13),0)</f>
        <v>5967.3600000000006</v>
      </c>
      <c r="E52" s="28"/>
      <c r="F52" s="29"/>
      <c r="G52" s="30"/>
      <c r="H52" s="29"/>
    </row>
    <row r="53" spans="1:8" s="27" customFormat="1" ht="18.95" customHeight="1" x14ac:dyDescent="0.2">
      <c r="A53" s="134"/>
      <c r="B53" s="433" t="s">
        <v>417</v>
      </c>
      <c r="C53" s="431">
        <f>SUM(C54:C58)</f>
        <v>18157.419999999998</v>
      </c>
      <c r="D53" s="432">
        <f>SUM(D54:D58)</f>
        <v>18811.08712</v>
      </c>
      <c r="E53" s="28"/>
      <c r="F53" s="29"/>
      <c r="G53" s="30"/>
      <c r="H53" s="29"/>
    </row>
    <row r="54" spans="1:8" s="27" customFormat="1" ht="18.95" customHeight="1" x14ac:dyDescent="0.2">
      <c r="A54" s="134"/>
      <c r="B54" s="207" t="s">
        <v>90</v>
      </c>
      <c r="C54" s="357">
        <v>0</v>
      </c>
      <c r="D54" s="358">
        <f>IF('1 Identificação e Parâmetros'!$I$14=1,'2 DadosFinanServRSU'!C54*(1+'1 Identificação e Parâmetros'!$K$13),0)</f>
        <v>0</v>
      </c>
      <c r="E54" s="28"/>
      <c r="F54" s="29"/>
      <c r="G54" s="30"/>
      <c r="H54" s="29"/>
    </row>
    <row r="55" spans="1:8" s="27" customFormat="1" ht="18.95" customHeight="1" x14ac:dyDescent="0.2">
      <c r="A55" s="134"/>
      <c r="B55" s="207" t="s">
        <v>91</v>
      </c>
      <c r="C55" s="357">
        <v>0</v>
      </c>
      <c r="D55" s="358">
        <f>IF('1 Identificação e Parâmetros'!$I$14=1,'2 DadosFinanServRSU'!C55*(1+'1 Identificação e Parâmetros'!$K$13),0)</f>
        <v>0</v>
      </c>
      <c r="E55" s="28"/>
      <c r="F55" s="29"/>
      <c r="G55" s="30"/>
      <c r="H55" s="29"/>
    </row>
    <row r="56" spans="1:8" s="27" customFormat="1" ht="18.95" customHeight="1" x14ac:dyDescent="0.2">
      <c r="A56" s="134"/>
      <c r="B56" s="207" t="s">
        <v>92</v>
      </c>
      <c r="C56" s="357">
        <v>0</v>
      </c>
      <c r="D56" s="358">
        <f>IF('1 Identificação e Parâmetros'!$I$14=1,'2 DadosFinanServRSU'!C56*(1+'1 Identificação e Parâmetros'!$K$13),0)</f>
        <v>0</v>
      </c>
      <c r="E56" s="28"/>
      <c r="F56" s="29"/>
      <c r="G56" s="30"/>
      <c r="H56" s="29"/>
    </row>
    <row r="57" spans="1:8" s="27" customFormat="1" ht="18.95" customHeight="1" x14ac:dyDescent="0.2">
      <c r="A57" s="134"/>
      <c r="B57" s="207" t="s">
        <v>93</v>
      </c>
      <c r="C57" s="357">
        <v>0</v>
      </c>
      <c r="D57" s="358">
        <f>IF('1 Identificação e Parâmetros'!$I$14=1,'2 DadosFinanServRSU'!C57*(1+'1 Identificação e Parâmetros'!$K$13),0)</f>
        <v>0</v>
      </c>
      <c r="E57" s="28"/>
      <c r="F57" s="29"/>
      <c r="G57" s="30"/>
      <c r="H57" s="29"/>
    </row>
    <row r="58" spans="1:8" s="27" customFormat="1" ht="18.95" customHeight="1" x14ac:dyDescent="0.2">
      <c r="A58" s="134"/>
      <c r="B58" s="207" t="s">
        <v>94</v>
      </c>
      <c r="C58" s="357">
        <v>18157.419999999998</v>
      </c>
      <c r="D58" s="358">
        <f>IF('1 Identificação e Parâmetros'!$I$14=1,'2 DadosFinanServRSU'!C58*(1+'1 Identificação e Parâmetros'!$K$13),0)</f>
        <v>18811.08712</v>
      </c>
      <c r="E58" s="28"/>
      <c r="F58" s="29"/>
      <c r="G58" s="30"/>
      <c r="H58" s="29"/>
    </row>
    <row r="59" spans="1:8" s="27" customFormat="1" ht="18.95" customHeight="1" x14ac:dyDescent="0.2">
      <c r="A59" s="134"/>
      <c r="B59" s="205" t="s">
        <v>95</v>
      </c>
      <c r="C59" s="361">
        <v>0</v>
      </c>
      <c r="D59" s="362">
        <f>IF('1 Identificação e Parâmetros'!$I$14=1,'2 DadosFinanServRSU'!C59*(1+'1 Identificação e Parâmetros'!$K$13),0)</f>
        <v>0</v>
      </c>
      <c r="E59" s="28"/>
      <c r="F59" s="29"/>
      <c r="G59" s="30"/>
      <c r="H59" s="29"/>
    </row>
    <row r="60" spans="1:8" s="27" customFormat="1" ht="18.95" customHeight="1" x14ac:dyDescent="0.2">
      <c r="A60" s="134"/>
      <c r="B60" s="205" t="s">
        <v>96</v>
      </c>
      <c r="C60" s="361">
        <v>0</v>
      </c>
      <c r="D60" s="362">
        <f>IF('1 Identificação e Parâmetros'!$I$14=1,'2 DadosFinanServRSU'!C60*(1+'1 Identificação e Parâmetros'!$K$13),0)</f>
        <v>0</v>
      </c>
      <c r="E60" s="28"/>
      <c r="F60" s="29"/>
      <c r="G60" s="30"/>
      <c r="H60" s="29"/>
    </row>
    <row r="61" spans="1:8" s="27" customFormat="1" ht="18.95" customHeight="1" x14ac:dyDescent="0.2">
      <c r="A61" s="134"/>
      <c r="B61" s="208" t="s">
        <v>109</v>
      </c>
      <c r="C61" s="361">
        <v>0</v>
      </c>
      <c r="D61" s="362">
        <f>IF('1 Identificação e Parâmetros'!$I$14=1,'2 DadosFinanServRSU'!C61*(1+'1 Identificação e Parâmetros'!$K$13),0)</f>
        <v>0</v>
      </c>
      <c r="E61" s="28"/>
      <c r="F61" s="29"/>
      <c r="G61" s="30"/>
      <c r="H61" s="29"/>
    </row>
    <row r="62" spans="1:8" s="27" customFormat="1" ht="18.95" customHeight="1" x14ac:dyDescent="0.2">
      <c r="A62" s="134"/>
      <c r="B62" s="208" t="s">
        <v>348</v>
      </c>
      <c r="C62" s="361">
        <v>80000</v>
      </c>
      <c r="D62" s="362">
        <f>IF('1 Identificação e Parâmetros'!$I$14=1,'2 DadosFinanServRSU'!C62*(1+'1 Identificação e Parâmetros'!$K$13),0)</f>
        <v>82880</v>
      </c>
      <c r="E62" s="28"/>
      <c r="F62" s="29"/>
      <c r="G62" s="30"/>
      <c r="H62" s="29"/>
    </row>
    <row r="63" spans="1:8" s="27" customFormat="1" ht="18.95" customHeight="1" x14ac:dyDescent="0.2">
      <c r="A63" s="134"/>
      <c r="B63" s="209" t="s">
        <v>349</v>
      </c>
      <c r="C63" s="363">
        <f>SUM(C8,C14,C20,C28,C33,C40,C47,C53,C62)</f>
        <v>2339374.5500000003</v>
      </c>
      <c r="D63" s="364">
        <f>SUM(D8,D14,D20,D28,D33,D40,D47,D53,D62)</f>
        <v>2423592.0337999999</v>
      </c>
      <c r="E63" s="187"/>
      <c r="F63" s="29"/>
      <c r="G63" s="30"/>
      <c r="H63" s="29"/>
    </row>
    <row r="64" spans="1:8" s="27" customFormat="1" ht="18.95" customHeight="1" x14ac:dyDescent="0.2">
      <c r="A64" s="134"/>
      <c r="B64" s="208" t="s">
        <v>299</v>
      </c>
      <c r="C64" s="359">
        <f>C63*E64</f>
        <v>233937.45500000005</v>
      </c>
      <c r="D64" s="360">
        <f>D63*E64</f>
        <v>242359.20337999999</v>
      </c>
      <c r="E64" s="434">
        <f>'1 Identificação e Parâmetros'!K11</f>
        <v>0.1</v>
      </c>
      <c r="F64" s="29"/>
      <c r="G64" s="30"/>
      <c r="H64" s="29"/>
    </row>
    <row r="65" spans="1:8" s="27" customFormat="1" ht="18.95" customHeight="1" x14ac:dyDescent="0.2">
      <c r="A65" s="134"/>
      <c r="B65" s="205" t="s">
        <v>236</v>
      </c>
      <c r="C65" s="435">
        <f>SUM(C66:C70)</f>
        <v>190168.4</v>
      </c>
      <c r="D65" s="436">
        <f>SUM(D66:D70)</f>
        <v>308998.56000000006</v>
      </c>
      <c r="E65" s="28"/>
      <c r="F65" s="31"/>
      <c r="G65" s="30"/>
      <c r="H65" s="29"/>
    </row>
    <row r="66" spans="1:8" s="27" customFormat="1" ht="18.95" customHeight="1" x14ac:dyDescent="0.2">
      <c r="A66" s="134"/>
      <c r="B66" s="206" t="s">
        <v>454</v>
      </c>
      <c r="C66" s="355">
        <f>-'3 Dados-Complementares'!F8+'3 Dados-Complementares'!E8-'3 Dados-Complementares'!F10+'3 Dados-Complementares'!E10-'3 Dados-Complementares'!F12+'3 Dados-Complementares'!E12</f>
        <v>114000</v>
      </c>
      <c r="D66" s="356">
        <f>-'3 Dados-Complementares'!G8+'3 Dados-Complementares'!F8-'3 Dados-Complementares'!G10+'3 Dados-Complementares'!F10-'3 Dados-Complementares'!G12+'3 Dados-Complementares'!F12</f>
        <v>114000</v>
      </c>
      <c r="E66" s="28"/>
      <c r="F66" s="29"/>
      <c r="G66" s="29"/>
      <c r="H66" s="29"/>
    </row>
    <row r="67" spans="1:8" s="27" customFormat="1" ht="18.95" customHeight="1" x14ac:dyDescent="0.2">
      <c r="A67" s="134"/>
      <c r="B67" s="210" t="s">
        <v>106</v>
      </c>
      <c r="C67" s="355">
        <f>-'3 Dados-Complementares'!F15+'3 Dados-Complementares'!E15-'3 Dados-Complementares'!F17+'3 Dados-Complementares'!E17-'3 Dados-Complementares'!F19+'3 Dados-Complementares'!E19</f>
        <v>0</v>
      </c>
      <c r="D67" s="356">
        <f>-'3 Dados-Complementares'!G15+'3 Dados-Complementares'!F15-'3 Dados-Complementares'!G17+'3 Dados-Complementares'!F17-'3 Dados-Complementares'!G19+'3 Dados-Complementares'!F19</f>
        <v>0</v>
      </c>
      <c r="E67" s="28"/>
      <c r="F67" s="29"/>
      <c r="G67" s="32"/>
      <c r="H67" s="29"/>
    </row>
    <row r="68" spans="1:8" s="27" customFormat="1" ht="18.95" customHeight="1" x14ac:dyDescent="0.2">
      <c r="A68" s="134"/>
      <c r="B68" s="211" t="s">
        <v>446</v>
      </c>
      <c r="C68" s="355">
        <f>-'3 Dados-Complementares'!F22+'3 Dados-Complementares'!E22-'3 Dados-Complementares'!F24+'3 Dados-Complementares'!E24-'3 Dados-Complementares'!F26+'3 Dados-Complementares'!E26</f>
        <v>0</v>
      </c>
      <c r="D68" s="356">
        <f>-'3 Dados-Complementares'!G22+'3 Dados-Complementares'!F22-'3 Dados-Complementares'!G24+'3 Dados-Complementares'!F24-'3 Dados-Complementares'!G26+'3 Dados-Complementares'!F26</f>
        <v>0</v>
      </c>
      <c r="E68" s="28"/>
      <c r="F68" s="29"/>
      <c r="G68" s="32"/>
      <c r="H68" s="29"/>
    </row>
    <row r="69" spans="1:8" s="27" customFormat="1" ht="18.95" customHeight="1" x14ac:dyDescent="0.2">
      <c r="A69" s="134"/>
      <c r="B69" s="206" t="s">
        <v>453</v>
      </c>
      <c r="C69" s="355">
        <f>-'3 Dados-Complementares'!F29+'3 Dados-Complementares'!E29-'3 Dados-Complementares'!F31+'3 Dados-Complementares'!E31-'3 Dados-Complementares'!F33+'3 Dados-Complementares'!E33-'3 Dados-Complementares'!F35+'3 Dados-Complementares'!E35-'3 Dados-Complementares'!F37+'3 Dados-Complementares'!E37</f>
        <v>76168.399999999994</v>
      </c>
      <c r="D69" s="356">
        <f>-'3 Dados-Complementares'!G29+'3 Dados-Complementares'!F29-'3 Dados-Complementares'!G31+'3 Dados-Complementares'!F31-'3 Dados-Complementares'!G33+'3 Dados-Complementares'!F33-'3 Dados-Complementares'!G35+'3 Dados-Complementares'!F35-'3 Dados-Complementares'!G37+'3 Dados-Complementares'!F37</f>
        <v>194998.56000000003</v>
      </c>
      <c r="E69" s="28"/>
      <c r="F69" s="29"/>
      <c r="G69" s="30"/>
      <c r="H69" s="29"/>
    </row>
    <row r="70" spans="1:8" s="27" customFormat="1" ht="18.95" customHeight="1" x14ac:dyDescent="0.2">
      <c r="A70" s="134"/>
      <c r="B70" s="211" t="s">
        <v>447</v>
      </c>
      <c r="C70" s="355">
        <f>-'3 Dados-Complementares'!F40+'3 Dados-Complementares'!E40-'3 Dados-Complementares'!F42+'3 Dados-Complementares'!E42-'3 Dados-Complementares'!F44+'3 Dados-Complementares'!E44</f>
        <v>0</v>
      </c>
      <c r="D70" s="356">
        <f>-'3 Dados-Complementares'!G40+'3 Dados-Complementares'!F40-'3 Dados-Complementares'!G42+'3 Dados-Complementares'!F42-'3 Dados-Complementares'!G44+'3 Dados-Complementares'!F44</f>
        <v>0</v>
      </c>
      <c r="E70" s="28"/>
      <c r="F70" s="29"/>
      <c r="G70" s="30"/>
      <c r="H70" s="29"/>
    </row>
    <row r="71" spans="1:8" s="27" customFormat="1" ht="18.95" customHeight="1" x14ac:dyDescent="0.2">
      <c r="A71" s="134"/>
      <c r="B71" s="208" t="s">
        <v>350</v>
      </c>
      <c r="C71" s="361">
        <v>0</v>
      </c>
      <c r="D71" s="365">
        <v>0</v>
      </c>
      <c r="E71" s="28"/>
      <c r="F71" s="29"/>
      <c r="G71" s="30"/>
      <c r="H71" s="29"/>
    </row>
    <row r="72" spans="1:8" s="27" customFormat="1" ht="18.95" customHeight="1" x14ac:dyDescent="0.2">
      <c r="A72" s="134"/>
      <c r="B72" s="208" t="s">
        <v>351</v>
      </c>
      <c r="C72" s="361">
        <f>SUM(C63,C64,C65,C71)/0.99*0.01</f>
        <v>27913.943484848485</v>
      </c>
      <c r="D72" s="360">
        <f>SUM(D63,D64,D65,D71)/0.99*0.01</f>
        <v>30049.997951313133</v>
      </c>
      <c r="E72" s="28"/>
      <c r="F72" s="29"/>
      <c r="G72" s="30"/>
      <c r="H72" s="29"/>
    </row>
    <row r="73" spans="1:8" s="27" customFormat="1" ht="18.95" customHeight="1" x14ac:dyDescent="0.2">
      <c r="A73" s="134"/>
      <c r="B73" s="205" t="s">
        <v>157</v>
      </c>
      <c r="C73" s="361">
        <v>0</v>
      </c>
      <c r="D73" s="365">
        <v>0</v>
      </c>
      <c r="E73" s="28"/>
      <c r="F73" s="33"/>
      <c r="G73" s="30"/>
      <c r="H73" s="29"/>
    </row>
    <row r="74" spans="1:8" s="27" customFormat="1" ht="18.95" customHeight="1" x14ac:dyDescent="0.2">
      <c r="A74" s="134"/>
      <c r="B74" s="212" t="s">
        <v>301</v>
      </c>
      <c r="C74" s="363">
        <f>C63+C64+C65+C71+C72+C73</f>
        <v>2791394.3484848486</v>
      </c>
      <c r="D74" s="366">
        <f>D63+D64+D65+D71+D72+D73</f>
        <v>3004999.7951313127</v>
      </c>
      <c r="E74" s="186"/>
      <c r="F74" s="29"/>
      <c r="G74" s="30"/>
      <c r="H74" s="29"/>
    </row>
    <row r="75" spans="1:8" s="26" customFormat="1" ht="18.95" customHeight="1" x14ac:dyDescent="0.2">
      <c r="A75" s="213"/>
      <c r="B75" s="185" t="s">
        <v>323</v>
      </c>
      <c r="C75" s="28"/>
      <c r="D75" s="28"/>
      <c r="E75" s="214"/>
      <c r="F75" s="215"/>
      <c r="G75" s="216"/>
      <c r="H75" s="215"/>
    </row>
    <row r="76" spans="1:8" ht="15" hidden="1" customHeight="1" x14ac:dyDescent="0.2">
      <c r="A76" s="110"/>
      <c r="B76" s="123"/>
      <c r="C76" s="110"/>
      <c r="D76" s="110"/>
      <c r="E76" s="110"/>
    </row>
    <row r="77" spans="1:8" ht="15" hidden="1" customHeight="1" x14ac:dyDescent="0.2">
      <c r="A77" s="110"/>
      <c r="B77" s="520"/>
      <c r="C77" s="520"/>
      <c r="D77" s="520"/>
      <c r="E77" s="110"/>
    </row>
    <row r="78" spans="1:8" ht="25.5" hidden="1" customHeight="1" x14ac:dyDescent="0.2">
      <c r="A78" s="110"/>
      <c r="B78" s="521"/>
      <c r="C78" s="521"/>
      <c r="D78" s="521"/>
      <c r="E78" s="110"/>
    </row>
    <row r="79" spans="1:8" ht="28.5" hidden="1" customHeight="1" x14ac:dyDescent="0.2">
      <c r="A79" s="110"/>
      <c r="B79" s="521"/>
      <c r="C79" s="521"/>
      <c r="D79" s="521"/>
      <c r="E79" s="110"/>
    </row>
    <row r="80" spans="1:8" ht="28.5" hidden="1" customHeight="1" x14ac:dyDescent="0.2">
      <c r="A80" s="110"/>
      <c r="B80" s="520"/>
      <c r="C80" s="520"/>
      <c r="D80" s="520"/>
      <c r="E80" s="110"/>
    </row>
    <row r="81" spans="1:6" ht="9" hidden="1" customHeight="1" x14ac:dyDescent="0.2">
      <c r="A81" s="110"/>
      <c r="B81" s="110"/>
      <c r="C81" s="110"/>
      <c r="D81" s="110"/>
      <c r="E81" s="110"/>
    </row>
    <row r="82" spans="1:6" ht="18" hidden="1" customHeight="1" x14ac:dyDescent="0.2">
      <c r="E82" s="110"/>
    </row>
    <row r="83" spans="1:6" ht="14.25" hidden="1" customHeight="1" x14ac:dyDescent="0.2">
      <c r="E83" s="110"/>
      <c r="F83" s="2"/>
    </row>
    <row r="84" spans="1:6" ht="13.5" hidden="1" customHeight="1" x14ac:dyDescent="0.2">
      <c r="E84" s="2"/>
      <c r="F84" s="2"/>
    </row>
    <row r="85" spans="1:6" ht="13.5" hidden="1" customHeight="1" x14ac:dyDescent="0.2">
      <c r="E85" s="2"/>
      <c r="F85" s="2"/>
    </row>
    <row r="86" spans="1:6" ht="12" hidden="1" customHeight="1" x14ac:dyDescent="0.2">
      <c r="E86" s="2"/>
      <c r="F86" s="2"/>
    </row>
    <row r="87" spans="1:6" ht="12.95" hidden="1" customHeight="1" x14ac:dyDescent="0.2">
      <c r="E87" s="2"/>
      <c r="F87" s="2"/>
    </row>
    <row r="88" spans="1:6" ht="13.5" customHeight="1" x14ac:dyDescent="0.2">
      <c r="E88" s="2"/>
      <c r="F88" s="2"/>
    </row>
    <row r="89" spans="1:6" ht="13.5" customHeight="1" x14ac:dyDescent="0.2">
      <c r="E89" s="2"/>
      <c r="F89" s="2"/>
    </row>
    <row r="90" spans="1:6" ht="13.5" customHeight="1" x14ac:dyDescent="0.2">
      <c r="E90" s="2"/>
      <c r="F90" s="2"/>
    </row>
    <row r="91" spans="1:6" ht="13.5" customHeight="1" x14ac:dyDescent="0.2">
      <c r="E91" s="2"/>
      <c r="F91" s="2"/>
    </row>
    <row r="92" spans="1:6" ht="13.5" customHeight="1" x14ac:dyDescent="0.2">
      <c r="E92" s="2"/>
      <c r="F92" s="2"/>
    </row>
    <row r="93" spans="1:6" ht="13.5" customHeight="1" x14ac:dyDescent="0.2">
      <c r="E93" s="2"/>
      <c r="F93" s="2"/>
    </row>
    <row r="94" spans="1:6" ht="13.5" customHeight="1" x14ac:dyDescent="0.2">
      <c r="E94" s="2"/>
      <c r="F94" s="2"/>
    </row>
    <row r="95" spans="1:6" ht="13.5" customHeight="1" x14ac:dyDescent="0.2">
      <c r="E95" s="2"/>
      <c r="F95" s="2"/>
    </row>
    <row r="96" spans="1:6" ht="13.5" customHeight="1" x14ac:dyDescent="0.2">
      <c r="E96" s="2"/>
      <c r="F96" s="2"/>
    </row>
    <row r="97" spans="5:6" ht="13.5" customHeight="1" x14ac:dyDescent="0.2">
      <c r="E97" s="2"/>
      <c r="F97" s="2"/>
    </row>
    <row r="98" spans="5:6" ht="13.5" customHeight="1" x14ac:dyDescent="0.2">
      <c r="E98" s="2"/>
      <c r="F98" s="2"/>
    </row>
    <row r="99" spans="5:6" ht="12.95" customHeight="1" x14ac:dyDescent="0.2">
      <c r="E99" s="2"/>
      <c r="F99" s="2"/>
    </row>
    <row r="100" spans="5:6" ht="13.5" customHeight="1" x14ac:dyDescent="0.2">
      <c r="E100" s="2"/>
      <c r="F100" s="2"/>
    </row>
    <row r="101" spans="5:6" ht="13.5" customHeight="1" x14ac:dyDescent="0.2">
      <c r="E101" s="2"/>
      <c r="F101" s="2"/>
    </row>
    <row r="102" spans="5:6" ht="13.5" customHeight="1" x14ac:dyDescent="0.2">
      <c r="E102" s="2"/>
      <c r="F102" s="2"/>
    </row>
    <row r="103" spans="5:6" ht="13.5" customHeight="1" x14ac:dyDescent="0.2">
      <c r="E103" s="2"/>
      <c r="F103" s="2"/>
    </row>
    <row r="104" spans="5:6" ht="13.5" customHeight="1" x14ac:dyDescent="0.2">
      <c r="E104" s="2"/>
      <c r="F104" s="2"/>
    </row>
    <row r="105" spans="5:6" ht="15.75" customHeight="1" x14ac:dyDescent="0.2">
      <c r="E105" s="2"/>
      <c r="F105" s="2"/>
    </row>
    <row r="106" spans="5:6" ht="17.25" customHeight="1" x14ac:dyDescent="0.2">
      <c r="E106" s="2"/>
      <c r="F106" s="2"/>
    </row>
    <row r="107" spans="5:6" ht="18" customHeight="1" x14ac:dyDescent="0.2">
      <c r="E107" s="2"/>
    </row>
    <row r="108" spans="5:6" ht="12.95" customHeight="1" x14ac:dyDescent="0.2">
      <c r="E108" s="1"/>
    </row>
    <row r="109" spans="5:6" ht="12.95" customHeight="1" x14ac:dyDescent="0.2">
      <c r="E109" s="1"/>
    </row>
    <row r="110" spans="5:6" ht="15" customHeight="1" x14ac:dyDescent="0.2"/>
    <row r="111" spans="5:6" ht="14.25" customHeight="1" x14ac:dyDescent="0.2"/>
    <row r="112" spans="5:6" ht="12.95" customHeight="1" x14ac:dyDescent="0.2"/>
    <row r="113" ht="12.95" customHeight="1" x14ac:dyDescent="0.2"/>
    <row r="114" ht="12.95" customHeight="1" x14ac:dyDescent="0.2"/>
    <row r="115" ht="12.95" customHeight="1" x14ac:dyDescent="0.2"/>
    <row r="116" ht="12.95" customHeight="1" x14ac:dyDescent="0.2"/>
    <row r="117" ht="12.95" customHeight="1" x14ac:dyDescent="0.2"/>
    <row r="118" ht="12.95" customHeight="1" x14ac:dyDescent="0.2"/>
    <row r="119" ht="12.95" customHeight="1" x14ac:dyDescent="0.2"/>
    <row r="120" ht="12.95" customHeight="1" x14ac:dyDescent="0.2"/>
    <row r="121" ht="12.95" customHeight="1" x14ac:dyDescent="0.2"/>
    <row r="122" ht="12.95" customHeight="1" x14ac:dyDescent="0.2"/>
    <row r="123" ht="12.95" customHeight="1" x14ac:dyDescent="0.2"/>
    <row r="124" ht="12.95" customHeight="1" x14ac:dyDescent="0.2"/>
    <row r="125" ht="12.95" customHeight="1" x14ac:dyDescent="0.2"/>
    <row r="126" ht="12.95" customHeight="1" x14ac:dyDescent="0.2"/>
    <row r="127" ht="5.25" customHeight="1" x14ac:dyDescent="0.2"/>
    <row r="134" hidden="1" x14ac:dyDescent="0.2"/>
    <row r="135" hidden="1" x14ac:dyDescent="0.2"/>
    <row r="143" ht="6" customHeight="1" x14ac:dyDescent="0.2"/>
    <row r="144" ht="17.25" customHeight="1" x14ac:dyDescent="0.2"/>
    <row r="145" ht="14.25" customHeight="1" x14ac:dyDescent="0.2"/>
    <row r="146" ht="15" customHeight="1" x14ac:dyDescent="0.2"/>
    <row r="147" ht="10.5" customHeight="1" x14ac:dyDescent="0.2"/>
    <row r="158" ht="14.25" customHeight="1" x14ac:dyDescent="0.2"/>
    <row r="164" ht="5.25" customHeight="1" x14ac:dyDescent="0.2"/>
    <row r="165" ht="18.75" customHeight="1" x14ac:dyDescent="0.2"/>
    <row r="166" ht="4.5" customHeight="1" x14ac:dyDescent="0.2"/>
    <row r="170" ht="4.5" customHeight="1" x14ac:dyDescent="0.2"/>
    <row r="177" ht="15.75" customHeight="1" x14ac:dyDescent="0.2"/>
    <row r="178" ht="15.75" customHeight="1" x14ac:dyDescent="0.2"/>
    <row r="179" ht="15" customHeight="1" x14ac:dyDescent="0.2"/>
    <row r="180" ht="12.75" customHeight="1" x14ac:dyDescent="0.2"/>
    <row r="181" ht="12.75" customHeight="1" x14ac:dyDescent="0.2"/>
    <row r="184" ht="17.25" customHeight="1" x14ac:dyDescent="0.2"/>
    <row r="185" ht="3" customHeight="1" x14ac:dyDescent="0.2"/>
    <row r="187" ht="15" customHeight="1" x14ac:dyDescent="0.2"/>
  </sheetData>
  <mergeCells count="15">
    <mergeCell ref="B2:D2"/>
    <mergeCell ref="B4:B6"/>
    <mergeCell ref="C4:D4"/>
    <mergeCell ref="F2:H2"/>
    <mergeCell ref="B80:D80"/>
    <mergeCell ref="B79:D79"/>
    <mergeCell ref="B3:D3"/>
    <mergeCell ref="F3:H3"/>
    <mergeCell ref="F33:H33"/>
    <mergeCell ref="F34:H34"/>
    <mergeCell ref="B77:D77"/>
    <mergeCell ref="B78:D78"/>
    <mergeCell ref="F4:F6"/>
    <mergeCell ref="G4:H4"/>
    <mergeCell ref="F32:H32"/>
  </mergeCells>
  <hyperlinks>
    <hyperlink ref="B1" location="'1 Identificação e Parâmetros'!A20" display="RETORNAR AO INDICE GERAL" xr:uid="{00000000-0004-0000-0200-000000000000}"/>
    <hyperlink ref="B9" location="'7 Glossário'!B6" display="1.1.1 Administração central(1)" xr:uid="{00000000-0004-0000-0200-000001000000}"/>
    <hyperlink ref="B61" location="'7 Glossário'!B21" display="10 Despesas extraordinárias ou eventuais(2)" xr:uid="{00000000-0004-0000-0200-000002000000}"/>
    <hyperlink ref="B62" location="'7 Glossário'!B32" display="11 Provisões de despesas contingentes - cíveis e trabalhistas, desativação de aterro(3)" xr:uid="{00000000-0004-0000-0200-000003000000}"/>
    <hyperlink ref="B64" location="'7 Glossário'!B23" display="12 Despesas indiretas " xr:uid="{00000000-0004-0000-0200-000004000000}"/>
    <hyperlink ref="B66" location="'7 Glossário'!B15" display="Depreciação de ativos do sistema de coleta convencional e seletiva " xr:uid="{00000000-0004-0000-0200-000005000000}"/>
    <hyperlink ref="B69" location="'7 Glossário'!B26" display="Depreciação e exaustão de ativos da Central de Tratamento ou Aterro Sanitário" xr:uid="{00000000-0004-0000-0200-000006000000}"/>
    <hyperlink ref="B71" location="'7 Glossário'!B22" display="14 Despesas Financeiras - juros e encargos de empréstimos (C)" xr:uid="{00000000-0004-0000-0200-000007000000}"/>
    <hyperlink ref="B72" location="'7 Glossário'!B30" display="15 PIS/PASEP -  sobre receitas do serviço RSU (D)" xr:uid="{00000000-0004-0000-0200-000008000000}"/>
    <hyperlink ref="B74" location="'7 Glossário'!B12" display="Custo Contábil Total dos Serviços (A+B+C+D+E)" xr:uid="{00000000-0004-0000-0200-000009000000}"/>
    <hyperlink ref="F12" location="'7 Glossário'!B28" display="5. Isenções e subsídios legais concedidos" xr:uid="{00000000-0004-0000-0200-00000A000000}"/>
  </hyperlinks>
  <printOptions horizontalCentered="1"/>
  <pageMargins left="0.59055118110236227" right="0.39370078740157483" top="0.59055118110236227" bottom="0.59055118110236227" header="0.31496062992125984" footer="0.11811023622047245"/>
  <pageSetup paperSize="9" scale="70" fitToHeight="4" orientation="portrait" horizontalDpi="300" verticalDpi="300" r:id="rId1"/>
  <headerFooter alignWithMargins="0">
    <oddHeader>Página &amp;P de &amp;N</oddHeader>
    <oddFooter>&amp;A</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I77"/>
  <sheetViews>
    <sheetView showGridLines="0" defaultGridColor="0" colorId="23" zoomScaleNormal="100" workbookViewId="0">
      <selection activeCell="J4" sqref="J4"/>
    </sheetView>
  </sheetViews>
  <sheetFormatPr defaultColWidth="8.85546875" defaultRowHeight="14.25" x14ac:dyDescent="0.25"/>
  <cols>
    <col min="1" max="1" width="4" customWidth="1"/>
    <col min="2" max="2" width="23.42578125" style="41" customWidth="1"/>
    <col min="3" max="3" width="28.140625" style="41" customWidth="1"/>
    <col min="4" max="4" width="51" style="41" customWidth="1"/>
    <col min="5" max="5" width="12.140625" style="41" customWidth="1"/>
    <col min="6" max="6" width="12" style="41" customWidth="1"/>
    <col min="7" max="7" width="11.85546875" style="41" customWidth="1"/>
    <col min="8" max="8" width="13.85546875" style="41" customWidth="1"/>
    <col min="9" max="9" width="14.85546875" customWidth="1"/>
    <col min="10" max="10" width="10.85546875" customWidth="1"/>
    <col min="11" max="12" width="11.140625" bestFit="1" customWidth="1"/>
    <col min="13" max="13" width="13.140625" customWidth="1"/>
    <col min="14" max="14" width="12.85546875" customWidth="1"/>
  </cols>
  <sheetData>
    <row r="1" spans="1:8" ht="30" customHeight="1" x14ac:dyDescent="0.25">
      <c r="A1" s="1"/>
      <c r="B1" s="136" t="s">
        <v>396</v>
      </c>
      <c r="C1" s="44"/>
      <c r="D1" s="42"/>
      <c r="E1" s="42"/>
      <c r="F1" s="42"/>
      <c r="G1" s="42"/>
      <c r="H1" s="42"/>
    </row>
    <row r="2" spans="1:8" ht="39.950000000000003" customHeight="1" x14ac:dyDescent="0.2">
      <c r="A2" s="1"/>
      <c r="B2" s="542" t="s">
        <v>462</v>
      </c>
      <c r="C2" s="543"/>
      <c r="D2" s="543"/>
      <c r="E2" s="543"/>
      <c r="F2" s="543"/>
      <c r="G2" s="543"/>
      <c r="H2" s="537" t="s">
        <v>587</v>
      </c>
    </row>
    <row r="3" spans="1:8" ht="29.1" customHeight="1" x14ac:dyDescent="0.2">
      <c r="A3" s="1"/>
      <c r="B3" s="546" t="s">
        <v>359</v>
      </c>
      <c r="C3" s="547"/>
      <c r="D3" s="547"/>
      <c r="E3" s="538" t="s">
        <v>2</v>
      </c>
      <c r="F3" s="538"/>
      <c r="G3" s="538"/>
      <c r="H3" s="537"/>
    </row>
    <row r="4" spans="1:8" ht="32.1" customHeight="1" x14ac:dyDescent="0.2">
      <c r="A4" s="1"/>
      <c r="B4" s="546"/>
      <c r="C4" s="547"/>
      <c r="D4" s="547"/>
      <c r="E4" s="171" t="s">
        <v>161</v>
      </c>
      <c r="F4" s="171" t="s">
        <v>461</v>
      </c>
      <c r="G4" s="171" t="s">
        <v>324</v>
      </c>
      <c r="H4" s="537"/>
    </row>
    <row r="5" spans="1:8" ht="18" customHeight="1" x14ac:dyDescent="0.2">
      <c r="A5" s="1"/>
      <c r="B5" s="221" t="s">
        <v>259</v>
      </c>
      <c r="C5" s="91" t="s">
        <v>7</v>
      </c>
      <c r="D5" s="95" t="s">
        <v>6</v>
      </c>
      <c r="E5" s="93">
        <f>F5-1</f>
        <v>2018</v>
      </c>
      <c r="F5" s="94">
        <f>'1 Identificação e Parâmetros'!K9</f>
        <v>2019</v>
      </c>
      <c r="G5" s="94">
        <f>F5+1</f>
        <v>2020</v>
      </c>
      <c r="H5" s="537"/>
    </row>
    <row r="6" spans="1:8" ht="18" customHeight="1" x14ac:dyDescent="0.2">
      <c r="A6" s="1"/>
      <c r="B6" s="544" t="s">
        <v>16</v>
      </c>
      <c r="C6" s="46" t="s">
        <v>51</v>
      </c>
      <c r="D6" s="47" t="s">
        <v>3</v>
      </c>
      <c r="E6" s="241">
        <v>0</v>
      </c>
      <c r="F6" s="241">
        <v>0</v>
      </c>
      <c r="G6" s="241">
        <v>0</v>
      </c>
      <c r="H6" s="202"/>
    </row>
    <row r="7" spans="1:8" ht="18" customHeight="1" x14ac:dyDescent="0.2">
      <c r="A7" s="1"/>
      <c r="B7" s="544"/>
      <c r="C7" s="545" t="s">
        <v>52</v>
      </c>
      <c r="D7" s="47" t="s">
        <v>47</v>
      </c>
      <c r="E7" s="241">
        <v>0</v>
      </c>
      <c r="F7" s="241">
        <v>0</v>
      </c>
      <c r="G7" s="241">
        <v>0</v>
      </c>
      <c r="H7" s="202"/>
    </row>
    <row r="8" spans="1:8" ht="18" customHeight="1" x14ac:dyDescent="0.2">
      <c r="A8" s="1"/>
      <c r="B8" s="544"/>
      <c r="C8" s="545"/>
      <c r="D8" s="48" t="s">
        <v>4</v>
      </c>
      <c r="E8" s="245">
        <v>0</v>
      </c>
      <c r="F8" s="245">
        <v>0</v>
      </c>
      <c r="G8" s="389">
        <f>F8-(F7+G7)/2*$H8</f>
        <v>0</v>
      </c>
      <c r="H8" s="203">
        <v>0.02</v>
      </c>
    </row>
    <row r="9" spans="1:8" ht="18" customHeight="1" x14ac:dyDescent="0.2">
      <c r="A9" s="1"/>
      <c r="B9" s="544"/>
      <c r="C9" s="545" t="s">
        <v>8</v>
      </c>
      <c r="D9" s="47" t="s">
        <v>3</v>
      </c>
      <c r="E9" s="241">
        <v>1140000</v>
      </c>
      <c r="F9" s="241">
        <v>1140000</v>
      </c>
      <c r="G9" s="241">
        <v>1140000</v>
      </c>
      <c r="H9" s="204"/>
    </row>
    <row r="10" spans="1:8" ht="18" customHeight="1" x14ac:dyDescent="0.2">
      <c r="A10" s="1"/>
      <c r="B10" s="544"/>
      <c r="C10" s="545"/>
      <c r="D10" s="48" t="s">
        <v>4</v>
      </c>
      <c r="E10" s="240">
        <v>-570000</v>
      </c>
      <c r="F10" s="240">
        <v>-684000</v>
      </c>
      <c r="G10" s="238">
        <f>F10-(F9+G9)/2*$H$10</f>
        <v>-798000</v>
      </c>
      <c r="H10" s="203">
        <v>0.1</v>
      </c>
    </row>
    <row r="11" spans="1:8" ht="18" customHeight="1" x14ac:dyDescent="0.2">
      <c r="A11" s="1"/>
      <c r="B11" s="544"/>
      <c r="C11" s="545" t="s">
        <v>9</v>
      </c>
      <c r="D11" s="47" t="s">
        <v>3</v>
      </c>
      <c r="E11" s="241">
        <v>0</v>
      </c>
      <c r="F11" s="241">
        <v>0</v>
      </c>
      <c r="G11" s="241">
        <v>0</v>
      </c>
      <c r="H11" s="204"/>
    </row>
    <row r="12" spans="1:8" ht="18" customHeight="1" x14ac:dyDescent="0.2">
      <c r="A12" s="1"/>
      <c r="B12" s="544"/>
      <c r="C12" s="545"/>
      <c r="D12" s="48" t="s">
        <v>4</v>
      </c>
      <c r="E12" s="245">
        <v>0</v>
      </c>
      <c r="F12" s="245">
        <v>0</v>
      </c>
      <c r="G12" s="246">
        <f>F12-(F11+G11)/2*H12</f>
        <v>0</v>
      </c>
      <c r="H12" s="203">
        <v>0.1</v>
      </c>
    </row>
    <row r="13" spans="1:8" ht="18" customHeight="1" x14ac:dyDescent="0.2">
      <c r="A13" s="1"/>
      <c r="B13" s="544" t="s">
        <v>463</v>
      </c>
      <c r="C13" s="46" t="s">
        <v>51</v>
      </c>
      <c r="D13" s="47" t="s">
        <v>3</v>
      </c>
      <c r="E13" s="241">
        <v>0</v>
      </c>
      <c r="F13" s="241">
        <v>0</v>
      </c>
      <c r="G13" s="241">
        <v>0</v>
      </c>
      <c r="H13" s="204"/>
    </row>
    <row r="14" spans="1:8" ht="18" customHeight="1" x14ac:dyDescent="0.2">
      <c r="A14" s="1"/>
      <c r="B14" s="544"/>
      <c r="C14" s="545" t="s">
        <v>52</v>
      </c>
      <c r="D14" s="47" t="s">
        <v>47</v>
      </c>
      <c r="E14" s="241">
        <v>0</v>
      </c>
      <c r="F14" s="241">
        <v>0</v>
      </c>
      <c r="G14" s="241">
        <v>0</v>
      </c>
      <c r="H14" s="204"/>
    </row>
    <row r="15" spans="1:8" ht="18" customHeight="1" x14ac:dyDescent="0.2">
      <c r="A15" s="1"/>
      <c r="B15" s="544"/>
      <c r="C15" s="545"/>
      <c r="D15" s="48" t="s">
        <v>4</v>
      </c>
      <c r="E15" s="245">
        <v>0</v>
      </c>
      <c r="F15" s="245">
        <v>0</v>
      </c>
      <c r="G15" s="246">
        <f>F15-(F14+G14)/2*H15</f>
        <v>0</v>
      </c>
      <c r="H15" s="203">
        <v>0.02</v>
      </c>
    </row>
    <row r="16" spans="1:8" ht="18" customHeight="1" x14ac:dyDescent="0.2">
      <c r="A16" s="1"/>
      <c r="B16" s="544"/>
      <c r="C16" s="545" t="s">
        <v>8</v>
      </c>
      <c r="D16" s="47" t="s">
        <v>3</v>
      </c>
      <c r="E16" s="245">
        <v>0</v>
      </c>
      <c r="F16" s="245">
        <v>0</v>
      </c>
      <c r="G16" s="245">
        <v>0</v>
      </c>
      <c r="H16" s="204"/>
    </row>
    <row r="17" spans="1:8" ht="18" customHeight="1" x14ac:dyDescent="0.2">
      <c r="A17" s="1"/>
      <c r="B17" s="544"/>
      <c r="C17" s="545"/>
      <c r="D17" s="48" t="s">
        <v>4</v>
      </c>
      <c r="E17" s="245">
        <v>0</v>
      </c>
      <c r="F17" s="245">
        <v>0</v>
      </c>
      <c r="G17" s="246">
        <f>F17-(F16+G16)/2*H17</f>
        <v>0</v>
      </c>
      <c r="H17" s="203">
        <v>0.1</v>
      </c>
    </row>
    <row r="18" spans="1:8" ht="18" customHeight="1" x14ac:dyDescent="0.2">
      <c r="A18" s="1"/>
      <c r="B18" s="544"/>
      <c r="C18" s="545" t="s">
        <v>9</v>
      </c>
      <c r="D18" s="47" t="s">
        <v>3</v>
      </c>
      <c r="E18" s="241">
        <v>0</v>
      </c>
      <c r="F18" s="241">
        <v>0</v>
      </c>
      <c r="G18" s="241">
        <v>0</v>
      </c>
      <c r="H18" s="204"/>
    </row>
    <row r="19" spans="1:8" ht="18" customHeight="1" x14ac:dyDescent="0.2">
      <c r="A19" s="1"/>
      <c r="B19" s="544"/>
      <c r="C19" s="545"/>
      <c r="D19" s="48" t="s">
        <v>4</v>
      </c>
      <c r="E19" s="245">
        <v>0</v>
      </c>
      <c r="F19" s="245">
        <v>0</v>
      </c>
      <c r="G19" s="246">
        <f>F19-(F18+G18)/2*H19</f>
        <v>0</v>
      </c>
      <c r="H19" s="203">
        <v>0.1</v>
      </c>
    </row>
    <row r="20" spans="1:8" ht="18" customHeight="1" x14ac:dyDescent="0.2">
      <c r="A20" s="1"/>
      <c r="B20" s="544" t="s">
        <v>56</v>
      </c>
      <c r="C20" s="46" t="s">
        <v>180</v>
      </c>
      <c r="D20" s="47" t="s">
        <v>3</v>
      </c>
      <c r="E20" s="241">
        <v>0</v>
      </c>
      <c r="F20" s="241">
        <v>0</v>
      </c>
      <c r="G20" s="241">
        <v>0</v>
      </c>
      <c r="H20" s="204"/>
    </row>
    <row r="21" spans="1:8" ht="18" customHeight="1" x14ac:dyDescent="0.2">
      <c r="A21" s="1"/>
      <c r="B21" s="544"/>
      <c r="C21" s="545" t="s">
        <v>53</v>
      </c>
      <c r="D21" s="47" t="s">
        <v>47</v>
      </c>
      <c r="E21" s="241">
        <v>0</v>
      </c>
      <c r="F21" s="241">
        <v>0</v>
      </c>
      <c r="G21" s="241">
        <v>0</v>
      </c>
      <c r="H21" s="204"/>
    </row>
    <row r="22" spans="1:8" ht="18" customHeight="1" x14ac:dyDescent="0.2">
      <c r="A22" s="1"/>
      <c r="B22" s="544"/>
      <c r="C22" s="545"/>
      <c r="D22" s="48" t="s">
        <v>10</v>
      </c>
      <c r="E22" s="245">
        <v>0</v>
      </c>
      <c r="F22" s="245">
        <v>0</v>
      </c>
      <c r="G22" s="246">
        <f>F22-(F21+G21)/2*H22</f>
        <v>0</v>
      </c>
      <c r="H22" s="203">
        <v>0.02</v>
      </c>
    </row>
    <row r="23" spans="1:8" ht="18" customHeight="1" x14ac:dyDescent="0.2">
      <c r="A23" s="1"/>
      <c r="B23" s="544"/>
      <c r="C23" s="545" t="s">
        <v>8</v>
      </c>
      <c r="D23" s="47" t="s">
        <v>3</v>
      </c>
      <c r="E23" s="241">
        <v>0</v>
      </c>
      <c r="F23" s="241">
        <v>0</v>
      </c>
      <c r="G23" s="241">
        <v>0</v>
      </c>
      <c r="H23" s="203"/>
    </row>
    <row r="24" spans="1:8" ht="18" customHeight="1" x14ac:dyDescent="0.2">
      <c r="A24" s="1"/>
      <c r="B24" s="544"/>
      <c r="C24" s="545"/>
      <c r="D24" s="48" t="s">
        <v>4</v>
      </c>
      <c r="E24" s="245">
        <v>0</v>
      </c>
      <c r="F24" s="245">
        <v>0</v>
      </c>
      <c r="G24" s="246">
        <f>F24-(F23+G23)/2*H24</f>
        <v>0</v>
      </c>
      <c r="H24" s="203">
        <v>0.1</v>
      </c>
    </row>
    <row r="25" spans="1:8" ht="18" customHeight="1" x14ac:dyDescent="0.2">
      <c r="A25" s="1"/>
      <c r="B25" s="544"/>
      <c r="C25" s="545" t="s">
        <v>9</v>
      </c>
      <c r="D25" s="47" t="s">
        <v>3</v>
      </c>
      <c r="E25" s="241">
        <v>0</v>
      </c>
      <c r="F25" s="241">
        <v>0</v>
      </c>
      <c r="G25" s="241">
        <v>0</v>
      </c>
      <c r="H25" s="203"/>
    </row>
    <row r="26" spans="1:8" ht="18" customHeight="1" x14ac:dyDescent="0.2">
      <c r="A26" s="1"/>
      <c r="B26" s="544"/>
      <c r="C26" s="545"/>
      <c r="D26" s="48" t="s">
        <v>4</v>
      </c>
      <c r="E26" s="245">
        <v>0</v>
      </c>
      <c r="F26" s="245">
        <v>0</v>
      </c>
      <c r="G26" s="246">
        <f>F26-(F25+G25)/2*H26</f>
        <v>0</v>
      </c>
      <c r="H26" s="203">
        <v>0.1</v>
      </c>
    </row>
    <row r="27" spans="1:8" ht="18" customHeight="1" x14ac:dyDescent="0.2">
      <c r="A27" s="1"/>
      <c r="B27" s="544" t="s">
        <v>464</v>
      </c>
      <c r="C27" s="46" t="s">
        <v>54</v>
      </c>
      <c r="D27" s="47" t="s">
        <v>3</v>
      </c>
      <c r="E27" s="241">
        <v>0</v>
      </c>
      <c r="F27" s="241">
        <v>0</v>
      </c>
      <c r="G27" s="241">
        <v>0</v>
      </c>
      <c r="H27" s="204"/>
    </row>
    <row r="28" spans="1:8" ht="18" customHeight="1" x14ac:dyDescent="0.2">
      <c r="A28" s="1"/>
      <c r="B28" s="544"/>
      <c r="C28" s="545" t="s">
        <v>55</v>
      </c>
      <c r="D28" s="47" t="s">
        <v>47</v>
      </c>
      <c r="E28" s="241">
        <v>0</v>
      </c>
      <c r="F28" s="241">
        <v>1262000</v>
      </c>
      <c r="G28" s="241">
        <f>F28+229616</f>
        <v>1491616</v>
      </c>
      <c r="H28" s="204"/>
    </row>
    <row r="29" spans="1:8" ht="18" customHeight="1" x14ac:dyDescent="0.2">
      <c r="A29" s="1"/>
      <c r="B29" s="544"/>
      <c r="C29" s="545"/>
      <c r="D29" s="48" t="s">
        <v>4</v>
      </c>
      <c r="E29" s="245">
        <v>0</v>
      </c>
      <c r="F29" s="240">
        <v>-12620</v>
      </c>
      <c r="G29" s="238">
        <f>F29-(F28+G28)/2*H29</f>
        <v>-40156.160000000003</v>
      </c>
      <c r="H29" s="203">
        <v>0.02</v>
      </c>
    </row>
    <row r="30" spans="1:8" ht="18" customHeight="1" x14ac:dyDescent="0.2">
      <c r="A30" s="1"/>
      <c r="B30" s="544"/>
      <c r="C30" s="545" t="s">
        <v>57</v>
      </c>
      <c r="D30" s="47" t="s">
        <v>47</v>
      </c>
      <c r="E30" s="241">
        <v>0</v>
      </c>
      <c r="F30" s="241">
        <v>150000</v>
      </c>
      <c r="G30" s="241">
        <f>F30</f>
        <v>150000</v>
      </c>
      <c r="H30" s="203"/>
    </row>
    <row r="31" spans="1:8" ht="18" customHeight="1" x14ac:dyDescent="0.2">
      <c r="A31" s="1"/>
      <c r="B31" s="544"/>
      <c r="C31" s="545"/>
      <c r="D31" s="48" t="s">
        <v>4</v>
      </c>
      <c r="E31" s="241">
        <v>0</v>
      </c>
      <c r="F31" s="241">
        <v>-3000</v>
      </c>
      <c r="G31" s="239">
        <f>F31-(F30+G30)/2*H31</f>
        <v>-9000</v>
      </c>
      <c r="H31" s="203">
        <v>0.04</v>
      </c>
    </row>
    <row r="32" spans="1:8" ht="18" customHeight="1" x14ac:dyDescent="0.2">
      <c r="A32" s="1"/>
      <c r="B32" s="544"/>
      <c r="C32" s="545" t="s">
        <v>179</v>
      </c>
      <c r="D32" s="47" t="s">
        <v>181</v>
      </c>
      <c r="E32" s="241">
        <v>0</v>
      </c>
      <c r="F32" s="241">
        <v>302742</v>
      </c>
      <c r="G32" s="241">
        <v>504570</v>
      </c>
      <c r="H32" s="203"/>
    </row>
    <row r="33" spans="1:9" ht="18" customHeight="1" x14ac:dyDescent="0.2">
      <c r="A33" s="1"/>
      <c r="B33" s="544"/>
      <c r="C33" s="545"/>
      <c r="D33" s="48" t="s">
        <v>4</v>
      </c>
      <c r="E33" s="245">
        <v>0</v>
      </c>
      <c r="F33" s="240">
        <v>-60548.4</v>
      </c>
      <c r="G33" s="238">
        <f>F33-(F32+G32)/2*H33</f>
        <v>-222010.80000000002</v>
      </c>
      <c r="H33" s="203">
        <v>0.4</v>
      </c>
    </row>
    <row r="34" spans="1:9" ht="18" customHeight="1" x14ac:dyDescent="0.2">
      <c r="A34" s="1"/>
      <c r="B34" s="544"/>
      <c r="C34" s="545" t="s">
        <v>8</v>
      </c>
      <c r="D34" s="47" t="s">
        <v>3</v>
      </c>
      <c r="E34" s="241">
        <v>0</v>
      </c>
      <c r="F34" s="241">
        <v>0</v>
      </c>
      <c r="G34" s="241">
        <v>0</v>
      </c>
      <c r="H34" s="204"/>
    </row>
    <row r="35" spans="1:9" ht="18" customHeight="1" x14ac:dyDescent="0.2">
      <c r="A35" s="1"/>
      <c r="B35" s="544"/>
      <c r="C35" s="545"/>
      <c r="D35" s="48" t="s">
        <v>4</v>
      </c>
      <c r="E35" s="245">
        <v>0</v>
      </c>
      <c r="F35" s="245">
        <v>0</v>
      </c>
      <c r="G35" s="246">
        <f>F35-(F34+G34)/2*H35</f>
        <v>0</v>
      </c>
      <c r="H35" s="203">
        <v>0.1</v>
      </c>
    </row>
    <row r="36" spans="1:9" ht="18" customHeight="1" x14ac:dyDescent="0.2">
      <c r="A36" s="1"/>
      <c r="B36" s="544"/>
      <c r="C36" s="545" t="s">
        <v>9</v>
      </c>
      <c r="D36" s="47" t="s">
        <v>3</v>
      </c>
      <c r="E36" s="241">
        <v>0</v>
      </c>
      <c r="F36" s="241">
        <v>0</v>
      </c>
      <c r="G36" s="241">
        <v>0</v>
      </c>
      <c r="H36" s="204"/>
    </row>
    <row r="37" spans="1:9" ht="18" customHeight="1" x14ac:dyDescent="0.2">
      <c r="A37" s="1"/>
      <c r="B37" s="544"/>
      <c r="C37" s="545"/>
      <c r="D37" s="48" t="s">
        <v>4</v>
      </c>
      <c r="E37" s="245">
        <v>0</v>
      </c>
      <c r="F37" s="245">
        <v>0</v>
      </c>
      <c r="G37" s="246">
        <f>F37-(F36+G36)/2*H37</f>
        <v>0</v>
      </c>
      <c r="H37" s="203">
        <v>0.1</v>
      </c>
    </row>
    <row r="38" spans="1:9" ht="18" customHeight="1" x14ac:dyDescent="0.2">
      <c r="A38" s="1"/>
      <c r="B38" s="544" t="s">
        <v>358</v>
      </c>
      <c r="C38" s="46" t="s">
        <v>14</v>
      </c>
      <c r="D38" s="47" t="s">
        <v>3</v>
      </c>
      <c r="E38" s="241">
        <v>0</v>
      </c>
      <c r="F38" s="241">
        <v>0</v>
      </c>
      <c r="G38" s="241">
        <v>0</v>
      </c>
      <c r="H38" s="204"/>
      <c r="I38" s="110"/>
    </row>
    <row r="39" spans="1:9" ht="18" customHeight="1" x14ac:dyDescent="0.2">
      <c r="A39" s="1"/>
      <c r="B39" s="544"/>
      <c r="C39" s="545" t="s">
        <v>15</v>
      </c>
      <c r="D39" s="47" t="s">
        <v>3</v>
      </c>
      <c r="E39" s="241">
        <v>0</v>
      </c>
      <c r="F39" s="241">
        <v>0</v>
      </c>
      <c r="G39" s="241">
        <v>0</v>
      </c>
      <c r="H39" s="204"/>
      <c r="I39" s="110"/>
    </row>
    <row r="40" spans="1:9" ht="18" customHeight="1" x14ac:dyDescent="0.2">
      <c r="A40" s="1"/>
      <c r="B40" s="544"/>
      <c r="C40" s="545"/>
      <c r="D40" s="48" t="s">
        <v>4</v>
      </c>
      <c r="E40" s="245">
        <v>0</v>
      </c>
      <c r="F40" s="245">
        <v>0</v>
      </c>
      <c r="G40" s="246">
        <f>F40-(F39+G39)/2*H40</f>
        <v>0</v>
      </c>
      <c r="H40" s="203">
        <v>0.02</v>
      </c>
      <c r="I40" s="110"/>
    </row>
    <row r="41" spans="1:9" ht="18" customHeight="1" x14ac:dyDescent="0.2">
      <c r="A41" s="1"/>
      <c r="B41" s="544"/>
      <c r="C41" s="545" t="s">
        <v>8</v>
      </c>
      <c r="D41" s="47" t="s">
        <v>3</v>
      </c>
      <c r="E41" s="241">
        <v>0</v>
      </c>
      <c r="F41" s="241">
        <v>0</v>
      </c>
      <c r="G41" s="241">
        <v>0</v>
      </c>
      <c r="H41" s="204"/>
      <c r="I41" s="110"/>
    </row>
    <row r="42" spans="1:9" ht="18" customHeight="1" x14ac:dyDescent="0.2">
      <c r="A42" s="1"/>
      <c r="B42" s="544"/>
      <c r="C42" s="545"/>
      <c r="D42" s="48" t="s">
        <v>4</v>
      </c>
      <c r="E42" s="245">
        <v>0</v>
      </c>
      <c r="F42" s="245">
        <v>0</v>
      </c>
      <c r="G42" s="246">
        <f>F42-(F41+G41)/2*H42</f>
        <v>0</v>
      </c>
      <c r="H42" s="203">
        <v>0.1</v>
      </c>
      <c r="I42" s="110"/>
    </row>
    <row r="43" spans="1:9" ht="18" customHeight="1" x14ac:dyDescent="0.2">
      <c r="A43" s="1"/>
      <c r="B43" s="544"/>
      <c r="C43" s="545" t="s">
        <v>9</v>
      </c>
      <c r="D43" s="47" t="s">
        <v>3</v>
      </c>
      <c r="E43" s="241">
        <v>0</v>
      </c>
      <c r="F43" s="241">
        <v>0</v>
      </c>
      <c r="G43" s="241">
        <v>0</v>
      </c>
      <c r="H43" s="204"/>
      <c r="I43" s="110"/>
    </row>
    <row r="44" spans="1:9" ht="18" customHeight="1" x14ac:dyDescent="0.2">
      <c r="A44" s="1"/>
      <c r="B44" s="544"/>
      <c r="C44" s="545"/>
      <c r="D44" s="48" t="s">
        <v>4</v>
      </c>
      <c r="E44" s="245">
        <v>0</v>
      </c>
      <c r="F44" s="245">
        <v>0</v>
      </c>
      <c r="G44" s="246">
        <f>F44-(F43+G43)/2*H44</f>
        <v>0</v>
      </c>
      <c r="H44" s="222">
        <v>0.1</v>
      </c>
      <c r="I44" s="110"/>
    </row>
    <row r="45" spans="1:9" ht="18" customHeight="1" x14ac:dyDescent="0.2">
      <c r="A45" s="1"/>
      <c r="B45" s="550" t="s">
        <v>44</v>
      </c>
      <c r="C45" s="552" t="s">
        <v>45</v>
      </c>
      <c r="D45" s="179" t="s">
        <v>3</v>
      </c>
      <c r="E45" s="392">
        <f>E6+E7+E9+E11+E13+E14+E16+E18+E20+E21+E23+E25+E27+E28+E30+E32+E34+E36+E38+E39+E41+E43</f>
        <v>1140000</v>
      </c>
      <c r="F45" s="392">
        <f>F6+F7+F9+F11+F13+F14+F16+F18+F20+F21+F23+F25+F27+F28+F30+F32+F34+F36+F38+F39+F41+F43</f>
        <v>2854742</v>
      </c>
      <c r="G45" s="393">
        <f>G6+G7+G9+G11+G13+G14+G16+G18+G20+G21+G23+G25+G27+G28+G30+G32+G34+G36+G38+G39+G41+G43</f>
        <v>3286186</v>
      </c>
      <c r="H45" s="225"/>
      <c r="I45" s="110"/>
    </row>
    <row r="46" spans="1:9" ht="18" customHeight="1" x14ac:dyDescent="0.2">
      <c r="A46" s="1"/>
      <c r="B46" s="550"/>
      <c r="C46" s="552"/>
      <c r="D46" s="49" t="s">
        <v>46</v>
      </c>
      <c r="E46" s="394">
        <f>E8+E10+E12+E15+E17+E19+E22+E24+E26+E29+E31+E33+E35+E37+E40+E42+E44</f>
        <v>-570000</v>
      </c>
      <c r="F46" s="394">
        <f>F8+F10+F12+F15+F17+F19+F22+F24+F26+F29+F31+F33+F35+F37+F40+F42+F44</f>
        <v>-760168.4</v>
      </c>
      <c r="G46" s="395">
        <f>G8+G10+G12+G15+G17+G19+G22+G24+G26+G29+G31+G33+G35+G37+G40+G42+G44</f>
        <v>-1069166.96</v>
      </c>
      <c r="H46" s="224"/>
      <c r="I46" s="110"/>
    </row>
    <row r="47" spans="1:9" ht="18" customHeight="1" x14ac:dyDescent="0.2">
      <c r="A47" s="1"/>
      <c r="B47" s="550"/>
      <c r="C47" s="548" t="s">
        <v>325</v>
      </c>
      <c r="D47" s="548"/>
      <c r="E47" s="390">
        <f>E45+E46</f>
        <v>570000</v>
      </c>
      <c r="F47" s="390">
        <f>F45+F46</f>
        <v>2094573.6</v>
      </c>
      <c r="G47" s="391">
        <f>G45+G46</f>
        <v>2217019.04</v>
      </c>
      <c r="H47" s="224"/>
      <c r="I47" s="110"/>
    </row>
    <row r="48" spans="1:9" ht="18" customHeight="1" x14ac:dyDescent="0.2">
      <c r="A48" s="1"/>
      <c r="B48" s="52" t="s">
        <v>465</v>
      </c>
      <c r="C48" s="36"/>
      <c r="D48" s="226"/>
      <c r="E48" s="226"/>
      <c r="F48" s="43"/>
      <c r="G48" s="43"/>
      <c r="H48" s="223"/>
      <c r="I48" s="110"/>
    </row>
    <row r="49" spans="1:9" ht="18" customHeight="1" x14ac:dyDescent="0.2">
      <c r="A49" s="1"/>
      <c r="B49" s="153"/>
      <c r="C49" s="36"/>
      <c r="D49" s="226"/>
      <c r="E49" s="226"/>
      <c r="F49" s="43"/>
      <c r="G49" s="43"/>
      <c r="H49" s="223"/>
      <c r="I49" s="110"/>
    </row>
    <row r="50" spans="1:9" ht="39" customHeight="1" x14ac:dyDescent="0.2">
      <c r="A50" s="1"/>
      <c r="B50" s="549" t="s">
        <v>466</v>
      </c>
      <c r="C50" s="549"/>
      <c r="D50" s="549"/>
      <c r="E50" s="549"/>
      <c r="F50" s="549"/>
      <c r="G50" s="549"/>
      <c r="H50" s="153"/>
      <c r="I50" s="110"/>
    </row>
    <row r="51" spans="1:9" ht="18" customHeight="1" x14ac:dyDescent="0.2">
      <c r="A51" s="1"/>
      <c r="B51" s="541" t="s">
        <v>0</v>
      </c>
      <c r="C51" s="541"/>
      <c r="D51" s="541"/>
      <c r="E51" s="172"/>
      <c r="F51" s="53">
        <f>'1 Identificação e Parâmetros'!K9</f>
        <v>2019</v>
      </c>
      <c r="G51" s="53">
        <f>F51+1</f>
        <v>2020</v>
      </c>
      <c r="H51" s="153"/>
      <c r="I51" s="110"/>
    </row>
    <row r="52" spans="1:9" ht="18" customHeight="1" x14ac:dyDescent="0.2">
      <c r="A52" s="1"/>
      <c r="B52" s="551" t="s">
        <v>352</v>
      </c>
      <c r="C52" s="551"/>
      <c r="D52" s="551"/>
      <c r="E52" s="220"/>
      <c r="F52" s="242">
        <f>SUM(F53:F55)</f>
        <v>10780</v>
      </c>
      <c r="G52" s="242">
        <f>SUM(G53:G55)</f>
        <v>11100</v>
      </c>
      <c r="H52" s="153"/>
      <c r="I52" s="110"/>
    </row>
    <row r="53" spans="1:9" ht="18" customHeight="1" x14ac:dyDescent="0.2">
      <c r="A53" s="1"/>
      <c r="B53" s="539" t="s">
        <v>153</v>
      </c>
      <c r="C53" s="539"/>
      <c r="D53" s="539"/>
      <c r="E53" s="170"/>
      <c r="F53" s="243">
        <v>10000</v>
      </c>
      <c r="G53" s="243">
        <v>10300</v>
      </c>
      <c r="H53" s="153"/>
      <c r="I53" s="110"/>
    </row>
    <row r="54" spans="1:9" ht="18" customHeight="1" x14ac:dyDescent="0.2">
      <c r="A54" s="1"/>
      <c r="B54" s="539" t="s">
        <v>154</v>
      </c>
      <c r="C54" s="539"/>
      <c r="D54" s="539"/>
      <c r="E54" s="170"/>
      <c r="F54" s="243">
        <v>780</v>
      </c>
      <c r="G54" s="243">
        <v>800</v>
      </c>
      <c r="H54" s="153"/>
      <c r="I54" s="110"/>
    </row>
    <row r="55" spans="1:9" ht="18" customHeight="1" x14ac:dyDescent="0.2">
      <c r="A55" s="1"/>
      <c r="B55" s="539" t="s">
        <v>155</v>
      </c>
      <c r="C55" s="539"/>
      <c r="D55" s="539"/>
      <c r="E55" s="170"/>
      <c r="F55" s="243"/>
      <c r="G55" s="243"/>
      <c r="H55" s="153"/>
      <c r="I55" s="110"/>
    </row>
    <row r="56" spans="1:9" ht="18" customHeight="1" x14ac:dyDescent="0.2">
      <c r="A56" s="1"/>
      <c r="B56" s="540" t="s">
        <v>353</v>
      </c>
      <c r="C56" s="540"/>
      <c r="D56" s="540"/>
      <c r="E56" s="220"/>
      <c r="F56" s="244"/>
      <c r="G56" s="244"/>
      <c r="H56" s="153"/>
      <c r="I56" s="110"/>
    </row>
    <row r="57" spans="1:9" ht="18" customHeight="1" x14ac:dyDescent="0.2">
      <c r="A57" s="1"/>
      <c r="B57" s="540" t="s">
        <v>354</v>
      </c>
      <c r="C57" s="540"/>
      <c r="D57" s="540"/>
      <c r="E57" s="220"/>
      <c r="F57" s="244"/>
      <c r="G57" s="244"/>
      <c r="H57" s="153"/>
      <c r="I57" s="110"/>
    </row>
    <row r="58" spans="1:9" ht="18" customHeight="1" x14ac:dyDescent="0.2">
      <c r="A58" s="1"/>
      <c r="B58" s="540" t="s">
        <v>58</v>
      </c>
      <c r="C58" s="540"/>
      <c r="D58" s="540"/>
      <c r="E58" s="220"/>
      <c r="F58" s="244"/>
      <c r="G58" s="244"/>
      <c r="H58" s="153"/>
      <c r="I58" s="110"/>
    </row>
    <row r="59" spans="1:9" ht="18" customHeight="1" x14ac:dyDescent="0.2">
      <c r="A59" s="1"/>
      <c r="B59" s="540" t="s">
        <v>355</v>
      </c>
      <c r="C59" s="540"/>
      <c r="D59" s="540"/>
      <c r="E59" s="220"/>
      <c r="F59" s="244"/>
      <c r="G59" s="244"/>
      <c r="H59" s="153"/>
      <c r="I59" s="110"/>
    </row>
    <row r="60" spans="1:9" ht="18" customHeight="1" x14ac:dyDescent="0.2">
      <c r="A60" s="1"/>
      <c r="B60" s="540" t="s">
        <v>356</v>
      </c>
      <c r="C60" s="540"/>
      <c r="D60" s="540"/>
      <c r="E60" s="220"/>
      <c r="F60" s="244"/>
      <c r="G60" s="244"/>
      <c r="H60" s="153"/>
      <c r="I60" s="110"/>
    </row>
    <row r="61" spans="1:9" ht="18" customHeight="1" x14ac:dyDescent="0.2">
      <c r="A61" s="1"/>
      <c r="B61" s="540" t="s">
        <v>357</v>
      </c>
      <c r="C61" s="540"/>
      <c r="D61" s="540"/>
      <c r="E61" s="220"/>
      <c r="F61" s="244"/>
      <c r="G61" s="244"/>
      <c r="H61" s="153"/>
      <c r="I61" s="110"/>
    </row>
    <row r="62" spans="1:9" ht="18.95" customHeight="1" x14ac:dyDescent="0.2">
      <c r="A62" s="1"/>
      <c r="B62" s="45" t="s">
        <v>17</v>
      </c>
      <c r="C62" s="153"/>
      <c r="D62" s="153"/>
      <c r="E62" s="153"/>
      <c r="F62" s="153"/>
      <c r="G62" s="153"/>
      <c r="H62" s="153"/>
      <c r="I62" s="110"/>
    </row>
    <row r="63" spans="1:9" x14ac:dyDescent="0.25">
      <c r="A63" s="1"/>
      <c r="B63" s="44"/>
      <c r="C63" s="42"/>
      <c r="D63" s="42"/>
      <c r="E63" s="42"/>
      <c r="F63" s="42"/>
      <c r="G63" s="42"/>
      <c r="H63" s="42"/>
      <c r="I63" s="110"/>
    </row>
    <row r="64" spans="1:9" ht="19.5" customHeight="1" x14ac:dyDescent="0.25">
      <c r="A64" s="1"/>
      <c r="B64" s="42"/>
      <c r="C64" s="42"/>
      <c r="D64" s="42"/>
      <c r="E64" s="42"/>
      <c r="F64" s="42"/>
      <c r="G64" s="42"/>
      <c r="H64" s="42"/>
      <c r="I64" s="110"/>
    </row>
    <row r="65" spans="1:9" x14ac:dyDescent="0.25">
      <c r="A65" s="1"/>
      <c r="B65" s="42"/>
      <c r="C65" s="42"/>
      <c r="D65" s="42"/>
      <c r="E65" s="42"/>
      <c r="F65" s="42"/>
      <c r="G65" s="42"/>
      <c r="H65" s="42"/>
      <c r="I65" s="110"/>
    </row>
    <row r="66" spans="1:9" x14ac:dyDescent="0.25">
      <c r="A66" s="1"/>
      <c r="B66" s="42"/>
      <c r="C66" s="42"/>
      <c r="D66" s="42"/>
      <c r="E66" s="42"/>
      <c r="F66" s="42"/>
      <c r="G66" s="42"/>
      <c r="H66" s="42"/>
      <c r="I66" s="110"/>
    </row>
    <row r="67" spans="1:9" ht="18" customHeight="1" x14ac:dyDescent="0.25">
      <c r="A67" s="1"/>
      <c r="B67" s="42"/>
      <c r="C67" s="42"/>
      <c r="D67" s="42"/>
      <c r="E67" s="42"/>
      <c r="F67" s="42"/>
      <c r="G67" s="42"/>
      <c r="H67" s="42"/>
    </row>
    <row r="68" spans="1:9" x14ac:dyDescent="0.25">
      <c r="A68" s="1"/>
      <c r="B68" s="42"/>
      <c r="C68" s="42"/>
      <c r="D68" s="42"/>
      <c r="E68" s="42"/>
      <c r="F68" s="42"/>
      <c r="G68" s="42"/>
      <c r="H68" s="42"/>
    </row>
    <row r="69" spans="1:9" x14ac:dyDescent="0.25">
      <c r="A69" s="1"/>
      <c r="B69" s="42"/>
      <c r="C69" s="42"/>
      <c r="D69" s="42"/>
      <c r="E69" s="42"/>
      <c r="F69" s="42"/>
      <c r="G69" s="42"/>
      <c r="H69" s="42"/>
    </row>
    <row r="70" spans="1:9" ht="15" customHeight="1" x14ac:dyDescent="0.25">
      <c r="A70" s="1"/>
      <c r="B70" s="42"/>
      <c r="C70" s="42"/>
      <c r="D70" s="42"/>
      <c r="E70" s="42"/>
      <c r="F70" s="42"/>
      <c r="G70" s="42"/>
      <c r="H70" s="42"/>
    </row>
    <row r="71" spans="1:9" ht="15" customHeight="1" x14ac:dyDescent="0.25">
      <c r="A71" s="1"/>
      <c r="B71" s="42"/>
      <c r="C71" s="42"/>
      <c r="D71" s="42"/>
      <c r="E71" s="42"/>
      <c r="F71" s="42"/>
      <c r="G71" s="42"/>
      <c r="H71" s="42"/>
    </row>
    <row r="72" spans="1:9" x14ac:dyDescent="0.25">
      <c r="A72" s="1"/>
      <c r="B72" s="42"/>
      <c r="C72" s="42"/>
      <c r="D72" s="42"/>
      <c r="E72" s="42"/>
      <c r="F72" s="42"/>
      <c r="G72" s="42"/>
      <c r="H72" s="42"/>
    </row>
    <row r="73" spans="1:9" x14ac:dyDescent="0.25">
      <c r="A73" s="1"/>
      <c r="B73" s="42"/>
      <c r="C73" s="42"/>
      <c r="D73" s="42"/>
      <c r="E73" s="42"/>
      <c r="F73" s="42"/>
      <c r="G73" s="42"/>
      <c r="H73" s="42"/>
    </row>
    <row r="74" spans="1:9" x14ac:dyDescent="0.25">
      <c r="A74" s="1"/>
      <c r="B74" s="42"/>
      <c r="C74" s="42"/>
      <c r="D74" s="42"/>
      <c r="E74" s="42"/>
      <c r="F74" s="42"/>
      <c r="G74" s="42"/>
      <c r="H74" s="42"/>
    </row>
    <row r="75" spans="1:9" ht="18" customHeight="1" x14ac:dyDescent="0.25">
      <c r="A75" s="1"/>
      <c r="B75" s="42"/>
      <c r="C75" s="42"/>
      <c r="D75" s="42"/>
      <c r="E75" s="42"/>
      <c r="F75" s="42"/>
      <c r="G75" s="42"/>
      <c r="H75" s="42"/>
    </row>
    <row r="76" spans="1:9" ht="24" customHeight="1" x14ac:dyDescent="0.25">
      <c r="A76" s="1"/>
      <c r="B76" s="45" t="s">
        <v>18</v>
      </c>
      <c r="C76" s="42"/>
      <c r="D76" s="42"/>
      <c r="E76" s="42"/>
      <c r="F76" s="42"/>
      <c r="G76" s="42"/>
      <c r="H76" s="42"/>
    </row>
    <row r="77" spans="1:9" x14ac:dyDescent="0.25">
      <c r="A77" s="1"/>
      <c r="B77" s="42"/>
      <c r="C77" s="42"/>
      <c r="D77" s="42"/>
      <c r="E77" s="42"/>
      <c r="F77" s="42"/>
      <c r="G77" s="42"/>
      <c r="H77" s="42"/>
    </row>
  </sheetData>
  <mergeCells count="41">
    <mergeCell ref="C14:C15"/>
    <mergeCell ref="B61:D61"/>
    <mergeCell ref="B45:B47"/>
    <mergeCell ref="B59:D59"/>
    <mergeCell ref="B20:B26"/>
    <mergeCell ref="C25:C26"/>
    <mergeCell ref="C28:C29"/>
    <mergeCell ref="C30:C31"/>
    <mergeCell ref="B27:B37"/>
    <mergeCell ref="C23:C24"/>
    <mergeCell ref="B58:D58"/>
    <mergeCell ref="B60:D60"/>
    <mergeCell ref="B52:D52"/>
    <mergeCell ref="B53:D53"/>
    <mergeCell ref="C45:C46"/>
    <mergeCell ref="C32:C33"/>
    <mergeCell ref="B38:B44"/>
    <mergeCell ref="C39:C40"/>
    <mergeCell ref="B57:D57"/>
    <mergeCell ref="C21:C22"/>
    <mergeCell ref="C34:C35"/>
    <mergeCell ref="C47:D47"/>
    <mergeCell ref="C41:C42"/>
    <mergeCell ref="C43:C44"/>
    <mergeCell ref="B50:G50"/>
    <mergeCell ref="H2:H5"/>
    <mergeCell ref="E3:G3"/>
    <mergeCell ref="B54:D54"/>
    <mergeCell ref="B55:D55"/>
    <mergeCell ref="B56:D56"/>
    <mergeCell ref="B51:D51"/>
    <mergeCell ref="B2:G2"/>
    <mergeCell ref="B13:B19"/>
    <mergeCell ref="C9:C10"/>
    <mergeCell ref="C11:C12"/>
    <mergeCell ref="C16:C17"/>
    <mergeCell ref="B6:B12"/>
    <mergeCell ref="C18:C19"/>
    <mergeCell ref="C7:C8"/>
    <mergeCell ref="B3:D4"/>
    <mergeCell ref="C36:C37"/>
  </mergeCells>
  <hyperlinks>
    <hyperlink ref="B1" location="'1 Identificação e Parâmetros'!A21" display="RETORNAR AO INDICE GERAL" xr:uid="{00000000-0004-0000-0300-000000000000}"/>
    <hyperlink ref="B5" location="'7 Glossário'!B11" display="Centros de Custos" xr:uid="{00000000-0004-0000-0300-000001000000}"/>
    <hyperlink ref="B2:G2" location="'7 Glossário'!B9" display="Tabela 1  - Estrutura sintética de dados financeiro-contábeis dos ativos imobilizados " xr:uid="{00000000-0004-0000-0300-000002000000}"/>
    <hyperlink ref="C47:D47" location="'7 Glossário'!B8" display="Ativos imobilizados - Saldo Líquido" xr:uid="{00000000-0004-0000-0300-000003000000}"/>
  </hyperlinks>
  <pageMargins left="0.51181102362204722" right="0.51181102362204722" top="0.78740157480314965" bottom="0.78740157480314965" header="0.31496062992125984" footer="0.31496062992125984"/>
  <pageSetup paperSize="9" scale="61" fitToHeight="4" orientation="landscape" horizontalDpi="300" verticalDpi="300" r:id="rId1"/>
  <headerFooter>
    <oddHeader>Página &amp;P de &amp;N</oddHeader>
    <oddFooter>&amp;A</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H57"/>
  <sheetViews>
    <sheetView showGridLines="0" defaultGridColor="0" topLeftCell="A57" colorId="23" zoomScale="109" zoomScaleNormal="109" workbookViewId="0">
      <selection activeCell="J20" sqref="J20"/>
    </sheetView>
  </sheetViews>
  <sheetFormatPr defaultColWidth="8.85546875" defaultRowHeight="14.25" x14ac:dyDescent="0.25"/>
  <cols>
    <col min="1" max="1" width="4.85546875" customWidth="1"/>
    <col min="2" max="2" width="18.42578125" style="54" customWidth="1"/>
    <col min="3" max="3" width="34.85546875" style="54" customWidth="1"/>
    <col min="4" max="4" width="18" style="54" customWidth="1"/>
    <col min="5" max="5" width="15.85546875" style="54" customWidth="1"/>
    <col min="6" max="6" width="16" style="54" customWidth="1"/>
    <col min="7" max="7" width="15.85546875" style="54" customWidth="1"/>
    <col min="8" max="8" width="14.140625" customWidth="1"/>
  </cols>
  <sheetData>
    <row r="1" spans="1:8" s="14" customFormat="1" ht="35.1" customHeight="1" x14ac:dyDescent="0.25">
      <c r="A1" s="13"/>
      <c r="B1" s="57" t="s">
        <v>467</v>
      </c>
      <c r="C1" s="138"/>
      <c r="D1" s="138"/>
      <c r="E1" s="138"/>
      <c r="F1" s="138"/>
      <c r="G1" s="247"/>
      <c r="H1" s="248"/>
    </row>
    <row r="2" spans="1:8" ht="39.950000000000003" customHeight="1" x14ac:dyDescent="0.25">
      <c r="A2" s="1"/>
      <c r="B2" s="553" t="s">
        <v>431</v>
      </c>
      <c r="C2" s="554"/>
      <c r="D2" s="554"/>
      <c r="E2" s="554"/>
      <c r="F2" s="555"/>
      <c r="G2" s="60"/>
      <c r="H2" s="6"/>
    </row>
    <row r="3" spans="1:8" ht="35.1" customHeight="1" x14ac:dyDescent="0.25">
      <c r="A3" s="1"/>
      <c r="B3" s="561" t="s">
        <v>20</v>
      </c>
      <c r="C3" s="559" t="s">
        <v>23</v>
      </c>
      <c r="D3" s="559" t="s">
        <v>19</v>
      </c>
      <c r="E3" s="559" t="s">
        <v>470</v>
      </c>
      <c r="F3" s="560"/>
      <c r="G3" s="60"/>
      <c r="H3" s="6"/>
    </row>
    <row r="4" spans="1:8" ht="18.95" customHeight="1" x14ac:dyDescent="0.25">
      <c r="A4" s="1"/>
      <c r="B4" s="561"/>
      <c r="C4" s="559"/>
      <c r="D4" s="559"/>
      <c r="E4" s="176" t="s">
        <v>451</v>
      </c>
      <c r="F4" s="227" t="s">
        <v>156</v>
      </c>
      <c r="G4" s="60"/>
      <c r="H4" s="6"/>
    </row>
    <row r="5" spans="1:8" ht="18.95" customHeight="1" x14ac:dyDescent="0.25">
      <c r="A5" s="1"/>
      <c r="B5" s="561"/>
      <c r="C5" s="559"/>
      <c r="D5" s="559"/>
      <c r="E5" s="176">
        <f>'1 Identificação e Parâmetros'!K9</f>
        <v>2019</v>
      </c>
      <c r="F5" s="227">
        <f>E5+1</f>
        <v>2020</v>
      </c>
      <c r="G5" s="60"/>
      <c r="H5" s="6"/>
    </row>
    <row r="6" spans="1:8" ht="18" customHeight="1" x14ac:dyDescent="0.25">
      <c r="A6" s="1"/>
      <c r="B6" s="556" t="s">
        <v>21</v>
      </c>
      <c r="C6" s="175" t="s">
        <v>472</v>
      </c>
      <c r="D6" s="557" t="s">
        <v>471</v>
      </c>
      <c r="E6" s="251">
        <v>11807</v>
      </c>
      <c r="F6" s="252">
        <v>12161.210000000001</v>
      </c>
      <c r="G6" s="60"/>
      <c r="H6" s="249"/>
    </row>
    <row r="7" spans="1:8" ht="35.1" customHeight="1" x14ac:dyDescent="0.25">
      <c r="A7" s="1"/>
      <c r="B7" s="556"/>
      <c r="C7" s="175" t="s">
        <v>473</v>
      </c>
      <c r="D7" s="557"/>
      <c r="E7" s="251">
        <v>822</v>
      </c>
      <c r="F7" s="252">
        <v>830.22</v>
      </c>
      <c r="G7" s="60"/>
      <c r="H7" s="6"/>
    </row>
    <row r="8" spans="1:8" ht="35.1" customHeight="1" x14ac:dyDescent="0.25">
      <c r="A8" s="1"/>
      <c r="B8" s="556"/>
      <c r="C8" s="175" t="s">
        <v>474</v>
      </c>
      <c r="D8" s="557"/>
      <c r="E8" s="251">
        <v>12</v>
      </c>
      <c r="F8" s="252">
        <v>12</v>
      </c>
      <c r="G8" s="60"/>
      <c r="H8" s="250"/>
    </row>
    <row r="9" spans="1:8" ht="35.1" customHeight="1" x14ac:dyDescent="0.25">
      <c r="A9" s="1"/>
      <c r="B9" s="556"/>
      <c r="C9" s="175" t="s">
        <v>475</v>
      </c>
      <c r="D9" s="557"/>
      <c r="E9" s="251">
        <v>124</v>
      </c>
      <c r="F9" s="252">
        <v>124</v>
      </c>
      <c r="G9" s="60"/>
      <c r="H9" s="6"/>
    </row>
    <row r="10" spans="1:8" ht="18" customHeight="1" x14ac:dyDescent="0.25">
      <c r="A10" s="1"/>
      <c r="B10" s="556"/>
      <c r="C10" s="58" t="s">
        <v>117</v>
      </c>
      <c r="D10" s="557"/>
      <c r="E10" s="401">
        <f>SUM(E6:E9)</f>
        <v>12765</v>
      </c>
      <c r="F10" s="402">
        <f>SUM(F6:F9)</f>
        <v>13127.43</v>
      </c>
      <c r="G10" s="60"/>
      <c r="H10" s="6"/>
    </row>
    <row r="11" spans="1:8" ht="28.5" x14ac:dyDescent="0.25">
      <c r="A11" s="1"/>
      <c r="B11" s="558" t="s">
        <v>24</v>
      </c>
      <c r="C11" s="175" t="s">
        <v>476</v>
      </c>
      <c r="D11" s="175" t="s">
        <v>22</v>
      </c>
      <c r="E11" s="396"/>
      <c r="F11" s="397"/>
      <c r="G11" s="60"/>
      <c r="H11" s="6"/>
    </row>
    <row r="12" spans="1:8" ht="18" customHeight="1" x14ac:dyDescent="0.25">
      <c r="A12" s="1"/>
      <c r="B12" s="558"/>
      <c r="C12" s="175" t="s">
        <v>477</v>
      </c>
      <c r="D12" s="175" t="s">
        <v>22</v>
      </c>
      <c r="E12" s="396"/>
      <c r="F12" s="397"/>
      <c r="G12" s="60"/>
      <c r="H12" s="6"/>
    </row>
    <row r="13" spans="1:8" ht="18" customHeight="1" x14ac:dyDescent="0.25">
      <c r="A13" s="1"/>
      <c r="B13" s="558"/>
      <c r="C13" s="175" t="s">
        <v>478</v>
      </c>
      <c r="D13" s="175" t="s">
        <v>22</v>
      </c>
      <c r="E13" s="396"/>
      <c r="F13" s="397"/>
      <c r="G13" s="60"/>
      <c r="H13" s="6"/>
    </row>
    <row r="14" spans="1:8" ht="35.1" customHeight="1" x14ac:dyDescent="0.25">
      <c r="A14" s="1"/>
      <c r="B14" s="562" t="s">
        <v>158</v>
      </c>
      <c r="C14" s="562"/>
      <c r="D14" s="562"/>
      <c r="E14" s="562"/>
      <c r="F14" s="562"/>
      <c r="G14" s="60"/>
      <c r="H14" s="6"/>
    </row>
    <row r="15" spans="1:8" ht="18.95" customHeight="1" x14ac:dyDescent="0.25">
      <c r="A15" s="1"/>
      <c r="B15" s="563" t="s">
        <v>479</v>
      </c>
      <c r="C15" s="564"/>
      <c r="D15" s="564"/>
      <c r="E15" s="564"/>
      <c r="F15" s="564"/>
      <c r="G15" s="60"/>
      <c r="H15" s="6"/>
    </row>
    <row r="16" spans="1:8" ht="18.95" customHeight="1" x14ac:dyDescent="0.25">
      <c r="A16" s="1"/>
      <c r="B16" s="564"/>
      <c r="C16" s="564"/>
      <c r="D16" s="564"/>
      <c r="E16" s="564"/>
      <c r="F16" s="564"/>
      <c r="G16" s="60"/>
      <c r="H16" s="6"/>
    </row>
    <row r="17" spans="1:8" ht="18.95" customHeight="1" x14ac:dyDescent="0.25">
      <c r="A17" s="1"/>
      <c r="B17" s="564"/>
      <c r="C17" s="564"/>
      <c r="D17" s="564"/>
      <c r="E17" s="564"/>
      <c r="F17" s="564"/>
      <c r="G17" s="60"/>
      <c r="H17" s="6"/>
    </row>
    <row r="18" spans="1:8" ht="18.95" customHeight="1" x14ac:dyDescent="0.25">
      <c r="A18" s="1"/>
      <c r="B18" s="56"/>
      <c r="C18" s="56"/>
      <c r="D18" s="56"/>
      <c r="E18" s="56"/>
      <c r="F18" s="56"/>
      <c r="G18" s="55"/>
      <c r="H18" s="1"/>
    </row>
    <row r="19" spans="1:8" ht="39.950000000000003" customHeight="1" x14ac:dyDescent="0.2">
      <c r="A19" s="1"/>
      <c r="B19" s="576" t="s">
        <v>468</v>
      </c>
      <c r="C19" s="577"/>
      <c r="D19" s="577"/>
      <c r="E19" s="577"/>
      <c r="F19" s="578"/>
      <c r="G19" s="569" t="s">
        <v>361</v>
      </c>
      <c r="H19" s="6"/>
    </row>
    <row r="20" spans="1:8" ht="39.950000000000003" customHeight="1" x14ac:dyDescent="0.2">
      <c r="A20" s="1"/>
      <c r="B20" s="566" t="s">
        <v>480</v>
      </c>
      <c r="C20" s="567"/>
      <c r="D20" s="567"/>
      <c r="E20" s="174" t="s">
        <v>360</v>
      </c>
      <c r="F20" s="253">
        <v>43800</v>
      </c>
      <c r="G20" s="570"/>
      <c r="H20" s="6"/>
    </row>
    <row r="21" spans="1:8" ht="44.1" customHeight="1" x14ac:dyDescent="0.2">
      <c r="A21" s="1"/>
      <c r="B21" s="231" t="s">
        <v>279</v>
      </c>
      <c r="C21" s="174" t="s">
        <v>469</v>
      </c>
      <c r="D21" s="92" t="s">
        <v>281</v>
      </c>
      <c r="E21" s="92" t="s">
        <v>280</v>
      </c>
      <c r="F21" s="228" t="s">
        <v>316</v>
      </c>
      <c r="G21" s="254">
        <v>0.02</v>
      </c>
      <c r="H21" s="6"/>
    </row>
    <row r="22" spans="1:8" ht="18" customHeight="1" x14ac:dyDescent="0.25">
      <c r="A22" s="1"/>
      <c r="B22" s="565" t="s">
        <v>146</v>
      </c>
      <c r="C22" s="61" t="s">
        <v>147</v>
      </c>
      <c r="D22" s="255"/>
      <c r="E22" s="255">
        <v>12482</v>
      </c>
      <c r="F22" s="256">
        <v>187895</v>
      </c>
      <c r="G22" s="60"/>
      <c r="H22" s="6"/>
    </row>
    <row r="23" spans="1:8" ht="18" customHeight="1" x14ac:dyDescent="0.25">
      <c r="A23" s="1"/>
      <c r="B23" s="565"/>
      <c r="C23" s="61" t="s">
        <v>148</v>
      </c>
      <c r="D23" s="255"/>
      <c r="E23" s="255"/>
      <c r="F23" s="256"/>
      <c r="G23" s="60"/>
      <c r="H23" s="6"/>
    </row>
    <row r="24" spans="1:8" ht="18" customHeight="1" x14ac:dyDescent="0.25">
      <c r="A24" s="1"/>
      <c r="B24" s="565"/>
      <c r="C24" s="61" t="s">
        <v>149</v>
      </c>
      <c r="D24" s="255"/>
      <c r="E24" s="255"/>
      <c r="F24" s="256"/>
      <c r="G24" s="60"/>
      <c r="H24" s="6"/>
    </row>
    <row r="25" spans="1:8" ht="18" customHeight="1" x14ac:dyDescent="0.25">
      <c r="A25" s="1"/>
      <c r="B25" s="565"/>
      <c r="C25" s="61" t="s">
        <v>150</v>
      </c>
      <c r="D25" s="255"/>
      <c r="E25" s="255"/>
      <c r="F25" s="256"/>
      <c r="G25" s="60"/>
      <c r="H25" s="6"/>
    </row>
    <row r="26" spans="1:8" ht="18" customHeight="1" x14ac:dyDescent="0.25">
      <c r="A26" s="1"/>
      <c r="B26" s="565"/>
      <c r="C26" s="61" t="s">
        <v>304</v>
      </c>
      <c r="D26" s="255"/>
      <c r="E26" s="255"/>
      <c r="F26" s="256"/>
      <c r="G26" s="60"/>
      <c r="H26" s="6"/>
    </row>
    <row r="27" spans="1:8" ht="18" customHeight="1" x14ac:dyDescent="0.25">
      <c r="A27" s="1"/>
      <c r="B27" s="565"/>
      <c r="C27" s="61" t="s">
        <v>177</v>
      </c>
      <c r="D27" s="255"/>
      <c r="E27" s="255"/>
      <c r="F27" s="256"/>
      <c r="G27" s="60"/>
      <c r="H27" s="6"/>
    </row>
    <row r="28" spans="1:8" ht="18" customHeight="1" x14ac:dyDescent="0.25">
      <c r="A28" s="1"/>
      <c r="B28" s="565"/>
      <c r="C28" s="58" t="s">
        <v>240</v>
      </c>
      <c r="D28" s="62">
        <f>SUM(D22:D27)</f>
        <v>0</v>
      </c>
      <c r="E28" s="62">
        <f>SUM(E22:E27)</f>
        <v>12482</v>
      </c>
      <c r="F28" s="229">
        <f>SUM(F22:F27)</f>
        <v>187895</v>
      </c>
      <c r="G28" s="60"/>
      <c r="H28" s="6"/>
    </row>
    <row r="29" spans="1:8" ht="18" customHeight="1" x14ac:dyDescent="0.25">
      <c r="A29" s="1"/>
      <c r="B29" s="568" t="s">
        <v>305</v>
      </c>
      <c r="C29" s="61" t="s">
        <v>147</v>
      </c>
      <c r="D29" s="257"/>
      <c r="E29" s="257">
        <v>98</v>
      </c>
      <c r="F29" s="258">
        <v>1427</v>
      </c>
      <c r="G29" s="60"/>
      <c r="H29" s="6"/>
    </row>
    <row r="30" spans="1:8" ht="18" customHeight="1" x14ac:dyDescent="0.25">
      <c r="A30" s="1"/>
      <c r="B30" s="568"/>
      <c r="C30" s="61" t="s">
        <v>306</v>
      </c>
      <c r="D30" s="257"/>
      <c r="E30" s="257"/>
      <c r="F30" s="258"/>
      <c r="G30" s="60"/>
      <c r="H30" s="6"/>
    </row>
    <row r="31" spans="1:8" ht="18" customHeight="1" x14ac:dyDescent="0.25">
      <c r="A31" s="1"/>
      <c r="B31" s="568"/>
      <c r="C31" s="61" t="s">
        <v>307</v>
      </c>
      <c r="D31" s="257"/>
      <c r="E31" s="257"/>
      <c r="F31" s="258"/>
      <c r="G31" s="60"/>
      <c r="H31" s="6"/>
    </row>
    <row r="32" spans="1:8" ht="18" customHeight="1" x14ac:dyDescent="0.25">
      <c r="A32" s="1"/>
      <c r="B32" s="568"/>
      <c r="C32" s="61" t="s">
        <v>149</v>
      </c>
      <c r="D32" s="257"/>
      <c r="E32" s="257"/>
      <c r="F32" s="258"/>
      <c r="G32" s="60"/>
      <c r="H32" s="6"/>
    </row>
    <row r="33" spans="1:8" ht="18" customHeight="1" x14ac:dyDescent="0.25">
      <c r="A33" s="1"/>
      <c r="B33" s="568"/>
      <c r="C33" s="58" t="s">
        <v>240</v>
      </c>
      <c r="D33" s="63">
        <f>SUM(D29:D32)</f>
        <v>0</v>
      </c>
      <c r="E33" s="63">
        <f>SUM(E29:E32)</f>
        <v>98</v>
      </c>
      <c r="F33" s="230">
        <f>SUM(F29:F32)</f>
        <v>1427</v>
      </c>
      <c r="G33" s="60"/>
      <c r="H33" s="6"/>
    </row>
    <row r="34" spans="1:8" ht="18" customHeight="1" x14ac:dyDescent="0.25">
      <c r="A34" s="1"/>
      <c r="B34" s="565" t="s">
        <v>151</v>
      </c>
      <c r="C34" s="61" t="s">
        <v>147</v>
      </c>
      <c r="D34" s="255"/>
      <c r="E34" s="255">
        <v>888</v>
      </c>
      <c r="F34" s="256">
        <v>14136</v>
      </c>
      <c r="G34" s="60"/>
      <c r="H34" s="6"/>
    </row>
    <row r="35" spans="1:8" ht="18" customHeight="1" x14ac:dyDescent="0.25">
      <c r="A35" s="1"/>
      <c r="B35" s="565"/>
      <c r="C35" s="61" t="s">
        <v>175</v>
      </c>
      <c r="D35" s="255"/>
      <c r="E35" s="255"/>
      <c r="F35" s="256"/>
      <c r="G35" s="60"/>
      <c r="H35" s="6"/>
    </row>
    <row r="36" spans="1:8" ht="18" customHeight="1" x14ac:dyDescent="0.25">
      <c r="A36" s="1"/>
      <c r="B36" s="565"/>
      <c r="C36" s="61" t="s">
        <v>176</v>
      </c>
      <c r="D36" s="255"/>
      <c r="E36" s="255"/>
      <c r="F36" s="256"/>
      <c r="G36" s="60"/>
      <c r="H36" s="6"/>
    </row>
    <row r="37" spans="1:8" ht="18" customHeight="1" x14ac:dyDescent="0.25">
      <c r="A37" s="1"/>
      <c r="B37" s="565"/>
      <c r="C37" s="61" t="s">
        <v>308</v>
      </c>
      <c r="D37" s="255"/>
      <c r="E37" s="255"/>
      <c r="F37" s="256"/>
      <c r="G37" s="60"/>
      <c r="H37" s="6"/>
    </row>
    <row r="38" spans="1:8" ht="18" customHeight="1" x14ac:dyDescent="0.25">
      <c r="A38" s="1"/>
      <c r="B38" s="565"/>
      <c r="C38" s="61" t="s">
        <v>309</v>
      </c>
      <c r="D38" s="255"/>
      <c r="E38" s="255"/>
      <c r="F38" s="256"/>
      <c r="G38" s="60"/>
      <c r="H38" s="6"/>
    </row>
    <row r="39" spans="1:8" ht="18" customHeight="1" x14ac:dyDescent="0.25">
      <c r="A39" s="1"/>
      <c r="B39" s="565"/>
      <c r="C39" s="58" t="s">
        <v>240</v>
      </c>
      <c r="D39" s="63">
        <f>SUM(D34:D38)</f>
        <v>0</v>
      </c>
      <c r="E39" s="63">
        <f>SUM(E34:E38)</f>
        <v>888</v>
      </c>
      <c r="F39" s="230">
        <f>SUM(F34:F38)</f>
        <v>14136</v>
      </c>
      <c r="G39" s="60"/>
      <c r="H39" s="6"/>
    </row>
    <row r="40" spans="1:8" ht="18" customHeight="1" x14ac:dyDescent="0.25">
      <c r="A40" s="1"/>
      <c r="B40" s="565" t="s">
        <v>174</v>
      </c>
      <c r="C40" s="61" t="s">
        <v>147</v>
      </c>
      <c r="D40" s="255"/>
      <c r="E40" s="255">
        <v>12</v>
      </c>
      <c r="F40" s="256">
        <v>299</v>
      </c>
      <c r="G40" s="60"/>
      <c r="H40" s="6"/>
    </row>
    <row r="41" spans="1:8" ht="18" customHeight="1" x14ac:dyDescent="0.25">
      <c r="A41" s="1"/>
      <c r="B41" s="565"/>
      <c r="C41" s="61" t="s">
        <v>175</v>
      </c>
      <c r="D41" s="255"/>
      <c r="E41" s="255"/>
      <c r="F41" s="256"/>
      <c r="G41" s="60"/>
      <c r="H41" s="6"/>
    </row>
    <row r="42" spans="1:8" ht="18" customHeight="1" x14ac:dyDescent="0.25">
      <c r="A42" s="1"/>
      <c r="B42" s="565"/>
      <c r="C42" s="61" t="s">
        <v>310</v>
      </c>
      <c r="D42" s="255"/>
      <c r="E42" s="255"/>
      <c r="F42" s="256"/>
      <c r="G42" s="60"/>
      <c r="H42" s="6"/>
    </row>
    <row r="43" spans="1:8" ht="18" customHeight="1" x14ac:dyDescent="0.25">
      <c r="A43" s="1"/>
      <c r="B43" s="565"/>
      <c r="C43" s="61" t="s">
        <v>311</v>
      </c>
      <c r="D43" s="255"/>
      <c r="E43" s="255"/>
      <c r="F43" s="256"/>
      <c r="G43" s="60"/>
      <c r="H43" s="6"/>
    </row>
    <row r="44" spans="1:8" ht="18" customHeight="1" x14ac:dyDescent="0.25">
      <c r="A44" s="1"/>
      <c r="B44" s="565"/>
      <c r="C44" s="61" t="s">
        <v>312</v>
      </c>
      <c r="D44" s="255"/>
      <c r="E44" s="255"/>
      <c r="F44" s="256"/>
      <c r="G44" s="60"/>
      <c r="H44" s="6"/>
    </row>
    <row r="45" spans="1:8" ht="18" customHeight="1" x14ac:dyDescent="0.25">
      <c r="A45" s="1"/>
      <c r="B45" s="565"/>
      <c r="C45" s="61" t="s">
        <v>313</v>
      </c>
      <c r="D45" s="255"/>
      <c r="E45" s="255"/>
      <c r="F45" s="256"/>
      <c r="G45" s="60"/>
      <c r="H45" s="6"/>
    </row>
    <row r="46" spans="1:8" ht="18" customHeight="1" x14ac:dyDescent="0.25">
      <c r="A46" s="1"/>
      <c r="B46" s="565"/>
      <c r="C46" s="58" t="s">
        <v>240</v>
      </c>
      <c r="D46" s="63">
        <f>SUM(D40:D45)</f>
        <v>0</v>
      </c>
      <c r="E46" s="63">
        <f>SUM(E40:E45)</f>
        <v>12</v>
      </c>
      <c r="F46" s="230">
        <f>SUM(F40:F45)</f>
        <v>299</v>
      </c>
      <c r="G46" s="60"/>
      <c r="H46" s="6"/>
    </row>
    <row r="47" spans="1:8" ht="18" customHeight="1" x14ac:dyDescent="0.25">
      <c r="A47" s="1"/>
      <c r="B47" s="568" t="s">
        <v>178</v>
      </c>
      <c r="C47" s="61" t="s">
        <v>147</v>
      </c>
      <c r="D47" s="255"/>
      <c r="E47" s="255">
        <v>124</v>
      </c>
      <c r="F47" s="256">
        <v>6479</v>
      </c>
      <c r="G47" s="60"/>
      <c r="H47" s="6"/>
    </row>
    <row r="48" spans="1:8" ht="18" customHeight="1" x14ac:dyDescent="0.25">
      <c r="A48" s="1"/>
      <c r="B48" s="568"/>
      <c r="C48" s="61" t="s">
        <v>148</v>
      </c>
      <c r="D48" s="255"/>
      <c r="E48" s="255"/>
      <c r="F48" s="256"/>
      <c r="G48" s="60"/>
      <c r="H48" s="6"/>
    </row>
    <row r="49" spans="1:8" ht="18" customHeight="1" x14ac:dyDescent="0.25">
      <c r="A49" s="1"/>
      <c r="B49" s="568"/>
      <c r="C49" s="61" t="s">
        <v>149</v>
      </c>
      <c r="D49" s="255"/>
      <c r="E49" s="255"/>
      <c r="F49" s="256"/>
      <c r="G49" s="60"/>
      <c r="H49" s="6"/>
    </row>
    <row r="50" spans="1:8" ht="18" customHeight="1" x14ac:dyDescent="0.25">
      <c r="A50" s="1"/>
      <c r="B50" s="568"/>
      <c r="C50" s="61" t="s">
        <v>150</v>
      </c>
      <c r="D50" s="255"/>
      <c r="E50" s="255"/>
      <c r="F50" s="256"/>
      <c r="G50" s="60"/>
      <c r="H50" s="6"/>
    </row>
    <row r="51" spans="1:8" ht="18" customHeight="1" x14ac:dyDescent="0.25">
      <c r="A51" s="1"/>
      <c r="B51" s="568"/>
      <c r="C51" s="61" t="s">
        <v>304</v>
      </c>
      <c r="D51" s="255"/>
      <c r="E51" s="255"/>
      <c r="F51" s="256"/>
      <c r="G51" s="571" t="s">
        <v>481</v>
      </c>
      <c r="H51" s="572"/>
    </row>
    <row r="52" spans="1:8" ht="18" customHeight="1" x14ac:dyDescent="0.25">
      <c r="A52" s="1"/>
      <c r="B52" s="568"/>
      <c r="C52" s="61" t="s">
        <v>177</v>
      </c>
      <c r="D52" s="255"/>
      <c r="E52" s="255"/>
      <c r="F52" s="256"/>
      <c r="G52" s="573"/>
      <c r="H52" s="519"/>
    </row>
    <row r="53" spans="1:8" ht="18" customHeight="1" x14ac:dyDescent="0.2">
      <c r="A53" s="1"/>
      <c r="B53" s="568"/>
      <c r="C53" s="58" t="s">
        <v>240</v>
      </c>
      <c r="D53" s="63">
        <f>SUM(D47:D52)</f>
        <v>0</v>
      </c>
      <c r="E53" s="63">
        <f>SUM(E47:E52)</f>
        <v>124</v>
      </c>
      <c r="F53" s="230">
        <f>SUM(F47:F52)</f>
        <v>6479</v>
      </c>
      <c r="G53" s="232" t="s">
        <v>317</v>
      </c>
      <c r="H53" s="233" t="s">
        <v>318</v>
      </c>
    </row>
    <row r="54" spans="1:8" ht="18" customHeight="1" x14ac:dyDescent="0.2">
      <c r="A54" s="1"/>
      <c r="B54" s="574" t="s">
        <v>44</v>
      </c>
      <c r="C54" s="575"/>
      <c r="D54" s="398">
        <f>D28+D33+D39+D46+D53</f>
        <v>0</v>
      </c>
      <c r="E54" s="398">
        <f>E28+E33+E39+E46+E53</f>
        <v>13604</v>
      </c>
      <c r="F54" s="399">
        <f>F28+F33+F39+F46+F53</f>
        <v>210236</v>
      </c>
      <c r="G54" s="400">
        <f>E54*(1+G21)</f>
        <v>13876.08</v>
      </c>
      <c r="H54" s="399">
        <f>F54/E54*G54</f>
        <v>214440.72</v>
      </c>
    </row>
    <row r="55" spans="1:8" ht="18.95" customHeight="1" x14ac:dyDescent="0.25">
      <c r="A55" s="1"/>
      <c r="B55" s="59" t="s">
        <v>262</v>
      </c>
      <c r="C55" s="55"/>
      <c r="D55" s="55"/>
      <c r="E55" s="55"/>
      <c r="F55" s="55"/>
      <c r="G55" s="55"/>
      <c r="H55" s="1"/>
    </row>
    <row r="56" spans="1:8" ht="18.95" customHeight="1" x14ac:dyDescent="0.25">
      <c r="A56" s="1"/>
      <c r="B56" s="52" t="s">
        <v>482</v>
      </c>
      <c r="C56" s="55"/>
      <c r="D56" s="55"/>
      <c r="E56" s="55"/>
      <c r="F56" s="55"/>
      <c r="G56" s="55"/>
      <c r="H56" s="1"/>
    </row>
    <row r="57" spans="1:8" x14ac:dyDescent="0.25">
      <c r="A57" s="1"/>
    </row>
  </sheetData>
  <mergeCells count="20">
    <mergeCell ref="G19:G20"/>
    <mergeCell ref="G51:H52"/>
    <mergeCell ref="B40:B46"/>
    <mergeCell ref="B47:B53"/>
    <mergeCell ref="B54:C54"/>
    <mergeCell ref="B19:F19"/>
    <mergeCell ref="B14:F14"/>
    <mergeCell ref="B15:F17"/>
    <mergeCell ref="B22:B28"/>
    <mergeCell ref="B34:B39"/>
    <mergeCell ref="B20:D20"/>
    <mergeCell ref="B29:B33"/>
    <mergeCell ref="B2:F2"/>
    <mergeCell ref="B6:B10"/>
    <mergeCell ref="D6:D10"/>
    <mergeCell ref="B11:B13"/>
    <mergeCell ref="C3:C5"/>
    <mergeCell ref="E3:F3"/>
    <mergeCell ref="D3:D5"/>
    <mergeCell ref="B3:B5"/>
  </mergeCells>
  <hyperlinks>
    <hyperlink ref="B1" location="'1 Identificação e Parâmetros'!A22" display="RETORNAR AO INDICE GERAL" xr:uid="{00000000-0004-0000-0400-000000000000}"/>
  </hyperlinks>
  <pageMargins left="0.51181102362204722" right="0.51181102362204722" top="0.78740157480314965" bottom="0.78740157480314965" header="0.31496062992125984" footer="0.31496062992125984"/>
  <pageSetup paperSize="9" orientation="landscape" r:id="rId1"/>
  <headerFooter>
    <oddFooter>&amp;A</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I39"/>
  <sheetViews>
    <sheetView showGridLines="0" defaultGridColor="0" topLeftCell="A29" colorId="23" zoomScaleNormal="100" workbookViewId="0">
      <selection activeCell="G38" sqref="G38"/>
    </sheetView>
  </sheetViews>
  <sheetFormatPr defaultColWidth="8.85546875" defaultRowHeight="12.75" x14ac:dyDescent="0.2"/>
  <cols>
    <col min="1" max="1" width="3.42578125" customWidth="1"/>
    <col min="2" max="2" width="29.85546875" customWidth="1"/>
    <col min="3" max="3" width="74" customWidth="1"/>
    <col min="4" max="4" width="14.140625" customWidth="1"/>
    <col min="5" max="5" width="14.85546875" customWidth="1"/>
    <col min="6" max="6" width="8" customWidth="1"/>
    <col min="7" max="7" width="10.85546875" bestFit="1" customWidth="1"/>
    <col min="9" max="9" width="14.85546875" customWidth="1"/>
  </cols>
  <sheetData>
    <row r="1" spans="1:7" s="14" customFormat="1" ht="30" customHeight="1" x14ac:dyDescent="0.2">
      <c r="A1" s="13"/>
      <c r="B1" s="139" t="s">
        <v>396</v>
      </c>
      <c r="C1" s="13"/>
      <c r="D1" s="13"/>
      <c r="E1" s="13"/>
      <c r="F1" s="13"/>
      <c r="G1" s="13"/>
    </row>
    <row r="2" spans="1:7" ht="39.950000000000003" customHeight="1" x14ac:dyDescent="0.25">
      <c r="A2" s="1"/>
      <c r="B2" s="581" t="s">
        <v>362</v>
      </c>
      <c r="C2" s="582"/>
      <c r="D2" s="582"/>
      <c r="E2" s="583"/>
      <c r="F2" s="42"/>
      <c r="G2" s="42"/>
    </row>
    <row r="3" spans="1:7" ht="42.95" customHeight="1" x14ac:dyDescent="0.25">
      <c r="A3" s="1"/>
      <c r="B3" s="591" t="s">
        <v>484</v>
      </c>
      <c r="C3" s="592"/>
      <c r="D3" s="592"/>
      <c r="E3" s="593"/>
      <c r="F3" s="42"/>
      <c r="G3" s="42"/>
    </row>
    <row r="4" spans="1:7" ht="18" customHeight="1" x14ac:dyDescent="0.25">
      <c r="A4" s="1"/>
      <c r="B4" s="596" t="s">
        <v>26</v>
      </c>
      <c r="C4" s="597"/>
      <c r="D4" s="91" t="s">
        <v>513</v>
      </c>
      <c r="E4" s="266" t="s">
        <v>156</v>
      </c>
      <c r="F4" s="42"/>
      <c r="G4" s="42"/>
    </row>
    <row r="5" spans="1:7" ht="18" customHeight="1" x14ac:dyDescent="0.25">
      <c r="A5" s="1"/>
      <c r="B5" s="596"/>
      <c r="C5" s="597"/>
      <c r="D5" s="178">
        <f>'1 Identificação e Parâmetros'!K9</f>
        <v>2019</v>
      </c>
      <c r="E5" s="266">
        <f>D5+1</f>
        <v>2020</v>
      </c>
      <c r="F5" s="42"/>
      <c r="G5" s="42"/>
    </row>
    <row r="6" spans="1:7" ht="18" customHeight="1" x14ac:dyDescent="0.25">
      <c r="A6" s="1"/>
      <c r="B6" s="584" t="s">
        <v>485</v>
      </c>
      <c r="C6" s="67" t="s">
        <v>61</v>
      </c>
      <c r="D6" s="259">
        <f>'2 DadosFinanServRSU'!C8</f>
        <v>419417.12</v>
      </c>
      <c r="E6" s="267">
        <f>IF('1 Identificação e Parâmetros'!$I$14=2,0,'2 DadosFinanServRSU'!D8)</f>
        <v>434516.13632000005</v>
      </c>
      <c r="F6" s="42"/>
      <c r="G6" s="42"/>
    </row>
    <row r="7" spans="1:7" ht="18" customHeight="1" x14ac:dyDescent="0.25">
      <c r="A7" s="1"/>
      <c r="B7" s="584"/>
      <c r="C7" s="67" t="s">
        <v>62</v>
      </c>
      <c r="D7" s="259">
        <f>'2 DadosFinanServRSU'!C14</f>
        <v>1071081.3900000001</v>
      </c>
      <c r="E7" s="267">
        <f>IF('1 Identificação e Parâmetros'!$I$14=2,0,'2 DadosFinanServRSU'!D14)</f>
        <v>1109640.3200400001</v>
      </c>
      <c r="F7" s="42"/>
      <c r="G7" s="42"/>
    </row>
    <row r="8" spans="1:7" ht="18" customHeight="1" x14ac:dyDescent="0.25">
      <c r="A8" s="1"/>
      <c r="B8" s="584"/>
      <c r="C8" s="169" t="s">
        <v>483</v>
      </c>
      <c r="D8" s="259">
        <f>'2 DadosFinanServRSU'!C20</f>
        <v>0</v>
      </c>
      <c r="E8" s="267">
        <f>IF('1 Identificação e Parâmetros'!$I$14=2,0,'2 DadosFinanServRSU'!D20)</f>
        <v>0</v>
      </c>
      <c r="F8" s="42"/>
      <c r="G8" s="42"/>
    </row>
    <row r="9" spans="1:7" ht="18" customHeight="1" x14ac:dyDescent="0.25">
      <c r="A9" s="1"/>
      <c r="B9" s="584"/>
      <c r="C9" s="169" t="s">
        <v>66</v>
      </c>
      <c r="D9" s="259">
        <f>'2 DadosFinanServRSU'!C28</f>
        <v>42000</v>
      </c>
      <c r="E9" s="267">
        <f>IF('1 Identificação e Parâmetros'!$I$14=2,0,'2 DadosFinanServRSU'!D28)</f>
        <v>43512</v>
      </c>
      <c r="F9" s="42"/>
      <c r="G9" s="42"/>
    </row>
    <row r="10" spans="1:7" ht="18" customHeight="1" x14ac:dyDescent="0.25">
      <c r="A10" s="1"/>
      <c r="B10" s="584"/>
      <c r="C10" s="169" t="s">
        <v>72</v>
      </c>
      <c r="D10" s="259">
        <f>'2 DadosFinanServRSU'!C33</f>
        <v>288390.7</v>
      </c>
      <c r="E10" s="267">
        <f>IF('1 Identificação e Parâmetros'!$I$14=2,0,'2 DadosFinanServRSU'!D33)</f>
        <v>298772.76520000002</v>
      </c>
      <c r="F10" s="42"/>
      <c r="G10" s="42"/>
    </row>
    <row r="11" spans="1:7" ht="18" customHeight="1" x14ac:dyDescent="0.25">
      <c r="A11" s="1"/>
      <c r="B11" s="584"/>
      <c r="C11" s="169" t="s">
        <v>77</v>
      </c>
      <c r="D11" s="259">
        <f>'2 DadosFinanServRSU'!C40</f>
        <v>414567.92000000004</v>
      </c>
      <c r="E11" s="267">
        <f>IF('1 Identificação e Parâmetros'!$I$14=2,0,'2 DadosFinanServRSU'!D40)</f>
        <v>429492.36512000003</v>
      </c>
      <c r="F11" s="42"/>
      <c r="G11" s="42"/>
    </row>
    <row r="12" spans="1:7" ht="18" customHeight="1" x14ac:dyDescent="0.25">
      <c r="A12" s="1"/>
      <c r="B12" s="584"/>
      <c r="C12" s="169" t="s">
        <v>84</v>
      </c>
      <c r="D12" s="259">
        <f>'2 DadosFinanServRSU'!C47</f>
        <v>5760</v>
      </c>
      <c r="E12" s="267">
        <f>IF('1 Identificação e Parâmetros'!$I$14=2,0,'2 DadosFinanServRSU'!D47)</f>
        <v>5967.3600000000006</v>
      </c>
      <c r="F12" s="42"/>
      <c r="G12" s="42"/>
    </row>
    <row r="13" spans="1:7" ht="18" customHeight="1" x14ac:dyDescent="0.25">
      <c r="A13" s="1"/>
      <c r="B13" s="584"/>
      <c r="C13" s="169" t="s">
        <v>107</v>
      </c>
      <c r="D13" s="259">
        <f>'2 DadosFinanServRSU'!C53</f>
        <v>18157.419999999998</v>
      </c>
      <c r="E13" s="267">
        <f>IF('1 Identificação e Parâmetros'!$I$14=2,0,'2 DadosFinanServRSU'!D53)</f>
        <v>18811.08712</v>
      </c>
      <c r="F13" s="42"/>
      <c r="G13" s="42"/>
    </row>
    <row r="14" spans="1:7" ht="18" customHeight="1" x14ac:dyDescent="0.25">
      <c r="A14" s="1"/>
      <c r="B14" s="584"/>
      <c r="C14" s="67" t="s">
        <v>95</v>
      </c>
      <c r="D14" s="259">
        <f>'2 DadosFinanServRSU'!C59</f>
        <v>0</v>
      </c>
      <c r="E14" s="267">
        <f>IF('1 Identificação e Parâmetros'!$I$14=2,0,'2 DadosFinanServRSU'!D59)</f>
        <v>0</v>
      </c>
      <c r="F14" s="42"/>
      <c r="G14" s="42"/>
    </row>
    <row r="15" spans="1:7" ht="18" customHeight="1" x14ac:dyDescent="0.25">
      <c r="A15" s="1"/>
      <c r="B15" s="584"/>
      <c r="C15" s="169" t="s">
        <v>108</v>
      </c>
      <c r="D15" s="259">
        <f>'2 DadosFinanServRSU'!C60</f>
        <v>0</v>
      </c>
      <c r="E15" s="267">
        <f>IF('1 Identificação e Parâmetros'!$I$14=2,0,'2 DadosFinanServRSU'!D60)</f>
        <v>0</v>
      </c>
      <c r="F15" s="42"/>
      <c r="G15" s="42"/>
    </row>
    <row r="16" spans="1:7" ht="18" customHeight="1" x14ac:dyDescent="0.25">
      <c r="A16" s="1"/>
      <c r="B16" s="584"/>
      <c r="C16" s="67" t="s">
        <v>109</v>
      </c>
      <c r="D16" s="259">
        <f>'2 DadosFinanServRSU'!C61</f>
        <v>0</v>
      </c>
      <c r="E16" s="267">
        <f>IF('1 Identificação e Parâmetros'!$I$14=2,0,'2 DadosFinanServRSU'!D61)</f>
        <v>0</v>
      </c>
      <c r="F16" s="42"/>
      <c r="G16" s="42"/>
    </row>
    <row r="17" spans="1:9" ht="18" customHeight="1" x14ac:dyDescent="0.25">
      <c r="A17" s="1"/>
      <c r="B17" s="584"/>
      <c r="C17" s="67" t="s">
        <v>486</v>
      </c>
      <c r="D17" s="259">
        <f>'2 DadosFinanServRSU'!C62</f>
        <v>80000</v>
      </c>
      <c r="E17" s="267">
        <f>IF('1 Identificação e Parâmetros'!$I$14=2,0,'2 DadosFinanServRSU'!D62)</f>
        <v>82880</v>
      </c>
      <c r="F17" s="42"/>
      <c r="G17" s="42"/>
    </row>
    <row r="18" spans="1:9" s="12" customFormat="1" ht="18" customHeight="1" x14ac:dyDescent="0.25">
      <c r="A18" s="11"/>
      <c r="B18" s="584"/>
      <c r="C18" s="260" t="s">
        <v>363</v>
      </c>
      <c r="D18" s="261">
        <f>SUM(D6:D17)</f>
        <v>2339374.5500000003</v>
      </c>
      <c r="E18" s="268">
        <f>SUM(E6:E17)</f>
        <v>2423592.0337999999</v>
      </c>
      <c r="F18" s="42"/>
      <c r="G18" s="42"/>
      <c r="I18"/>
    </row>
    <row r="19" spans="1:9" s="12" customFormat="1" ht="18" customHeight="1" x14ac:dyDescent="0.25">
      <c r="A19" s="11"/>
      <c r="B19" s="594" t="s">
        <v>364</v>
      </c>
      <c r="C19" s="595"/>
      <c r="D19" s="69">
        <f>'2 DadosFinanServRSU'!C64</f>
        <v>233937.45500000005</v>
      </c>
      <c r="E19" s="269">
        <f>IF('1 Identificação e Parâmetros'!$I$14=2,0,'2 DadosFinanServRSU'!D64)</f>
        <v>242359.20337999999</v>
      </c>
      <c r="F19" s="405">
        <f>'1 Identificação e Parâmetros'!K11</f>
        <v>0.1</v>
      </c>
      <c r="G19" s="42"/>
    </row>
    <row r="20" spans="1:9" ht="18" customHeight="1" x14ac:dyDescent="0.25">
      <c r="A20" s="1"/>
      <c r="B20" s="594" t="s">
        <v>237</v>
      </c>
      <c r="C20" s="595"/>
      <c r="D20" s="69">
        <f>'2 DadosFinanServRSU'!C65*'1 Identificação e Parâmetros'!$K$10</f>
        <v>190168.4</v>
      </c>
      <c r="E20" s="269">
        <f>IF('1 Identificação e Parâmetros'!$I$14=2,0,'2 DadosFinanServRSU'!D65*'1 Identificação e Parâmetros'!$K$10)</f>
        <v>308998.56000000006</v>
      </c>
      <c r="F20" s="42"/>
      <c r="G20" s="42"/>
    </row>
    <row r="21" spans="1:9" s="12" customFormat="1" ht="18" customHeight="1" x14ac:dyDescent="0.25">
      <c r="A21" s="11"/>
      <c r="B21" s="264" t="s">
        <v>365</v>
      </c>
      <c r="C21" s="68" t="s">
        <v>110</v>
      </c>
      <c r="D21" s="69">
        <f>'2 DadosFinanServRSU'!C72</f>
        <v>27913.943484848485</v>
      </c>
      <c r="E21" s="269">
        <f>IF('1 Identificação e Parâmetros'!$I$14=2,0,'2 DadosFinanServRSU'!D72)</f>
        <v>30049.997951313133</v>
      </c>
      <c r="F21" s="42"/>
      <c r="G21" s="42"/>
    </row>
    <row r="22" spans="1:9" s="12" customFormat="1" ht="18" customHeight="1" x14ac:dyDescent="0.25">
      <c r="A22" s="11"/>
      <c r="B22" s="265" t="s">
        <v>256</v>
      </c>
      <c r="C22" s="68" t="s">
        <v>160</v>
      </c>
      <c r="D22" s="69">
        <f>'2 DadosFinanServRSU'!C71</f>
        <v>0</v>
      </c>
      <c r="E22" s="269">
        <f>IF('1 Identificação e Parâmetros'!$I$14=2,0,'2 DadosFinanServRSU'!D71)</f>
        <v>0</v>
      </c>
      <c r="F22" s="42"/>
      <c r="G22" s="42"/>
    </row>
    <row r="23" spans="1:9" ht="26.1" customHeight="1" x14ac:dyDescent="0.25">
      <c r="A23" s="1"/>
      <c r="B23" s="585" t="s">
        <v>302</v>
      </c>
      <c r="C23" s="586"/>
      <c r="D23" s="71">
        <f>D18+D19+D20+D21+D22</f>
        <v>2791394.3484848486</v>
      </c>
      <c r="E23" s="270">
        <f>E18+E19+E20+E21+E22</f>
        <v>3004999.7951313127</v>
      </c>
      <c r="F23" s="65"/>
      <c r="G23" s="42"/>
    </row>
    <row r="24" spans="1:9" ht="18" customHeight="1" x14ac:dyDescent="0.25">
      <c r="A24" s="1"/>
      <c r="B24" s="587" t="s">
        <v>111</v>
      </c>
      <c r="C24" s="72" t="s">
        <v>487</v>
      </c>
      <c r="D24" s="406">
        <f>'3 Dados-Complementares'!F47*'1 Identificação e Parâmetros'!$K$15-D22</f>
        <v>115201.54800000001</v>
      </c>
      <c r="E24" s="267">
        <f>'3 Dados-Complementares'!G47*'1 Identificação e Parâmetros'!$K$15-E22</f>
        <v>121936.0472</v>
      </c>
      <c r="F24" s="65"/>
      <c r="G24" s="42"/>
    </row>
    <row r="25" spans="1:9" ht="18" customHeight="1" x14ac:dyDescent="0.25">
      <c r="A25" s="1"/>
      <c r="B25" s="587"/>
      <c r="C25" s="72" t="s">
        <v>112</v>
      </c>
      <c r="D25" s="407">
        <f>('2 DadosFinanServRSU'!G9-'2 DadosFinanServRSU'!G13)+'2 DadosFinanServRSU'!G12</f>
        <v>0</v>
      </c>
      <c r="E25" s="408">
        <f>IF('1 Identificação e Parâmetros'!$I$14=2,0,('2 DadosFinanServRSU'!H9-'2 DadosFinanServRSU'!H13)+'2 DadosFinanServRSU'!H12)</f>
        <v>0</v>
      </c>
      <c r="F25" s="42"/>
      <c r="G25" s="42"/>
    </row>
    <row r="26" spans="1:9" ht="18" customHeight="1" x14ac:dyDescent="0.25">
      <c r="A26" s="1"/>
      <c r="B26" s="587"/>
      <c r="C26" s="72" t="s">
        <v>113</v>
      </c>
      <c r="D26" s="407">
        <f>-'2 DadosFinanServRSU'!G20-'2 DadosFinanServRSU'!G25</f>
        <v>0</v>
      </c>
      <c r="E26" s="408">
        <f>IF('1 Identificação e Parâmetros'!$I$14=2,0,-'2 DadosFinanServRSU'!H20-'2 DadosFinanServRSU'!H25)</f>
        <v>0</v>
      </c>
      <c r="F26" s="42"/>
      <c r="G26" s="42"/>
    </row>
    <row r="27" spans="1:9" ht="18" customHeight="1" x14ac:dyDescent="0.25">
      <c r="A27" s="1"/>
      <c r="B27" s="587"/>
      <c r="C27" s="73" t="s">
        <v>114</v>
      </c>
      <c r="D27" s="409">
        <f>'2 DadosFinanServRSU'!C73</f>
        <v>0</v>
      </c>
      <c r="E27" s="410">
        <f>IF('1 Identificação e Parâmetros'!$I$14=2,0,'2 DadosFinanServRSU'!D73)</f>
        <v>0</v>
      </c>
      <c r="F27" s="42"/>
      <c r="G27" s="42"/>
    </row>
    <row r="28" spans="1:9" ht="24.95" customHeight="1" x14ac:dyDescent="0.25">
      <c r="A28" s="1"/>
      <c r="B28" s="585" t="s">
        <v>314</v>
      </c>
      <c r="C28" s="586"/>
      <c r="D28" s="71">
        <f>SUM(D23:D27)</f>
        <v>2906595.8964848486</v>
      </c>
      <c r="E28" s="270">
        <f>IF('1 Identificação e Parâmetros'!$I$14=1,SUM(E23:E27),D28*(1+'1 Identificação e Parâmetros'!K13))</f>
        <v>3126935.8423313126</v>
      </c>
      <c r="F28" s="65"/>
      <c r="G28" s="140"/>
    </row>
    <row r="29" spans="1:9" ht="2.1" customHeight="1" x14ac:dyDescent="0.25">
      <c r="A29" s="1"/>
      <c r="B29" s="262"/>
      <c r="C29" s="262"/>
      <c r="D29" s="263"/>
      <c r="E29" s="263"/>
      <c r="F29" s="42"/>
      <c r="G29" s="140"/>
    </row>
    <row r="30" spans="1:9" ht="26.1" customHeight="1" x14ac:dyDescent="0.25">
      <c r="A30" s="1"/>
      <c r="B30" s="588" t="s">
        <v>315</v>
      </c>
      <c r="C30" s="589"/>
      <c r="D30" s="589"/>
      <c r="E30" s="590"/>
      <c r="F30" s="42"/>
      <c r="G30" s="140"/>
    </row>
    <row r="31" spans="1:9" s="75" customFormat="1" ht="18" customHeight="1" x14ac:dyDescent="0.2">
      <c r="A31" s="141"/>
      <c r="B31" s="580" t="s">
        <v>115</v>
      </c>
      <c r="C31" s="77" t="s">
        <v>491</v>
      </c>
      <c r="D31" s="412">
        <f>D28/D32</f>
        <v>269.62856182605276</v>
      </c>
      <c r="E31" s="416">
        <f>E28/E32</f>
        <v>281.70593174155971</v>
      </c>
      <c r="F31" s="74"/>
      <c r="G31" s="115"/>
    </row>
    <row r="32" spans="1:9" s="75" customFormat="1" ht="18" customHeight="1" x14ac:dyDescent="0.2">
      <c r="A32" s="141"/>
      <c r="B32" s="580"/>
      <c r="C32" s="367" t="s">
        <v>488</v>
      </c>
      <c r="D32" s="411">
        <f>'3 Dados-Complementares'!F52</f>
        <v>10780</v>
      </c>
      <c r="E32" s="417">
        <f>'3 Dados-Complementares'!G52</f>
        <v>11100</v>
      </c>
      <c r="F32" s="74"/>
      <c r="G32" s="115"/>
    </row>
    <row r="33" spans="1:7" s="75" customFormat="1" ht="18" customHeight="1" x14ac:dyDescent="0.2">
      <c r="A33" s="141"/>
      <c r="B33" s="580" t="s">
        <v>116</v>
      </c>
      <c r="C33" s="77" t="s">
        <v>492</v>
      </c>
      <c r="D33" s="412">
        <f>D28/D34</f>
        <v>227.70042275635319</v>
      </c>
      <c r="E33" s="416">
        <f>E28/E34</f>
        <v>238.19863006935194</v>
      </c>
      <c r="F33" s="74"/>
      <c r="G33" s="115"/>
    </row>
    <row r="34" spans="1:7" s="76" customFormat="1" ht="18" customHeight="1" x14ac:dyDescent="0.2">
      <c r="A34" s="142"/>
      <c r="B34" s="580"/>
      <c r="C34" s="367" t="s">
        <v>489</v>
      </c>
      <c r="D34" s="413">
        <f>'4 Dados Cadastrais-USUÁRIOS'!E10</f>
        <v>12765</v>
      </c>
      <c r="E34" s="418">
        <f>'4 Dados Cadastrais-USUÁRIOS'!F10</f>
        <v>13127.43</v>
      </c>
      <c r="F34" s="74"/>
      <c r="G34" s="115"/>
    </row>
    <row r="35" spans="1:7" s="75" customFormat="1" ht="18" customHeight="1" x14ac:dyDescent="0.2">
      <c r="A35" s="141"/>
      <c r="B35" s="579" t="s">
        <v>119</v>
      </c>
      <c r="C35" s="77" t="s">
        <v>493</v>
      </c>
      <c r="D35" s="412">
        <f>D28/D36/12</f>
        <v>18.9750352296961</v>
      </c>
      <c r="E35" s="416">
        <f>E28/E36/12</f>
        <v>19.849885839112662</v>
      </c>
      <c r="F35" s="74"/>
      <c r="G35" s="115"/>
    </row>
    <row r="36" spans="1:7" s="76" customFormat="1" ht="18" customHeight="1" x14ac:dyDescent="0.2">
      <c r="A36" s="142"/>
      <c r="B36" s="579"/>
      <c r="C36" s="367" t="s">
        <v>489</v>
      </c>
      <c r="D36" s="414">
        <f>'4 Dados Cadastrais-USUÁRIOS'!E10</f>
        <v>12765</v>
      </c>
      <c r="E36" s="419">
        <f>'4 Dados Cadastrais-USUÁRIOS'!F10</f>
        <v>13127.43</v>
      </c>
      <c r="F36" s="74"/>
      <c r="G36" s="115"/>
    </row>
    <row r="37" spans="1:7" s="75" customFormat="1" ht="18" customHeight="1" x14ac:dyDescent="0.2">
      <c r="A37" s="141"/>
      <c r="B37" s="579" t="s">
        <v>144</v>
      </c>
      <c r="C37" s="77" t="s">
        <v>494</v>
      </c>
      <c r="D37" s="412">
        <f>D28/D38</f>
        <v>1.1521163107511116</v>
      </c>
      <c r="E37" s="416">
        <f>E28/E38</f>
        <v>1.2151516132800837</v>
      </c>
      <c r="F37" s="74"/>
      <c r="G37" s="115"/>
    </row>
    <row r="38" spans="1:7" s="76" customFormat="1" ht="18" customHeight="1" x14ac:dyDescent="0.2">
      <c r="A38" s="142"/>
      <c r="B38" s="579"/>
      <c r="C38" s="367" t="s">
        <v>490</v>
      </c>
      <c r="D38" s="415">
        <f>'4 Dados Cadastrais-USUÁRIOS'!F54*12</f>
        <v>2522832</v>
      </c>
      <c r="E38" s="420">
        <f>'4 Dados Cadastrais-USUÁRIOS'!H54*12</f>
        <v>2573288.64</v>
      </c>
      <c r="F38" s="74"/>
      <c r="G38" s="74"/>
    </row>
    <row r="39" spans="1:7" ht="14.25" x14ac:dyDescent="0.25">
      <c r="B39" s="41"/>
      <c r="C39" s="41"/>
      <c r="D39" s="41"/>
      <c r="E39" s="41"/>
      <c r="F39" s="41"/>
      <c r="G39" s="41"/>
    </row>
  </sheetData>
  <mergeCells count="14">
    <mergeCell ref="B37:B38"/>
    <mergeCell ref="B35:B36"/>
    <mergeCell ref="B33:B34"/>
    <mergeCell ref="B2:E2"/>
    <mergeCell ref="B6:B18"/>
    <mergeCell ref="B23:C23"/>
    <mergeCell ref="B28:C28"/>
    <mergeCell ref="B24:B27"/>
    <mergeCell ref="B30:E30"/>
    <mergeCell ref="B31:B32"/>
    <mergeCell ref="B3:E3"/>
    <mergeCell ref="B19:C19"/>
    <mergeCell ref="B4:C5"/>
    <mergeCell ref="B20:C20"/>
  </mergeCells>
  <hyperlinks>
    <hyperlink ref="B1" location="'1 Identificação e Parâmetros'!A23" display="RETORNAR AO INDICE GERAL" xr:uid="{00000000-0004-0000-0500-000000000000}"/>
    <hyperlink ref="B6:B18" location="'7 Glossário'!B20" display="Despesas Diretas - Administrativas e Operacionais " xr:uid="{00000000-0004-0000-0500-000001000000}"/>
    <hyperlink ref="C6" location="'7 Glossário'!B18" display="1.1 Pessoal próprio (inclui cedido de outros órgãos)" xr:uid="{00000000-0004-0000-0500-000002000000}"/>
    <hyperlink ref="C7" location="'7 Glossário'!B17" display="1.2 Pessoal contratado (mão de obra terceirizada)" xr:uid="{00000000-0004-0000-0500-000003000000}"/>
    <hyperlink ref="C14" location="'7 Glossário'!B16" display="8 Despesas com a cobrança e arrecadação de taxas e tarifas" xr:uid="{00000000-0004-0000-0500-000004000000}"/>
    <hyperlink ref="C16" location="'7 Glossário'!B21" display="10 Despesas extraordinárias ou eventuais" xr:uid="{00000000-0004-0000-0500-000005000000}"/>
    <hyperlink ref="C17" location="'7 Glossário'!B32" display="11 Provisões de despesas contingentes - cíveis e trabalhistas" xr:uid="{00000000-0004-0000-0500-000006000000}"/>
    <hyperlink ref="B19:C19" location="'7 Glossário'!B23" display=" Despesas indiretas (Se não tiver informações nos itens anteriores)" xr:uid="{00000000-0004-0000-0500-000007000000}"/>
    <hyperlink ref="B20:C20" location="'7 Glossário'!B15" display="Depreciação e exaustão de ativos imobilizados (B)" xr:uid="{00000000-0004-0000-0500-000008000000}"/>
    <hyperlink ref="B22" location="'7 Glossário'!B22" display="Despesas Financeiras" xr:uid="{00000000-0004-0000-0500-000009000000}"/>
    <hyperlink ref="B23:C23" location="'7 Glossário'!B12" display="Custo Contábil Total do Serviço (A+B+C+D)  (E)" xr:uid="{00000000-0004-0000-0500-00000A000000}"/>
    <hyperlink ref="C24" location="'7 Glossário'!B34" display="Remuneração dos Investimentos em Operação - Capital próprio (F)" xr:uid="{00000000-0004-0000-0500-00000B000000}"/>
    <hyperlink ref="C25" location="'7 Glossário'!B5" display="Acréscimos regulatórios (G)  " xr:uid="{00000000-0004-0000-0500-00000C000000}"/>
    <hyperlink ref="C26" location="'7 Glossário'!B14" display="Deduções regulatórias (H)" xr:uid="{00000000-0004-0000-0500-00000D000000}"/>
    <hyperlink ref="C27" location="'7 Glossário'!B19" display="Despesas com a regulação dos serviços (I)" xr:uid="{00000000-0004-0000-0500-00000E000000}"/>
    <hyperlink ref="B28:C28" location="'7 Glossário'!B13" display="Custo Reguatório Total do Serviço (E+F+G+H+I)  (J)" xr:uid="{00000000-0004-0000-0500-00000F000000}"/>
    <hyperlink ref="B30:E30" location="'7 Glossário'!B35" display="Valores Básicos de Claculo das Taxas ou Tarifas de Manejo de Resíduos (VBC)" xr:uid="{00000000-0004-0000-0500-000010000000}"/>
  </hyperlinks>
  <printOptions horizontalCentered="1"/>
  <pageMargins left="0.59055118110236227" right="0.39370078740157483" top="0.59055118110236227" bottom="0.59055118110236227" header="0.31496062992125984" footer="0.11811023622047245"/>
  <pageSetup paperSize="9" scale="79" fitToHeight="4" orientation="portrait" horizontalDpi="300" verticalDpi="300" r:id="rId1"/>
  <headerFooter alignWithMargins="0">
    <oddHeader>Página &amp;P de &amp;N</oddHeader>
    <oddFooter>&amp;A</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G39"/>
  <sheetViews>
    <sheetView showGridLines="0" defaultGridColor="0" colorId="23" zoomScaleNormal="100" workbookViewId="0">
      <selection activeCell="H35" sqref="H35"/>
    </sheetView>
  </sheetViews>
  <sheetFormatPr defaultColWidth="8.85546875" defaultRowHeight="14.25" x14ac:dyDescent="0.25"/>
  <cols>
    <col min="1" max="1" width="1.42578125" customWidth="1"/>
    <col min="2" max="2" width="29.85546875" style="41" customWidth="1"/>
    <col min="3" max="3" width="74" style="41" customWidth="1"/>
    <col min="4" max="4" width="14.140625" style="41" customWidth="1"/>
    <col min="5" max="5" width="14.85546875" style="41" customWidth="1"/>
    <col min="6" max="6" width="8" style="41" customWidth="1"/>
    <col min="7" max="7" width="10.85546875" style="41" bestFit="1" customWidth="1"/>
    <col min="9" max="9" width="14.85546875" customWidth="1"/>
  </cols>
  <sheetData>
    <row r="1" spans="1:6" ht="30.95" customHeight="1" x14ac:dyDescent="0.25">
      <c r="A1" s="1"/>
      <c r="B1" s="139" t="s">
        <v>396</v>
      </c>
      <c r="C1" s="42"/>
      <c r="D1" s="42"/>
      <c r="E1" s="42"/>
    </row>
    <row r="2" spans="1:6" ht="39.950000000000003" customHeight="1" x14ac:dyDescent="0.25">
      <c r="A2" s="1"/>
      <c r="B2" s="581" t="s">
        <v>362</v>
      </c>
      <c r="C2" s="582"/>
      <c r="D2" s="582"/>
      <c r="E2" s="583"/>
      <c r="F2" s="42"/>
    </row>
    <row r="3" spans="1:6" ht="48" customHeight="1" x14ac:dyDescent="0.25">
      <c r="A3" s="1"/>
      <c r="B3" s="591" t="s">
        <v>577</v>
      </c>
      <c r="C3" s="592"/>
      <c r="D3" s="592"/>
      <c r="E3" s="593"/>
      <c r="F3" s="42"/>
    </row>
    <row r="4" spans="1:6" ht="18" customHeight="1" x14ac:dyDescent="0.25">
      <c r="A4" s="1"/>
      <c r="B4" s="573" t="s">
        <v>26</v>
      </c>
      <c r="C4" s="518"/>
      <c r="D4" s="173" t="s">
        <v>451</v>
      </c>
      <c r="E4" s="272" t="s">
        <v>156</v>
      </c>
      <c r="F4" s="42"/>
    </row>
    <row r="5" spans="1:6" ht="18" customHeight="1" x14ac:dyDescent="0.25">
      <c r="A5" s="1"/>
      <c r="B5" s="573"/>
      <c r="C5" s="518"/>
      <c r="D5" s="173">
        <f>'1 Identificação e Parâmetros'!K9</f>
        <v>2019</v>
      </c>
      <c r="E5" s="272">
        <f>D5+1</f>
        <v>2020</v>
      </c>
      <c r="F5" s="42"/>
    </row>
    <row r="6" spans="1:6" ht="18" customHeight="1" x14ac:dyDescent="0.25">
      <c r="A6" s="276"/>
      <c r="B6" s="598" t="s">
        <v>495</v>
      </c>
      <c r="C6" s="67" t="s">
        <v>61</v>
      </c>
      <c r="D6" s="283"/>
      <c r="E6" s="282">
        <f>IF('1 Identificação e Parâmetros'!$I$14=2,0,D6*(1+'1 Identificação e Parâmetros'!$K$13))</f>
        <v>0</v>
      </c>
      <c r="F6" s="42"/>
    </row>
    <row r="7" spans="1:6" ht="18" customHeight="1" x14ac:dyDescent="0.25">
      <c r="A7" s="276"/>
      <c r="B7" s="598"/>
      <c r="C7" s="67" t="s">
        <v>62</v>
      </c>
      <c r="D7" s="283"/>
      <c r="E7" s="282">
        <f>IF('1 Identificação e Parâmetros'!$I$14=2,0,D7*(1+'1 Identificação e Parâmetros'!$K$13))</f>
        <v>0</v>
      </c>
      <c r="F7" s="42"/>
    </row>
    <row r="8" spans="1:6" ht="18" customHeight="1" x14ac:dyDescent="0.25">
      <c r="A8" s="276"/>
      <c r="B8" s="598"/>
      <c r="C8" s="169" t="s">
        <v>483</v>
      </c>
      <c r="D8" s="283"/>
      <c r="E8" s="282">
        <f>IF('1 Identificação e Parâmetros'!$I$14=2,0,D8*(1+'1 Identificação e Parâmetros'!$K$13))</f>
        <v>0</v>
      </c>
      <c r="F8" s="42"/>
    </row>
    <row r="9" spans="1:6" ht="18" customHeight="1" x14ac:dyDescent="0.25">
      <c r="A9" s="276"/>
      <c r="B9" s="598"/>
      <c r="C9" s="169" t="s">
        <v>66</v>
      </c>
      <c r="D9" s="283"/>
      <c r="E9" s="282">
        <f>IF('1 Identificação e Parâmetros'!$I$14=2,0,D9*(1+'1 Identificação e Parâmetros'!$K$13))</f>
        <v>0</v>
      </c>
      <c r="F9" s="42"/>
    </row>
    <row r="10" spans="1:6" ht="18" customHeight="1" x14ac:dyDescent="0.25">
      <c r="A10" s="276"/>
      <c r="B10" s="598"/>
      <c r="C10" s="169" t="s">
        <v>72</v>
      </c>
      <c r="D10" s="283"/>
      <c r="E10" s="282">
        <f>IF('1 Identificação e Parâmetros'!$I$14=2,0,D10*(1+'1 Identificação e Parâmetros'!$K$13))</f>
        <v>0</v>
      </c>
      <c r="F10" s="42"/>
    </row>
    <row r="11" spans="1:6" ht="18" customHeight="1" x14ac:dyDescent="0.25">
      <c r="A11" s="276"/>
      <c r="B11" s="598"/>
      <c r="C11" s="169" t="s">
        <v>77</v>
      </c>
      <c r="D11" s="283"/>
      <c r="E11" s="282">
        <f>IF('1 Identificação e Parâmetros'!$I$14=2,0,D11*(1+'1 Identificação e Parâmetros'!$K$13))</f>
        <v>0</v>
      </c>
      <c r="F11" s="42"/>
    </row>
    <row r="12" spans="1:6" ht="18" customHeight="1" x14ac:dyDescent="0.25">
      <c r="A12" s="276"/>
      <c r="B12" s="598"/>
      <c r="C12" s="169" t="s">
        <v>84</v>
      </c>
      <c r="D12" s="283"/>
      <c r="E12" s="282">
        <f>IF('1 Identificação e Parâmetros'!$I$14=2,0,D12*(1+'1 Identificação e Parâmetros'!$K$13))</f>
        <v>0</v>
      </c>
      <c r="F12" s="42"/>
    </row>
    <row r="13" spans="1:6" ht="18" customHeight="1" x14ac:dyDescent="0.25">
      <c r="A13" s="276"/>
      <c r="B13" s="598"/>
      <c r="C13" s="67" t="s">
        <v>107</v>
      </c>
      <c r="D13" s="283"/>
      <c r="E13" s="282">
        <f>IF('1 Identificação e Parâmetros'!$I$14=2,0,D13*(1+'1 Identificação e Parâmetros'!$K$13))</f>
        <v>0</v>
      </c>
      <c r="F13" s="42"/>
    </row>
    <row r="14" spans="1:6" ht="18" customHeight="1" x14ac:dyDescent="0.25">
      <c r="A14" s="276"/>
      <c r="B14" s="598"/>
      <c r="C14" s="67" t="s">
        <v>95</v>
      </c>
      <c r="D14" s="283"/>
      <c r="E14" s="282">
        <f>IF('1 Identificação e Parâmetros'!$I$14=2,0,D14*(1+'1 Identificação e Parâmetros'!$K$13))</f>
        <v>0</v>
      </c>
      <c r="F14" s="42"/>
    </row>
    <row r="15" spans="1:6" ht="18" customHeight="1" x14ac:dyDescent="0.25">
      <c r="A15" s="276"/>
      <c r="B15" s="598"/>
      <c r="C15" s="169" t="s">
        <v>108</v>
      </c>
      <c r="D15" s="283"/>
      <c r="E15" s="282">
        <f>IF('1 Identificação e Parâmetros'!$I$14=2,0,D15*(1+'1 Identificação e Parâmetros'!$K$13))</f>
        <v>0</v>
      </c>
      <c r="F15" s="42"/>
    </row>
    <row r="16" spans="1:6" ht="18" customHeight="1" x14ac:dyDescent="0.25">
      <c r="A16" s="276"/>
      <c r="B16" s="598"/>
      <c r="C16" s="67" t="s">
        <v>109</v>
      </c>
      <c r="D16" s="283"/>
      <c r="E16" s="282">
        <f>IF('1 Identificação e Parâmetros'!$I$14=2,0,D16*(1+'1 Identificação e Parâmetros'!$K$13))</f>
        <v>0</v>
      </c>
      <c r="F16" s="42"/>
    </row>
    <row r="17" spans="1:6" ht="18" customHeight="1" x14ac:dyDescent="0.25">
      <c r="A17" s="276"/>
      <c r="B17" s="598"/>
      <c r="C17" s="67" t="s">
        <v>486</v>
      </c>
      <c r="D17" s="283"/>
      <c r="E17" s="282">
        <f>IF('1 Identificação e Parâmetros'!$I$14=2,0,D17*(1+'1 Identificação e Parâmetros'!$K$13))</f>
        <v>0</v>
      </c>
      <c r="F17" s="42"/>
    </row>
    <row r="18" spans="1:6" ht="18" customHeight="1" x14ac:dyDescent="0.25">
      <c r="A18" s="276"/>
      <c r="B18" s="598"/>
      <c r="C18" s="281" t="s">
        <v>363</v>
      </c>
      <c r="D18" s="261">
        <f>SUM(D6:D17)</f>
        <v>0</v>
      </c>
      <c r="E18" s="268">
        <f>SUM(E6:E17)</f>
        <v>0</v>
      </c>
      <c r="F18" s="42"/>
    </row>
    <row r="19" spans="1:6" ht="18" customHeight="1" x14ac:dyDescent="0.25">
      <c r="A19" s="1"/>
      <c r="B19" s="594" t="s">
        <v>364</v>
      </c>
      <c r="C19" s="595"/>
      <c r="D19" s="403">
        <f>D18*F19</f>
        <v>0</v>
      </c>
      <c r="E19" s="404">
        <f>IF('1 Identificação e Parâmetros'!$I$14=2,0,E18*F19)</f>
        <v>0</v>
      </c>
      <c r="F19" s="421">
        <f>'1 Identificação e Parâmetros'!K11</f>
        <v>0.1</v>
      </c>
    </row>
    <row r="20" spans="1:6" ht="18" customHeight="1" x14ac:dyDescent="0.25">
      <c r="A20" s="1"/>
      <c r="B20" s="594" t="s">
        <v>237</v>
      </c>
      <c r="C20" s="595"/>
      <c r="D20" s="279"/>
      <c r="E20" s="280"/>
      <c r="F20" s="42"/>
    </row>
    <row r="21" spans="1:6" ht="18" customHeight="1" x14ac:dyDescent="0.25">
      <c r="A21" s="1"/>
      <c r="B21" s="264" t="s">
        <v>365</v>
      </c>
      <c r="C21" s="70" t="s">
        <v>110</v>
      </c>
      <c r="D21" s="423"/>
      <c r="E21" s="422">
        <f>SUM(E18,E19,E20)/0.99*0.01</f>
        <v>0</v>
      </c>
      <c r="F21" s="42"/>
    </row>
    <row r="22" spans="1:6" ht="18" customHeight="1" x14ac:dyDescent="0.25">
      <c r="A22" s="1"/>
      <c r="B22" s="265" t="s">
        <v>256</v>
      </c>
      <c r="C22" s="70" t="s">
        <v>160</v>
      </c>
      <c r="D22" s="279"/>
      <c r="E22" s="280"/>
      <c r="F22" s="42"/>
    </row>
    <row r="23" spans="1:6" ht="26.1" customHeight="1" x14ac:dyDescent="0.25">
      <c r="A23" s="1"/>
      <c r="B23" s="585" t="s">
        <v>302</v>
      </c>
      <c r="C23" s="586"/>
      <c r="D23" s="79">
        <f>D18+D19+D20+D21</f>
        <v>0</v>
      </c>
      <c r="E23" s="273">
        <f>E18+E19+E20+E21</f>
        <v>0</v>
      </c>
      <c r="F23" s="65"/>
    </row>
    <row r="24" spans="1:6" ht="18" customHeight="1" x14ac:dyDescent="0.25">
      <c r="A24" s="1"/>
      <c r="B24" s="587" t="s">
        <v>111</v>
      </c>
      <c r="C24" s="284" t="s">
        <v>487</v>
      </c>
      <c r="D24" s="285"/>
      <c r="E24" s="286"/>
      <c r="F24" s="65"/>
    </row>
    <row r="25" spans="1:6" ht="18" customHeight="1" x14ac:dyDescent="0.25">
      <c r="A25" s="1"/>
      <c r="B25" s="587"/>
      <c r="C25" s="284" t="s">
        <v>112</v>
      </c>
      <c r="D25" s="285"/>
      <c r="E25" s="422" t="e">
        <f>D25/D23*E23</f>
        <v>#DIV/0!</v>
      </c>
      <c r="F25" s="42"/>
    </row>
    <row r="26" spans="1:6" ht="18" customHeight="1" x14ac:dyDescent="0.25">
      <c r="A26" s="1"/>
      <c r="B26" s="587"/>
      <c r="C26" s="177" t="s">
        <v>113</v>
      </c>
      <c r="D26" s="285"/>
      <c r="E26" s="422" t="e">
        <f>D26/D23*E23</f>
        <v>#DIV/0!</v>
      </c>
      <c r="F26" s="42"/>
    </row>
    <row r="27" spans="1:6" ht="18" customHeight="1" x14ac:dyDescent="0.25">
      <c r="A27" s="1"/>
      <c r="B27" s="587"/>
      <c r="C27" s="177" t="s">
        <v>114</v>
      </c>
      <c r="D27" s="285"/>
      <c r="E27" s="422" t="e">
        <f>D27/D23*E23</f>
        <v>#DIV/0!</v>
      </c>
      <c r="F27" s="42"/>
    </row>
    <row r="28" spans="1:6" ht="26.1" customHeight="1" x14ac:dyDescent="0.25">
      <c r="A28" s="1"/>
      <c r="B28" s="599" t="s">
        <v>314</v>
      </c>
      <c r="C28" s="600"/>
      <c r="D28" s="80">
        <f>SUM(D23:D27)</f>
        <v>0</v>
      </c>
      <c r="E28" s="274" t="e">
        <f>SUM(E23:E27)</f>
        <v>#DIV/0!</v>
      </c>
      <c r="F28" s="65"/>
    </row>
    <row r="29" spans="1:6" ht="2.1" customHeight="1" x14ac:dyDescent="0.25">
      <c r="A29" s="1"/>
      <c r="B29" s="23"/>
      <c r="C29" s="23"/>
      <c r="D29" s="143"/>
      <c r="E29" s="143"/>
      <c r="F29" s="42"/>
    </row>
    <row r="30" spans="1:6" ht="26.1" customHeight="1" x14ac:dyDescent="0.25">
      <c r="A30" s="1"/>
      <c r="B30" s="601" t="s">
        <v>315</v>
      </c>
      <c r="C30" s="602"/>
      <c r="D30" s="602"/>
      <c r="E30" s="603"/>
      <c r="F30" s="42"/>
    </row>
    <row r="31" spans="1:6" ht="18" customHeight="1" x14ac:dyDescent="0.25">
      <c r="A31" s="1"/>
      <c r="B31" s="604" t="s">
        <v>115</v>
      </c>
      <c r="C31" s="271" t="s">
        <v>497</v>
      </c>
      <c r="D31" s="424">
        <f>D28/D32</f>
        <v>0</v>
      </c>
      <c r="E31" s="425" t="e">
        <f>E28/E32</f>
        <v>#DIV/0!</v>
      </c>
      <c r="F31" s="42"/>
    </row>
    <row r="32" spans="1:6" ht="18" customHeight="1" x14ac:dyDescent="0.25">
      <c r="A32" s="1"/>
      <c r="B32" s="605"/>
      <c r="C32" s="46" t="s">
        <v>488</v>
      </c>
      <c r="D32" s="278">
        <f>'3 Dados-Complementares'!F52</f>
        <v>10780</v>
      </c>
      <c r="E32" s="277">
        <f>'3 Dados-Complementares'!G52</f>
        <v>11100</v>
      </c>
      <c r="F32" s="42"/>
    </row>
    <row r="33" spans="1:6" ht="18" customHeight="1" x14ac:dyDescent="0.25">
      <c r="A33" s="1"/>
      <c r="B33" s="605" t="s">
        <v>116</v>
      </c>
      <c r="C33" s="183" t="s">
        <v>498</v>
      </c>
      <c r="D33" s="78">
        <f>D28/D34</f>
        <v>0</v>
      </c>
      <c r="E33" s="275" t="e">
        <f>E28/E34</f>
        <v>#DIV/0!</v>
      </c>
      <c r="F33" s="42"/>
    </row>
    <row r="34" spans="1:6" ht="18" customHeight="1" x14ac:dyDescent="0.25">
      <c r="A34" s="1"/>
      <c r="B34" s="605"/>
      <c r="C34" s="46" t="s">
        <v>496</v>
      </c>
      <c r="D34" s="278">
        <f>'4 Dados Cadastrais-USUÁRIOS'!E10</f>
        <v>12765</v>
      </c>
      <c r="E34" s="277">
        <f>'4 Dados Cadastrais-USUÁRIOS'!F10</f>
        <v>13127.43</v>
      </c>
      <c r="F34" s="42"/>
    </row>
    <row r="35" spans="1:6" ht="18" customHeight="1" x14ac:dyDescent="0.25">
      <c r="A35" s="1"/>
      <c r="B35" s="587" t="s">
        <v>119</v>
      </c>
      <c r="C35" s="183" t="s">
        <v>499</v>
      </c>
      <c r="D35" s="78" t="e">
        <f>D28/D36/12</f>
        <v>#DIV/0!</v>
      </c>
      <c r="E35" s="275" t="e">
        <f>E28/E36/12</f>
        <v>#DIV/0!</v>
      </c>
      <c r="F35" s="42"/>
    </row>
    <row r="36" spans="1:6" ht="18" customHeight="1" x14ac:dyDescent="0.25">
      <c r="A36" s="1"/>
      <c r="B36" s="587"/>
      <c r="C36" s="46" t="s">
        <v>489</v>
      </c>
      <c r="D36" s="278">
        <f>'4 Dados Cadastrais-USUÁRIOS'!E12</f>
        <v>0</v>
      </c>
      <c r="E36" s="277">
        <f>'4 Dados Cadastrais-USUÁRIOS'!F10</f>
        <v>13127.43</v>
      </c>
      <c r="F36" s="42"/>
    </row>
    <row r="37" spans="1:6" ht="18" customHeight="1" x14ac:dyDescent="0.25">
      <c r="A37" s="1"/>
      <c r="B37" s="587" t="s">
        <v>144</v>
      </c>
      <c r="C37" s="183" t="s">
        <v>500</v>
      </c>
      <c r="D37" s="78">
        <f>D28/D38</f>
        <v>0</v>
      </c>
      <c r="E37" s="275" t="e">
        <f>E28/E38</f>
        <v>#DIV/0!</v>
      </c>
      <c r="F37" s="42"/>
    </row>
    <row r="38" spans="1:6" ht="18" customHeight="1" x14ac:dyDescent="0.25">
      <c r="A38" s="1"/>
      <c r="B38" s="587"/>
      <c r="C38" s="46" t="s">
        <v>490</v>
      </c>
      <c r="D38" s="278">
        <f>'4 Dados Cadastrais-USUÁRIOS'!F54*12</f>
        <v>2522832</v>
      </c>
      <c r="E38" s="277">
        <f>'4 Dados Cadastrais-USUÁRIOS'!H54*12</f>
        <v>2573288.64</v>
      </c>
      <c r="F38" s="42"/>
    </row>
    <row r="39" spans="1:6" x14ac:dyDescent="0.25">
      <c r="A39" s="1"/>
      <c r="B39" s="42"/>
      <c r="C39" s="42"/>
      <c r="D39" s="42"/>
      <c r="E39" s="42"/>
      <c r="F39" s="42"/>
    </row>
  </sheetData>
  <mergeCells count="14">
    <mergeCell ref="B37:B38"/>
    <mergeCell ref="B24:B27"/>
    <mergeCell ref="B28:C28"/>
    <mergeCell ref="B30:E30"/>
    <mergeCell ref="B31:B32"/>
    <mergeCell ref="B33:B34"/>
    <mergeCell ref="B35:B36"/>
    <mergeCell ref="B23:C23"/>
    <mergeCell ref="B2:E2"/>
    <mergeCell ref="B3:E3"/>
    <mergeCell ref="B4:C5"/>
    <mergeCell ref="B6:B18"/>
    <mergeCell ref="B19:C19"/>
    <mergeCell ref="B20:C20"/>
  </mergeCells>
  <hyperlinks>
    <hyperlink ref="B1" location="'1 Identificação e Parâmetros'!A24" display="RETORNAR AO INDICE GERAL" xr:uid="{00000000-0004-0000-0600-000000000000}"/>
    <hyperlink ref="B6:B18" location="'7 Glossário'!B20" display="Despesas Diretas - Administrativas e Operacionais " xr:uid="{00000000-0004-0000-0600-000001000000}"/>
    <hyperlink ref="C6" location="'7 Glossário'!B18" display="1.1 Pessoal próprio (inclui cedido de outros órgãos)" xr:uid="{00000000-0004-0000-0600-000002000000}"/>
    <hyperlink ref="C7" location="'7 Glossário'!B17" display="1.2 Pessoal contratado (mão de obra terceirizada)" xr:uid="{00000000-0004-0000-0600-000003000000}"/>
    <hyperlink ref="C14" location="'7 Glossário'!B16" display="8 Despesas com a cobrança e arrecadação de taxas e tarifas" xr:uid="{00000000-0004-0000-0600-000004000000}"/>
    <hyperlink ref="C16" location="'7 Glossário'!B21" display="10 Despesas extraordinárias ou eventuais" xr:uid="{00000000-0004-0000-0600-000005000000}"/>
    <hyperlink ref="C17" location="'7 Glossário'!B32" display="11 Provisões de despesas contingentes - cíveis e trabalhistas" xr:uid="{00000000-0004-0000-0600-000006000000}"/>
    <hyperlink ref="C13" location="'7 Glossário'!B29" display="7 Material de consumo" xr:uid="{00000000-0004-0000-0600-000007000000}"/>
    <hyperlink ref="B19:C19" location="'7 Glossário'!B23" display=" Despesas indiretas (Se não tiver informações nos itens anteriores)" xr:uid="{00000000-0004-0000-0600-000008000000}"/>
    <hyperlink ref="B20:C20" location="'7 Glossário'!B15" display="Depreciação e exaustão de ativos imobilizados (B)" xr:uid="{00000000-0004-0000-0600-000009000000}"/>
    <hyperlink ref="B22" location="'7 Glossário'!B22" display="Despesas Financeiras" xr:uid="{00000000-0004-0000-0600-00000A000000}"/>
    <hyperlink ref="B23:C23" location="'7 Glossário'!B12" display="Custo Contábil Total do Serviço (A+B+C+D)  (E)" xr:uid="{00000000-0004-0000-0600-00000B000000}"/>
    <hyperlink ref="C24" location="'7 Glossário'!B34" display="Remuneração dos Investimentos em Operação - Capital próprio (F)" xr:uid="{00000000-0004-0000-0600-00000C000000}"/>
    <hyperlink ref="C25" location="'7 Glossário'!B5" display="Acréscimos regulatórios (G)  " xr:uid="{00000000-0004-0000-0600-00000D000000}"/>
    <hyperlink ref="C26" location="'7 Glossário'!B14" display="Deduções regulatórias (H)" xr:uid="{00000000-0004-0000-0600-00000E000000}"/>
    <hyperlink ref="B28:C28" location="'7 Glossário'!B13" display="Custo Reguatório Total do Serviço (E+F+G+H+I)  (J)" xr:uid="{00000000-0004-0000-0600-00000F000000}"/>
    <hyperlink ref="B30:E30" location="'7 Glossário'!B36" display="Valores Básicos de Claculo das Taxas ou Tarifas de Manejo de Resíduos (VBC)" xr:uid="{00000000-0004-0000-0600-000010000000}"/>
    <hyperlink ref="C27" location="'7 Glossário'!B19" display="Despesas com a regulação dos serviços (I)" xr:uid="{00000000-0004-0000-0600-000011000000}"/>
  </hyperlinks>
  <printOptions horizontalCentered="1"/>
  <pageMargins left="0.59055118110236227" right="0.39370078740157483" top="0.59055118110236227" bottom="0.59055118110236227" header="0.31496062992125984" footer="0.11811023622047245"/>
  <pageSetup paperSize="9" scale="79" fitToHeight="4" orientation="portrait" horizontalDpi="300" verticalDpi="300" r:id="rId1"/>
  <headerFooter alignWithMargins="0">
    <oddHeader>Página &amp;P de &amp;N</oddHeader>
    <oddFooter>&amp;A</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W148"/>
  <sheetViews>
    <sheetView showGridLines="0" defaultGridColor="0" topLeftCell="B78" colorId="23" zoomScaleNormal="100" workbookViewId="0">
      <selection activeCell="J88" sqref="J88"/>
    </sheetView>
  </sheetViews>
  <sheetFormatPr defaultColWidth="8.85546875" defaultRowHeight="14.25" x14ac:dyDescent="0.25"/>
  <cols>
    <col min="1" max="1" width="6" style="85" customWidth="1"/>
    <col min="2" max="2" width="20.85546875" style="85" customWidth="1"/>
    <col min="3" max="3" width="14.85546875" style="85" customWidth="1"/>
    <col min="4" max="4" width="16.140625" style="85" customWidth="1"/>
    <col min="5" max="5" width="15.140625" style="85" customWidth="1"/>
    <col min="6" max="6" width="18" style="85" customWidth="1"/>
    <col min="7" max="7" width="12.42578125" style="85" customWidth="1"/>
    <col min="8" max="8" width="12.85546875" style="85" customWidth="1"/>
    <col min="9" max="9" width="14" style="85" customWidth="1"/>
    <col min="10" max="10" width="14.140625" style="85" customWidth="1"/>
    <col min="11" max="11" width="9.42578125" customWidth="1"/>
    <col min="12" max="12" width="21.42578125" customWidth="1"/>
    <col min="13" max="13" width="10.85546875" customWidth="1"/>
    <col min="14" max="14" width="16.140625" customWidth="1"/>
    <col min="15" max="15" width="9.85546875" customWidth="1"/>
    <col min="16" max="16" width="10.42578125" customWidth="1"/>
    <col min="17" max="17" width="9.42578125" customWidth="1"/>
    <col min="18" max="18" width="12.140625" customWidth="1"/>
  </cols>
  <sheetData>
    <row r="1" spans="1:17" ht="42.95" customHeight="1" x14ac:dyDescent="0.25">
      <c r="A1" s="98"/>
      <c r="B1" s="146" t="s">
        <v>467</v>
      </c>
      <c r="C1" s="82"/>
      <c r="D1" s="83"/>
      <c r="E1" s="82"/>
      <c r="F1" s="82"/>
      <c r="G1" s="82"/>
      <c r="H1" s="82"/>
      <c r="I1" s="82"/>
      <c r="J1" s="82"/>
      <c r="K1" s="1"/>
      <c r="L1" s="110"/>
      <c r="M1" s="110"/>
      <c r="N1" s="110"/>
      <c r="O1" s="110"/>
      <c r="P1" s="110"/>
      <c r="Q1" s="110"/>
    </row>
    <row r="2" spans="1:17" ht="60" customHeight="1" x14ac:dyDescent="0.25">
      <c r="A2" s="612" t="s">
        <v>514</v>
      </c>
      <c r="B2" s="582"/>
      <c r="C2" s="582"/>
      <c r="D2" s="582"/>
      <c r="E2" s="582"/>
      <c r="F2" s="582"/>
      <c r="G2" s="582"/>
      <c r="H2" s="582"/>
      <c r="I2" s="583"/>
      <c r="J2" s="82"/>
      <c r="K2" s="1"/>
      <c r="L2" s="110"/>
      <c r="M2" s="110"/>
      <c r="N2" s="110"/>
      <c r="O2" s="110"/>
      <c r="P2" s="110"/>
      <c r="Q2" s="110"/>
    </row>
    <row r="3" spans="1:17" ht="41.1" customHeight="1" x14ac:dyDescent="0.25">
      <c r="A3" s="299" t="s">
        <v>29</v>
      </c>
      <c r="B3" s="182" t="s">
        <v>28</v>
      </c>
      <c r="C3" s="651" t="s">
        <v>31</v>
      </c>
      <c r="D3" s="651"/>
      <c r="E3" s="182" t="s">
        <v>30</v>
      </c>
      <c r="F3" s="182" t="s">
        <v>27</v>
      </c>
      <c r="G3" s="182" t="s">
        <v>118</v>
      </c>
      <c r="H3" s="182" t="s">
        <v>515</v>
      </c>
      <c r="I3" s="300" t="s">
        <v>516</v>
      </c>
      <c r="J3" s="82"/>
      <c r="K3" s="1"/>
      <c r="L3" s="110"/>
      <c r="M3" s="110"/>
      <c r="N3" s="110"/>
      <c r="O3" s="110"/>
      <c r="P3" s="110"/>
      <c r="Q3" s="110"/>
    </row>
    <row r="4" spans="1:17" ht="18" customHeight="1" x14ac:dyDescent="0.25">
      <c r="A4" s="648">
        <v>1</v>
      </c>
      <c r="B4" s="647" t="s">
        <v>32</v>
      </c>
      <c r="C4" s="631" t="s">
        <v>33</v>
      </c>
      <c r="D4" s="631"/>
      <c r="E4" s="180" t="s">
        <v>34</v>
      </c>
      <c r="F4" s="631" t="s">
        <v>42</v>
      </c>
      <c r="G4" s="301">
        <v>0.4</v>
      </c>
      <c r="H4" s="632">
        <f>IF('1 Identificação e Parâmetros'!I16="Versão Completa",'5.1 CalcCustoVBC-Completo'!$E$33*'1 Identificação e Parâmetros'!$K$12,'5.2 CalcCustoVBC-Simplificado'!$E$33*'1 Identificação e Parâmetros'!$K$12)</f>
        <v>238.19863006935194</v>
      </c>
      <c r="I4" s="369">
        <f>G4*$H$4</f>
        <v>95.279452027740774</v>
      </c>
      <c r="J4" s="82"/>
      <c r="K4" s="1"/>
      <c r="L4" s="110"/>
      <c r="M4" s="110"/>
      <c r="N4" s="110"/>
      <c r="O4" s="110"/>
      <c r="P4" s="110"/>
      <c r="Q4" s="110"/>
    </row>
    <row r="5" spans="1:17" ht="18" customHeight="1" x14ac:dyDescent="0.25">
      <c r="A5" s="648"/>
      <c r="B5" s="647"/>
      <c r="C5" s="631"/>
      <c r="D5" s="631"/>
      <c r="E5" s="180" t="s">
        <v>35</v>
      </c>
      <c r="F5" s="631"/>
      <c r="G5" s="301">
        <v>0.6</v>
      </c>
      <c r="H5" s="632"/>
      <c r="I5" s="369">
        <f t="shared" ref="I5:I18" si="0">G5*$H$4</f>
        <v>142.91917804161116</v>
      </c>
      <c r="J5" s="82"/>
      <c r="K5" s="1"/>
      <c r="L5" s="110"/>
      <c r="M5" s="110"/>
      <c r="N5" s="110"/>
      <c r="O5" s="110"/>
      <c r="P5" s="110"/>
      <c r="Q5" s="110"/>
    </row>
    <row r="6" spans="1:17" ht="18" customHeight="1" x14ac:dyDescent="0.25">
      <c r="A6" s="648"/>
      <c r="B6" s="647"/>
      <c r="C6" s="631"/>
      <c r="D6" s="631"/>
      <c r="E6" s="180" t="s">
        <v>36</v>
      </c>
      <c r="F6" s="631"/>
      <c r="G6" s="301">
        <v>0.8</v>
      </c>
      <c r="H6" s="632"/>
      <c r="I6" s="369">
        <f t="shared" si="0"/>
        <v>190.55890405548155</v>
      </c>
      <c r="J6" s="82"/>
      <c r="K6" s="1"/>
      <c r="L6" s="110"/>
      <c r="M6" s="110"/>
      <c r="N6" s="110"/>
      <c r="O6" s="110"/>
      <c r="P6" s="110"/>
      <c r="Q6" s="110"/>
    </row>
    <row r="7" spans="1:17" ht="18" customHeight="1" x14ac:dyDescent="0.25">
      <c r="A7" s="648"/>
      <c r="B7" s="647"/>
      <c r="C7" s="631" t="s">
        <v>37</v>
      </c>
      <c r="D7" s="631"/>
      <c r="E7" s="180" t="s">
        <v>34</v>
      </c>
      <c r="F7" s="631" t="s">
        <v>42</v>
      </c>
      <c r="G7" s="301">
        <v>0.8</v>
      </c>
      <c r="H7" s="632"/>
      <c r="I7" s="369">
        <f t="shared" si="0"/>
        <v>190.55890405548155</v>
      </c>
      <c r="J7" s="82"/>
      <c r="K7" s="1"/>
      <c r="L7" s="110"/>
      <c r="M7" s="110"/>
      <c r="N7" s="110"/>
      <c r="O7" s="110"/>
      <c r="P7" s="110"/>
      <c r="Q7" s="110"/>
    </row>
    <row r="8" spans="1:17" ht="18" customHeight="1" x14ac:dyDescent="0.25">
      <c r="A8" s="648"/>
      <c r="B8" s="647"/>
      <c r="C8" s="631"/>
      <c r="D8" s="631"/>
      <c r="E8" s="180" t="s">
        <v>35</v>
      </c>
      <c r="F8" s="631"/>
      <c r="G8" s="301">
        <v>1</v>
      </c>
      <c r="H8" s="632"/>
      <c r="I8" s="369">
        <f t="shared" si="0"/>
        <v>238.19863006935194</v>
      </c>
      <c r="J8" s="82"/>
      <c r="K8" s="1"/>
      <c r="L8" s="110"/>
      <c r="M8" s="110"/>
      <c r="N8" s="110"/>
      <c r="O8" s="110"/>
      <c r="P8" s="110"/>
      <c r="Q8" s="110"/>
    </row>
    <row r="9" spans="1:17" ht="18" customHeight="1" x14ac:dyDescent="0.25">
      <c r="A9" s="648"/>
      <c r="B9" s="647"/>
      <c r="C9" s="631"/>
      <c r="D9" s="631"/>
      <c r="E9" s="180" t="s">
        <v>36</v>
      </c>
      <c r="F9" s="631"/>
      <c r="G9" s="301">
        <v>1.2</v>
      </c>
      <c r="H9" s="632"/>
      <c r="I9" s="369">
        <f t="shared" si="0"/>
        <v>285.83835608322232</v>
      </c>
      <c r="J9" s="82"/>
      <c r="K9" s="1"/>
      <c r="L9" s="110"/>
      <c r="M9" s="110"/>
      <c r="N9" s="110"/>
      <c r="O9" s="110"/>
      <c r="P9" s="110"/>
      <c r="Q9" s="110"/>
    </row>
    <row r="10" spans="1:17" ht="18" customHeight="1" x14ac:dyDescent="0.25">
      <c r="A10" s="648">
        <v>2</v>
      </c>
      <c r="B10" s="649" t="s">
        <v>40</v>
      </c>
      <c r="C10" s="631" t="s">
        <v>41</v>
      </c>
      <c r="D10" s="631"/>
      <c r="E10" s="180" t="s">
        <v>34</v>
      </c>
      <c r="F10" s="631" t="s">
        <v>42</v>
      </c>
      <c r="G10" s="301">
        <v>1</v>
      </c>
      <c r="H10" s="632"/>
      <c r="I10" s="369">
        <f t="shared" si="0"/>
        <v>238.19863006935194</v>
      </c>
      <c r="J10" s="82"/>
      <c r="K10" s="1"/>
      <c r="L10" s="110"/>
      <c r="M10" s="110"/>
      <c r="N10" s="110"/>
      <c r="O10" s="110"/>
      <c r="P10" s="110"/>
      <c r="Q10" s="110"/>
    </row>
    <row r="11" spans="1:17" ht="18" customHeight="1" x14ac:dyDescent="0.25">
      <c r="A11" s="648"/>
      <c r="B11" s="649"/>
      <c r="C11" s="631"/>
      <c r="D11" s="631"/>
      <c r="E11" s="180" t="s">
        <v>35</v>
      </c>
      <c r="F11" s="631"/>
      <c r="G11" s="301">
        <v>1.2</v>
      </c>
      <c r="H11" s="632"/>
      <c r="I11" s="369">
        <f t="shared" si="0"/>
        <v>285.83835608322232</v>
      </c>
      <c r="J11" s="82"/>
      <c r="K11" s="1"/>
      <c r="L11" s="110"/>
      <c r="M11" s="110"/>
      <c r="N11" s="110"/>
      <c r="O11" s="110"/>
      <c r="P11" s="110"/>
      <c r="Q11" s="110"/>
    </row>
    <row r="12" spans="1:17" ht="18" customHeight="1" x14ac:dyDescent="0.25">
      <c r="A12" s="648"/>
      <c r="B12" s="649"/>
      <c r="C12" s="631"/>
      <c r="D12" s="631"/>
      <c r="E12" s="180" t="s">
        <v>36</v>
      </c>
      <c r="F12" s="631"/>
      <c r="G12" s="301">
        <v>1.5</v>
      </c>
      <c r="H12" s="632"/>
      <c r="I12" s="369">
        <f t="shared" si="0"/>
        <v>357.29794510402792</v>
      </c>
      <c r="J12" s="82"/>
      <c r="K12" s="1"/>
      <c r="L12" s="110"/>
      <c r="M12" s="110"/>
      <c r="N12" s="110"/>
      <c r="O12" s="110"/>
      <c r="P12" s="110"/>
      <c r="Q12" s="110"/>
    </row>
    <row r="13" spans="1:17" ht="18" customHeight="1" x14ac:dyDescent="0.25">
      <c r="A13" s="648">
        <v>3</v>
      </c>
      <c r="B13" s="649" t="s">
        <v>38</v>
      </c>
      <c r="C13" s="631" t="s">
        <v>41</v>
      </c>
      <c r="D13" s="631"/>
      <c r="E13" s="180" t="s">
        <v>34</v>
      </c>
      <c r="F13" s="631" t="s">
        <v>42</v>
      </c>
      <c r="G13" s="301">
        <v>1</v>
      </c>
      <c r="H13" s="632"/>
      <c r="I13" s="369">
        <f t="shared" si="0"/>
        <v>238.19863006935194</v>
      </c>
      <c r="J13" s="82"/>
      <c r="K13" s="1"/>
      <c r="L13" s="110"/>
      <c r="M13" s="110"/>
      <c r="N13" s="110"/>
      <c r="O13" s="110"/>
      <c r="P13" s="110"/>
      <c r="Q13" s="110"/>
    </row>
    <row r="14" spans="1:17" ht="18" customHeight="1" x14ac:dyDescent="0.25">
      <c r="A14" s="648"/>
      <c r="B14" s="649"/>
      <c r="C14" s="631"/>
      <c r="D14" s="631"/>
      <c r="E14" s="180" t="s">
        <v>35</v>
      </c>
      <c r="F14" s="631"/>
      <c r="G14" s="301">
        <v>1.2</v>
      </c>
      <c r="H14" s="632"/>
      <c r="I14" s="369">
        <f t="shared" si="0"/>
        <v>285.83835608322232</v>
      </c>
      <c r="J14" s="82"/>
      <c r="K14" s="1"/>
      <c r="L14" s="110"/>
      <c r="M14" s="110"/>
      <c r="N14" s="110"/>
      <c r="O14" s="110"/>
      <c r="P14" s="110"/>
      <c r="Q14" s="110"/>
    </row>
    <row r="15" spans="1:17" ht="18" customHeight="1" x14ac:dyDescent="0.25">
      <c r="A15" s="648"/>
      <c r="B15" s="649"/>
      <c r="C15" s="631"/>
      <c r="D15" s="631"/>
      <c r="E15" s="180" t="s">
        <v>36</v>
      </c>
      <c r="F15" s="631"/>
      <c r="G15" s="301">
        <v>1.5</v>
      </c>
      <c r="H15" s="632"/>
      <c r="I15" s="369">
        <f t="shared" si="0"/>
        <v>357.29794510402792</v>
      </c>
      <c r="J15" s="82"/>
      <c r="K15" s="1"/>
      <c r="L15" s="110"/>
      <c r="M15" s="110"/>
      <c r="N15" s="110"/>
      <c r="O15" s="110"/>
      <c r="P15" s="110"/>
      <c r="Q15" s="110"/>
    </row>
    <row r="16" spans="1:17" ht="18" customHeight="1" x14ac:dyDescent="0.25">
      <c r="A16" s="648">
        <v>4</v>
      </c>
      <c r="B16" s="649" t="s">
        <v>39</v>
      </c>
      <c r="C16" s="631" t="s">
        <v>41</v>
      </c>
      <c r="D16" s="631"/>
      <c r="E16" s="180" t="s">
        <v>34</v>
      </c>
      <c r="F16" s="631" t="s">
        <v>42</v>
      </c>
      <c r="G16" s="301">
        <v>0.8</v>
      </c>
      <c r="H16" s="632"/>
      <c r="I16" s="369">
        <f t="shared" si="0"/>
        <v>190.55890405548155</v>
      </c>
      <c r="J16" s="82"/>
      <c r="K16" s="1"/>
      <c r="L16" s="110"/>
      <c r="M16" s="110"/>
      <c r="N16" s="110"/>
      <c r="O16" s="110"/>
      <c r="P16" s="110"/>
      <c r="Q16" s="110"/>
    </row>
    <row r="17" spans="1:23" ht="18" customHeight="1" x14ac:dyDescent="0.25">
      <c r="A17" s="648"/>
      <c r="B17" s="649"/>
      <c r="C17" s="631"/>
      <c r="D17" s="631"/>
      <c r="E17" s="180" t="s">
        <v>35</v>
      </c>
      <c r="F17" s="631"/>
      <c r="G17" s="301">
        <v>1</v>
      </c>
      <c r="H17" s="632"/>
      <c r="I17" s="369">
        <f t="shared" si="0"/>
        <v>238.19863006935194</v>
      </c>
      <c r="J17" s="82"/>
      <c r="K17" s="1"/>
      <c r="L17" s="110"/>
      <c r="M17" s="110"/>
      <c r="N17" s="110"/>
      <c r="O17" s="110"/>
      <c r="P17" s="110"/>
      <c r="Q17" s="110"/>
    </row>
    <row r="18" spans="1:23" ht="18" customHeight="1" x14ac:dyDescent="0.25">
      <c r="A18" s="648"/>
      <c r="B18" s="649"/>
      <c r="C18" s="631"/>
      <c r="D18" s="631"/>
      <c r="E18" s="180" t="s">
        <v>36</v>
      </c>
      <c r="F18" s="631"/>
      <c r="G18" s="301">
        <v>1.2</v>
      </c>
      <c r="H18" s="632"/>
      <c r="I18" s="369">
        <f t="shared" si="0"/>
        <v>285.83835608322232</v>
      </c>
      <c r="J18" s="82"/>
      <c r="K18" s="1"/>
      <c r="L18" s="110"/>
      <c r="M18" s="110"/>
      <c r="N18" s="110"/>
      <c r="O18" s="110"/>
      <c r="P18" s="110"/>
      <c r="Q18" s="110"/>
    </row>
    <row r="19" spans="1:23" ht="18" customHeight="1" x14ac:dyDescent="0.25">
      <c r="A19" s="51" t="s">
        <v>501</v>
      </c>
      <c r="B19" s="84"/>
      <c r="C19" s="84"/>
      <c r="D19" s="84"/>
      <c r="E19" s="84"/>
      <c r="F19" s="84"/>
      <c r="G19" s="84"/>
      <c r="H19" s="84"/>
      <c r="I19" s="84"/>
      <c r="J19" s="82"/>
      <c r="K19" s="1"/>
      <c r="L19" s="110"/>
      <c r="M19" s="110"/>
      <c r="N19" s="110"/>
      <c r="O19" s="110"/>
      <c r="P19" s="110"/>
      <c r="Q19" s="110"/>
      <c r="R19" s="110"/>
    </row>
    <row r="20" spans="1:23" ht="13.5" customHeight="1" x14ac:dyDescent="0.25">
      <c r="A20" s="82"/>
      <c r="B20" s="84"/>
      <c r="C20" s="84"/>
      <c r="D20" s="84"/>
      <c r="E20" s="84"/>
      <c r="F20" s="84"/>
      <c r="G20" s="84"/>
      <c r="H20" s="84"/>
      <c r="I20" s="84"/>
      <c r="J20" s="82"/>
      <c r="K20" s="1"/>
      <c r="L20" s="111"/>
      <c r="M20" s="111"/>
      <c r="N20" s="111"/>
      <c r="O20" s="111"/>
      <c r="P20" s="111"/>
      <c r="Q20" s="111"/>
      <c r="R20" s="111"/>
    </row>
    <row r="21" spans="1:23" s="14" customFormat="1" ht="32.1" customHeight="1" x14ac:dyDescent="0.25">
      <c r="A21" s="97" t="s">
        <v>529</v>
      </c>
      <c r="B21" s="96"/>
      <c r="C21" s="82"/>
      <c r="D21" s="82"/>
      <c r="E21" s="82"/>
      <c r="F21" s="82"/>
      <c r="G21" s="85"/>
      <c r="H21" s="82"/>
      <c r="I21" s="82"/>
      <c r="J21" s="82"/>
      <c r="K21" s="13"/>
      <c r="L21" s="113"/>
      <c r="M21" s="113"/>
      <c r="N21" s="113"/>
      <c r="O21" s="113"/>
      <c r="P21" s="113"/>
      <c r="Q21" s="113"/>
      <c r="R21" s="113"/>
      <c r="S21" s="64"/>
      <c r="T21" s="64"/>
      <c r="U21" s="64"/>
      <c r="V21" s="64"/>
      <c r="W21" s="64"/>
    </row>
    <row r="22" spans="1:23" ht="59.1" customHeight="1" x14ac:dyDescent="0.25">
      <c r="A22" s="612" t="s">
        <v>502</v>
      </c>
      <c r="B22" s="582"/>
      <c r="C22" s="582"/>
      <c r="D22" s="582"/>
      <c r="E22" s="582"/>
      <c r="F22" s="582"/>
      <c r="G22" s="582"/>
      <c r="H22" s="583"/>
      <c r="I22" s="82"/>
      <c r="J22" s="82"/>
      <c r="K22" s="287"/>
      <c r="L22" s="111"/>
      <c r="M22" s="111"/>
      <c r="N22" s="111"/>
      <c r="O22" s="111"/>
      <c r="P22" s="111"/>
      <c r="Q22" s="111"/>
      <c r="R22" s="114"/>
      <c r="S22" s="8"/>
      <c r="T22" s="8"/>
      <c r="U22" s="8"/>
      <c r="V22" s="8"/>
      <c r="W22" s="8"/>
    </row>
    <row r="23" spans="1:23" ht="26.1" customHeight="1" x14ac:dyDescent="0.25">
      <c r="A23" s="652" t="s">
        <v>29</v>
      </c>
      <c r="B23" s="653" t="s">
        <v>28</v>
      </c>
      <c r="C23" s="651" t="s">
        <v>503</v>
      </c>
      <c r="D23" s="651"/>
      <c r="E23" s="653" t="s">
        <v>295</v>
      </c>
      <c r="F23" s="653" t="s">
        <v>27</v>
      </c>
      <c r="G23" s="653" t="s">
        <v>296</v>
      </c>
      <c r="H23" s="654" t="s">
        <v>517</v>
      </c>
      <c r="I23" s="82"/>
      <c r="J23" s="82"/>
      <c r="K23" s="287"/>
      <c r="L23" s="111"/>
      <c r="M23" s="111"/>
      <c r="N23" s="111"/>
      <c r="O23" s="111"/>
      <c r="P23" s="111"/>
      <c r="Q23" s="111"/>
      <c r="R23" s="114"/>
      <c r="S23" s="8"/>
      <c r="T23" s="8"/>
      <c r="U23" s="8"/>
      <c r="V23" s="8"/>
      <c r="W23" s="8"/>
    </row>
    <row r="24" spans="1:23" ht="26.1" customHeight="1" x14ac:dyDescent="0.25">
      <c r="A24" s="652"/>
      <c r="B24" s="653"/>
      <c r="C24" s="651"/>
      <c r="D24" s="651"/>
      <c r="E24" s="653"/>
      <c r="F24" s="653"/>
      <c r="G24" s="653"/>
      <c r="H24" s="654" t="s">
        <v>43</v>
      </c>
      <c r="I24" s="82"/>
      <c r="J24" s="82"/>
      <c r="K24" s="287"/>
      <c r="L24" s="111"/>
      <c r="M24" s="111"/>
      <c r="N24" s="111"/>
      <c r="O24" s="111"/>
      <c r="P24" s="111"/>
      <c r="Q24" s="111"/>
      <c r="R24" s="114"/>
      <c r="S24" s="8"/>
      <c r="T24" s="8"/>
      <c r="U24" s="8"/>
      <c r="V24" s="8"/>
      <c r="W24" s="8"/>
    </row>
    <row r="25" spans="1:23" ht="18" customHeight="1" x14ac:dyDescent="0.25">
      <c r="A25" s="646">
        <v>1</v>
      </c>
      <c r="B25" s="647" t="s">
        <v>32</v>
      </c>
      <c r="C25" s="630" t="s">
        <v>33</v>
      </c>
      <c r="D25" s="630"/>
      <c r="E25" s="301">
        <v>0.5</v>
      </c>
      <c r="F25" s="631" t="s">
        <v>42</v>
      </c>
      <c r="G25" s="632">
        <f>IF('1 Identificação e Parâmetros'!I16="Versão Completa",'5.1 CalcCustoVBC-Completo'!$E$33*'1 Identificação e Parâmetros'!$K$12,'5.2 CalcCustoVBC-Simplificado'!$E$33*'1 Identificação e Parâmetros'!$K$12)</f>
        <v>238.19863006935194</v>
      </c>
      <c r="H25" s="384">
        <f>$G$25*E25</f>
        <v>119.09931503467597</v>
      </c>
      <c r="I25" s="82"/>
      <c r="J25" s="82"/>
      <c r="K25" s="287"/>
      <c r="L25" s="111"/>
      <c r="M25" s="111"/>
      <c r="N25" s="111"/>
      <c r="O25" s="111"/>
      <c r="P25" s="111"/>
      <c r="Q25" s="111"/>
      <c r="R25" s="114"/>
      <c r="S25" s="8"/>
      <c r="T25" s="8"/>
      <c r="U25" s="8"/>
      <c r="V25" s="8"/>
      <c r="W25" s="8"/>
    </row>
    <row r="26" spans="1:23" ht="18" customHeight="1" x14ac:dyDescent="0.25">
      <c r="A26" s="646"/>
      <c r="B26" s="647"/>
      <c r="C26" s="630" t="s">
        <v>504</v>
      </c>
      <c r="D26" s="630"/>
      <c r="E26" s="301">
        <v>0.8</v>
      </c>
      <c r="F26" s="631"/>
      <c r="G26" s="632"/>
      <c r="H26" s="384">
        <f t="shared" ref="H26:H37" si="1">$G$25*E26</f>
        <v>190.55890405548155</v>
      </c>
      <c r="I26" s="82"/>
      <c r="J26" s="82"/>
      <c r="K26" s="287"/>
      <c r="L26" s="111"/>
      <c r="M26" s="111"/>
      <c r="N26" s="111"/>
      <c r="O26" s="111"/>
      <c r="P26" s="111"/>
      <c r="Q26" s="111"/>
      <c r="R26" s="114"/>
      <c r="S26" s="8"/>
      <c r="T26" s="8"/>
      <c r="U26" s="8"/>
      <c r="V26" s="8"/>
      <c r="W26" s="8"/>
    </row>
    <row r="27" spans="1:23" ht="18" customHeight="1" x14ac:dyDescent="0.25">
      <c r="A27" s="646"/>
      <c r="B27" s="647"/>
      <c r="C27" s="630" t="s">
        <v>505</v>
      </c>
      <c r="D27" s="630"/>
      <c r="E27" s="301">
        <v>1</v>
      </c>
      <c r="F27" s="631"/>
      <c r="G27" s="632"/>
      <c r="H27" s="384">
        <f t="shared" si="1"/>
        <v>238.19863006935194</v>
      </c>
      <c r="I27" s="82"/>
      <c r="J27" s="82"/>
      <c r="K27" s="287"/>
      <c r="L27" s="111"/>
      <c r="M27" s="111"/>
      <c r="N27" s="111"/>
      <c r="O27" s="111"/>
      <c r="P27" s="111"/>
      <c r="Q27" s="111"/>
      <c r="R27" s="114"/>
      <c r="S27" s="8"/>
      <c r="T27" s="8"/>
      <c r="U27" s="8"/>
      <c r="V27" s="8"/>
      <c r="W27" s="8"/>
    </row>
    <row r="28" spans="1:23" ht="18" customHeight="1" x14ac:dyDescent="0.25">
      <c r="A28" s="646"/>
      <c r="B28" s="647"/>
      <c r="C28" s="630" t="s">
        <v>506</v>
      </c>
      <c r="D28" s="630"/>
      <c r="E28" s="301">
        <v>1.45</v>
      </c>
      <c r="F28" s="631"/>
      <c r="G28" s="632"/>
      <c r="H28" s="384">
        <f t="shared" si="1"/>
        <v>345.38801360056027</v>
      </c>
      <c r="I28" s="82"/>
      <c r="J28" s="82"/>
      <c r="K28" s="287"/>
      <c r="L28" s="111"/>
      <c r="M28" s="111"/>
      <c r="N28" s="111"/>
      <c r="O28" s="111"/>
      <c r="P28" s="111"/>
      <c r="Q28" s="111"/>
      <c r="R28" s="114"/>
      <c r="S28" s="8"/>
      <c r="T28" s="8"/>
      <c r="U28" s="8"/>
      <c r="V28" s="8"/>
      <c r="W28" s="8"/>
    </row>
    <row r="29" spans="1:23" ht="18" customHeight="1" x14ac:dyDescent="0.25">
      <c r="A29" s="646">
        <v>2</v>
      </c>
      <c r="B29" s="647" t="s">
        <v>40</v>
      </c>
      <c r="C29" s="630" t="s">
        <v>507</v>
      </c>
      <c r="D29" s="630"/>
      <c r="E29" s="301">
        <v>1.2</v>
      </c>
      <c r="F29" s="631"/>
      <c r="G29" s="632"/>
      <c r="H29" s="384">
        <f t="shared" si="1"/>
        <v>285.83835608322232</v>
      </c>
      <c r="I29" s="82"/>
      <c r="J29" s="82"/>
      <c r="K29" s="287"/>
      <c r="L29" s="111"/>
      <c r="M29" s="111"/>
      <c r="N29" s="111"/>
      <c r="O29" s="111"/>
      <c r="P29" s="111"/>
      <c r="Q29" s="111"/>
      <c r="R29" s="114"/>
      <c r="S29" s="8"/>
      <c r="T29" s="8"/>
      <c r="U29" s="8"/>
      <c r="V29" s="8"/>
      <c r="W29" s="8"/>
    </row>
    <row r="30" spans="1:23" ht="18" customHeight="1" x14ac:dyDescent="0.25">
      <c r="A30" s="646"/>
      <c r="B30" s="647"/>
      <c r="C30" s="630" t="s">
        <v>508</v>
      </c>
      <c r="D30" s="630"/>
      <c r="E30" s="301">
        <v>1.55</v>
      </c>
      <c r="F30" s="631"/>
      <c r="G30" s="632"/>
      <c r="H30" s="384">
        <f t="shared" si="1"/>
        <v>369.20787660749551</v>
      </c>
      <c r="I30" s="82"/>
      <c r="J30" s="82"/>
      <c r="K30" s="287"/>
      <c r="L30" s="111"/>
      <c r="M30" s="111"/>
      <c r="N30" s="111"/>
      <c r="O30" s="111"/>
      <c r="P30" s="111"/>
      <c r="Q30" s="111"/>
      <c r="R30" s="114"/>
      <c r="S30" s="8"/>
      <c r="T30" s="8"/>
      <c r="U30" s="8"/>
      <c r="V30" s="8"/>
      <c r="W30" s="8"/>
    </row>
    <row r="31" spans="1:23" ht="18" customHeight="1" x14ac:dyDescent="0.25">
      <c r="A31" s="646"/>
      <c r="B31" s="647"/>
      <c r="C31" s="630" t="s">
        <v>509</v>
      </c>
      <c r="D31" s="630"/>
      <c r="E31" s="301">
        <f>1.5*1.5</f>
        <v>2.25</v>
      </c>
      <c r="F31" s="631"/>
      <c r="G31" s="632"/>
      <c r="H31" s="384">
        <f t="shared" si="1"/>
        <v>535.94691765604182</v>
      </c>
      <c r="I31" s="82"/>
      <c r="J31" s="82"/>
      <c r="K31" s="287"/>
      <c r="L31" s="111"/>
      <c r="M31" s="111"/>
      <c r="N31" s="111"/>
      <c r="O31" s="111"/>
      <c r="P31" s="111"/>
      <c r="Q31" s="111"/>
      <c r="R31" s="114"/>
      <c r="S31" s="8"/>
      <c r="T31" s="8"/>
      <c r="U31" s="8"/>
      <c r="V31" s="8"/>
      <c r="W31" s="8"/>
    </row>
    <row r="32" spans="1:23" ht="18" customHeight="1" x14ac:dyDescent="0.25">
      <c r="A32" s="646">
        <v>3</v>
      </c>
      <c r="B32" s="647" t="s">
        <v>38</v>
      </c>
      <c r="C32" s="630" t="s">
        <v>510</v>
      </c>
      <c r="D32" s="630"/>
      <c r="E32" s="301">
        <v>1.5</v>
      </c>
      <c r="F32" s="631"/>
      <c r="G32" s="632"/>
      <c r="H32" s="384">
        <f t="shared" si="1"/>
        <v>357.29794510402792</v>
      </c>
      <c r="I32" s="82"/>
      <c r="J32" s="82"/>
      <c r="K32" s="287"/>
      <c r="L32" s="111"/>
      <c r="M32" s="111"/>
      <c r="N32" s="111"/>
      <c r="O32" s="111"/>
      <c r="P32" s="111"/>
      <c r="Q32" s="111"/>
      <c r="R32" s="114"/>
      <c r="S32" s="8"/>
      <c r="T32" s="8"/>
      <c r="U32" s="8"/>
      <c r="V32" s="8"/>
      <c r="W32" s="8"/>
    </row>
    <row r="33" spans="1:23" ht="18" customHeight="1" x14ac:dyDescent="0.25">
      <c r="A33" s="646"/>
      <c r="B33" s="647"/>
      <c r="C33" s="630" t="s">
        <v>511</v>
      </c>
      <c r="D33" s="630"/>
      <c r="E33" s="301">
        <v>2.5</v>
      </c>
      <c r="F33" s="631"/>
      <c r="G33" s="632"/>
      <c r="H33" s="384">
        <f t="shared" si="1"/>
        <v>595.49657517337982</v>
      </c>
      <c r="I33" s="82"/>
      <c r="J33" s="82"/>
      <c r="K33" s="287"/>
      <c r="L33" s="111"/>
      <c r="M33" s="111"/>
      <c r="N33" s="111"/>
      <c r="O33" s="111"/>
      <c r="P33" s="111"/>
      <c r="Q33" s="111"/>
      <c r="R33" s="114"/>
      <c r="S33" s="8"/>
      <c r="T33" s="8"/>
      <c r="U33" s="8"/>
      <c r="V33" s="8"/>
      <c r="W33" s="8"/>
    </row>
    <row r="34" spans="1:23" ht="18" customHeight="1" x14ac:dyDescent="0.25">
      <c r="A34" s="646"/>
      <c r="B34" s="647"/>
      <c r="C34" s="630" t="s">
        <v>512</v>
      </c>
      <c r="D34" s="630"/>
      <c r="E34" s="302">
        <v>3</v>
      </c>
      <c r="F34" s="631"/>
      <c r="G34" s="632"/>
      <c r="H34" s="384">
        <f t="shared" si="1"/>
        <v>714.59589020805583</v>
      </c>
      <c r="I34" s="82"/>
      <c r="J34" s="82"/>
      <c r="K34" s="287"/>
      <c r="L34" s="111"/>
      <c r="M34" s="111"/>
      <c r="N34" s="111"/>
      <c r="O34" s="111"/>
      <c r="P34" s="111"/>
      <c r="Q34" s="111"/>
      <c r="R34" s="114"/>
      <c r="S34" s="8"/>
      <c r="T34" s="8"/>
      <c r="U34" s="8"/>
      <c r="V34" s="8"/>
      <c r="W34" s="8"/>
    </row>
    <row r="35" spans="1:23" ht="18" customHeight="1" x14ac:dyDescent="0.25">
      <c r="A35" s="646">
        <v>4</v>
      </c>
      <c r="B35" s="647" t="s">
        <v>39</v>
      </c>
      <c r="C35" s="630" t="s">
        <v>510</v>
      </c>
      <c r="D35" s="630"/>
      <c r="E35" s="301">
        <v>1</v>
      </c>
      <c r="F35" s="631"/>
      <c r="G35" s="632"/>
      <c r="H35" s="384">
        <f t="shared" si="1"/>
        <v>238.19863006935194</v>
      </c>
      <c r="I35" s="82"/>
      <c r="J35" s="82"/>
      <c r="K35" s="287"/>
      <c r="L35" s="111"/>
      <c r="M35" s="111"/>
      <c r="N35" s="111"/>
      <c r="O35" s="111"/>
      <c r="P35" s="111"/>
      <c r="Q35" s="111"/>
      <c r="R35" s="114"/>
      <c r="S35" s="8"/>
      <c r="T35" s="8"/>
      <c r="U35" s="8"/>
      <c r="V35" s="8"/>
      <c r="W35" s="8"/>
    </row>
    <row r="36" spans="1:23" ht="18" customHeight="1" x14ac:dyDescent="0.25">
      <c r="A36" s="650"/>
      <c r="B36" s="647"/>
      <c r="C36" s="630" t="s">
        <v>511</v>
      </c>
      <c r="D36" s="630"/>
      <c r="E36" s="301">
        <v>1.2</v>
      </c>
      <c r="F36" s="631"/>
      <c r="G36" s="632"/>
      <c r="H36" s="384">
        <f t="shared" si="1"/>
        <v>285.83835608322232</v>
      </c>
      <c r="I36" s="82"/>
      <c r="J36" s="82"/>
      <c r="K36" s="287"/>
      <c r="L36" s="111"/>
      <c r="M36" s="111"/>
      <c r="N36" s="111"/>
      <c r="O36" s="111"/>
      <c r="P36" s="111"/>
      <c r="Q36" s="111"/>
      <c r="R36" s="114"/>
      <c r="S36" s="8"/>
      <c r="T36" s="8"/>
      <c r="U36" s="8"/>
      <c r="V36" s="8"/>
      <c r="W36" s="8"/>
    </row>
    <row r="37" spans="1:23" ht="18" customHeight="1" x14ac:dyDescent="0.25">
      <c r="A37" s="650"/>
      <c r="B37" s="647"/>
      <c r="C37" s="630" t="s">
        <v>512</v>
      </c>
      <c r="D37" s="630"/>
      <c r="E37" s="301">
        <v>1.8</v>
      </c>
      <c r="F37" s="631"/>
      <c r="G37" s="632"/>
      <c r="H37" s="384">
        <f t="shared" si="1"/>
        <v>428.75753412483351</v>
      </c>
      <c r="I37" s="24"/>
      <c r="J37" s="82"/>
      <c r="K37" s="287"/>
      <c r="L37" s="111"/>
      <c r="M37" s="111"/>
      <c r="N37" s="111"/>
      <c r="O37" s="111"/>
      <c r="P37" s="111"/>
      <c r="Q37" s="111"/>
      <c r="R37" s="110"/>
    </row>
    <row r="38" spans="1:23" ht="18" customHeight="1" x14ac:dyDescent="0.25">
      <c r="A38" s="52" t="s">
        <v>501</v>
      </c>
      <c r="B38" s="86"/>
      <c r="C38" s="86"/>
      <c r="D38" s="86"/>
      <c r="E38" s="86"/>
      <c r="F38" s="86"/>
      <c r="G38" s="86"/>
      <c r="H38" s="86"/>
      <c r="I38" s="86"/>
      <c r="J38" s="82"/>
      <c r="K38" s="1"/>
      <c r="L38" s="111"/>
      <c r="M38" s="111"/>
      <c r="N38" s="111"/>
      <c r="O38" s="111"/>
      <c r="P38" s="111"/>
      <c r="Q38" s="111"/>
      <c r="R38" s="111"/>
    </row>
    <row r="39" spans="1:23" ht="13.5" customHeight="1" x14ac:dyDescent="0.25">
      <c r="A39" s="82"/>
      <c r="B39" s="84"/>
      <c r="C39" s="84"/>
      <c r="D39" s="84"/>
      <c r="E39" s="84"/>
      <c r="F39" s="84"/>
      <c r="G39" s="84"/>
      <c r="H39" s="84"/>
      <c r="I39" s="84"/>
      <c r="J39" s="82"/>
      <c r="K39" s="1"/>
      <c r="L39" s="111"/>
      <c r="M39" s="111"/>
      <c r="N39" s="111"/>
      <c r="O39" s="111"/>
      <c r="P39" s="111"/>
      <c r="Q39" s="111"/>
      <c r="R39" s="111"/>
    </row>
    <row r="40" spans="1:23" s="14" customFormat="1" ht="30.95" customHeight="1" x14ac:dyDescent="0.25">
      <c r="A40" s="100"/>
      <c r="B40" s="101" t="s">
        <v>396</v>
      </c>
      <c r="C40" s="82"/>
      <c r="D40" s="82"/>
      <c r="E40" s="82"/>
      <c r="F40" s="82"/>
      <c r="G40" s="82"/>
      <c r="H40" s="82"/>
      <c r="I40" s="82"/>
      <c r="J40" s="82"/>
      <c r="K40" s="13"/>
      <c r="L40" s="112"/>
      <c r="M40" s="112"/>
      <c r="N40" s="112"/>
      <c r="O40" s="112"/>
      <c r="P40" s="112"/>
      <c r="Q40" s="112"/>
      <c r="R40" s="112"/>
    </row>
    <row r="41" spans="1:23" ht="30" customHeight="1" x14ac:dyDescent="0.25">
      <c r="A41" s="82"/>
      <c r="B41" s="612" t="s">
        <v>518</v>
      </c>
      <c r="C41" s="582"/>
      <c r="D41" s="582"/>
      <c r="E41" s="582"/>
      <c r="F41" s="582"/>
      <c r="G41" s="582"/>
      <c r="H41" s="582"/>
      <c r="I41" s="617" t="s">
        <v>162</v>
      </c>
      <c r="J41" s="618"/>
      <c r="K41" s="1"/>
    </row>
    <row r="42" spans="1:23" ht="30" customHeight="1" x14ac:dyDescent="0.25">
      <c r="A42" s="82"/>
      <c r="B42" s="612"/>
      <c r="C42" s="582"/>
      <c r="D42" s="582"/>
      <c r="E42" s="582"/>
      <c r="F42" s="582"/>
      <c r="G42" s="582"/>
      <c r="H42" s="582"/>
      <c r="I42" s="617">
        <f>'5.1 CalcCustoVBC-Completo'!E5</f>
        <v>2020</v>
      </c>
      <c r="J42" s="618"/>
      <c r="K42" s="288"/>
      <c r="L42" s="5"/>
    </row>
    <row r="43" spans="1:23" ht="26.1" customHeight="1" x14ac:dyDescent="0.25">
      <c r="A43" s="82"/>
      <c r="B43" s="613" t="s">
        <v>141</v>
      </c>
      <c r="C43" s="614"/>
      <c r="D43" s="614"/>
      <c r="E43" s="614"/>
      <c r="F43" s="614"/>
      <c r="G43" s="614"/>
      <c r="H43" s="614"/>
      <c r="I43" s="387" t="s">
        <v>163</v>
      </c>
      <c r="J43" s="388" t="s">
        <v>164</v>
      </c>
      <c r="K43" s="288"/>
      <c r="L43" s="5"/>
    </row>
    <row r="44" spans="1:23" ht="26.1" customHeight="1" x14ac:dyDescent="0.25">
      <c r="A44" s="82"/>
      <c r="B44" s="613" t="s">
        <v>120</v>
      </c>
      <c r="C44" s="614"/>
      <c r="D44" s="614"/>
      <c r="E44" s="614"/>
      <c r="F44" s="614"/>
      <c r="G44" s="614"/>
      <c r="H44" s="614"/>
      <c r="I44" s="379">
        <f>IF('1 Identificação e Parâmetros'!I16="Versão Completa",'5.1 CalcCustoVBC-Completo'!$E$33*'1 Identificação e Parâmetros'!$K$12,'5.2 CalcCustoVBC-Simplificado'!$E$33*'1 Identificação e Parâmetros'!$K$12)</f>
        <v>238.19863006935194</v>
      </c>
      <c r="J44" s="380">
        <f>IF('1 Identificação e Parâmetros'!I16="Versão Completa",'5.1 CalcCustoVBC-Completo'!$E$35*'1 Identificação e Parâmetros'!$K$12,'5.2 CalcCustoVBC-Simplificado'!$E$35*'1 Identificação e Parâmetros'!$K$12)</f>
        <v>19.849885839112662</v>
      </c>
      <c r="K44" s="288"/>
      <c r="L44" s="5"/>
    </row>
    <row r="45" spans="1:23" ht="26.1" customHeight="1" x14ac:dyDescent="0.25">
      <c r="A45" s="82"/>
      <c r="B45" s="561" t="s">
        <v>121</v>
      </c>
      <c r="C45" s="559" t="s">
        <v>30</v>
      </c>
      <c r="D45" s="559"/>
      <c r="E45" s="559" t="s">
        <v>123</v>
      </c>
      <c r="F45" s="559"/>
      <c r="G45" s="559" t="s">
        <v>397</v>
      </c>
      <c r="H45" s="559"/>
      <c r="I45" s="560"/>
      <c r="J45" s="609"/>
      <c r="K45" s="1"/>
    </row>
    <row r="46" spans="1:23" ht="26.1" customHeight="1" x14ac:dyDescent="0.25">
      <c r="A46" s="82"/>
      <c r="B46" s="561"/>
      <c r="C46" s="176" t="s">
        <v>124</v>
      </c>
      <c r="D46" s="176" t="s">
        <v>125</v>
      </c>
      <c r="E46" s="559"/>
      <c r="F46" s="559"/>
      <c r="G46" s="615" t="s">
        <v>398</v>
      </c>
      <c r="H46" s="615"/>
      <c r="I46" s="607" t="s">
        <v>399</v>
      </c>
      <c r="J46" s="608"/>
      <c r="K46" s="1"/>
    </row>
    <row r="47" spans="1:23" ht="18" customHeight="1" x14ac:dyDescent="0.25">
      <c r="A47" s="82"/>
      <c r="B47" s="610">
        <v>1</v>
      </c>
      <c r="C47" s="623">
        <v>1</v>
      </c>
      <c r="D47" s="623">
        <v>1.3</v>
      </c>
      <c r="E47" s="624" t="s">
        <v>126</v>
      </c>
      <c r="F47" s="624"/>
      <c r="G47" s="66" t="s">
        <v>163</v>
      </c>
      <c r="H47" s="368" t="s">
        <v>164</v>
      </c>
      <c r="I47" s="377" t="s">
        <v>163</v>
      </c>
      <c r="J47" s="378" t="s">
        <v>164</v>
      </c>
      <c r="K47" s="1"/>
    </row>
    <row r="48" spans="1:23" ht="18" customHeight="1" x14ac:dyDescent="0.25">
      <c r="A48" s="82"/>
      <c r="B48" s="610"/>
      <c r="C48" s="623"/>
      <c r="D48" s="623"/>
      <c r="E48" s="183" t="s">
        <v>127</v>
      </c>
      <c r="F48" s="303">
        <v>0.35</v>
      </c>
      <c r="G48" s="370">
        <f>$I$44*F48</f>
        <v>83.36952052427317</v>
      </c>
      <c r="H48" s="370">
        <f>$J$44*F48</f>
        <v>6.9474600436894312</v>
      </c>
      <c r="I48" s="371">
        <f>G48*$D$47</f>
        <v>108.38037668155512</v>
      </c>
      <c r="J48" s="372">
        <f>H48*$D$47</f>
        <v>9.0316980567962606</v>
      </c>
      <c r="K48" s="289"/>
    </row>
    <row r="49" spans="1:11" ht="18" customHeight="1" x14ac:dyDescent="0.25">
      <c r="A49" s="82"/>
      <c r="B49" s="610"/>
      <c r="C49" s="623"/>
      <c r="D49" s="623"/>
      <c r="E49" s="606" t="s">
        <v>128</v>
      </c>
      <c r="F49" s="606"/>
      <c r="G49" s="160"/>
      <c r="H49" s="374"/>
      <c r="I49" s="375"/>
      <c r="J49" s="376"/>
      <c r="K49" s="1"/>
    </row>
    <row r="50" spans="1:11" ht="18" customHeight="1" x14ac:dyDescent="0.25">
      <c r="A50" s="82"/>
      <c r="B50" s="610"/>
      <c r="C50" s="623"/>
      <c r="D50" s="623"/>
      <c r="E50" s="183" t="s">
        <v>129</v>
      </c>
      <c r="F50" s="303">
        <v>0.06</v>
      </c>
      <c r="G50" s="370">
        <f>$I$44*(F48+10*F50)</f>
        <v>226.28869856588432</v>
      </c>
      <c r="H50" s="370">
        <f>$J$44*(F48+10*F50)</f>
        <v>18.857391547157029</v>
      </c>
      <c r="I50" s="371">
        <f t="shared" ref="I50:J54" si="2">G50*$D$47</f>
        <v>294.17530813564963</v>
      </c>
      <c r="J50" s="372">
        <f t="shared" si="2"/>
        <v>24.514609011304138</v>
      </c>
      <c r="K50" s="1"/>
    </row>
    <row r="51" spans="1:11" ht="18" customHeight="1" x14ac:dyDescent="0.25">
      <c r="A51" s="82"/>
      <c r="B51" s="610"/>
      <c r="C51" s="623"/>
      <c r="D51" s="623"/>
      <c r="E51" s="183" t="s">
        <v>130</v>
      </c>
      <c r="F51" s="303">
        <v>0.05</v>
      </c>
      <c r="G51" s="370">
        <f>$I$44*(F48+10*F50+10*F51)</f>
        <v>345.38801360056027</v>
      </c>
      <c r="H51" s="370">
        <f>$J$44*(F48+10*F50+10*F51)</f>
        <v>28.782334466713358</v>
      </c>
      <c r="I51" s="371">
        <f t="shared" si="2"/>
        <v>449.00441768072835</v>
      </c>
      <c r="J51" s="372">
        <f t="shared" si="2"/>
        <v>37.417034806727365</v>
      </c>
      <c r="K51" s="1"/>
    </row>
    <row r="52" spans="1:11" ht="18" customHeight="1" x14ac:dyDescent="0.25">
      <c r="A52" s="82"/>
      <c r="B52" s="610"/>
      <c r="C52" s="623"/>
      <c r="D52" s="623"/>
      <c r="E52" s="183" t="s">
        <v>131</v>
      </c>
      <c r="F52" s="303">
        <v>3.5000000000000003E-2</v>
      </c>
      <c r="G52" s="370">
        <f>$I$44*(F48+10*F50+10*F51+10*F52)</f>
        <v>428.75753412483351</v>
      </c>
      <c r="H52" s="370">
        <f>$J$44*(F48+10*F50+10*F51+10*F52)</f>
        <v>35.72979451040279</v>
      </c>
      <c r="I52" s="371">
        <f t="shared" si="2"/>
        <v>557.38479436228363</v>
      </c>
      <c r="J52" s="372">
        <f t="shared" si="2"/>
        <v>46.448732863523631</v>
      </c>
      <c r="K52" s="1"/>
    </row>
    <row r="53" spans="1:11" ht="18" customHeight="1" x14ac:dyDescent="0.25">
      <c r="A53" s="82"/>
      <c r="B53" s="610"/>
      <c r="C53" s="623"/>
      <c r="D53" s="623"/>
      <c r="E53" s="183" t="s">
        <v>132</v>
      </c>
      <c r="F53" s="303">
        <v>0.03</v>
      </c>
      <c r="G53" s="370">
        <f>$I$44*(F48+10*F50+10*F51+10*F52+15*F53)</f>
        <v>535.94691765604182</v>
      </c>
      <c r="H53" s="370">
        <f>$J$44*(F48+10*F50+10*F51+10*F52+15*F53)</f>
        <v>44.66224313800349</v>
      </c>
      <c r="I53" s="371">
        <f t="shared" si="2"/>
        <v>696.73099295285442</v>
      </c>
      <c r="J53" s="372">
        <f t="shared" si="2"/>
        <v>58.060916079404535</v>
      </c>
      <c r="K53" s="1"/>
    </row>
    <row r="54" spans="1:11" ht="33.950000000000003" customHeight="1" x14ac:dyDescent="0.25">
      <c r="A54" s="82"/>
      <c r="B54" s="611"/>
      <c r="C54" s="629"/>
      <c r="D54" s="629"/>
      <c r="E54" s="103" t="s">
        <v>133</v>
      </c>
      <c r="F54" s="304">
        <v>2.5000000000000001E-2</v>
      </c>
      <c r="G54" s="373">
        <f>$I$44*(F48+10*F50+10*F51+10*F52+15*F53+50*F54)</f>
        <v>833.69520524273173</v>
      </c>
      <c r="H54" s="373">
        <f>$J$44*(F48+10*F50+10*F51+10*F52+15*F53+50*F54)</f>
        <v>69.47460043689432</v>
      </c>
      <c r="I54" s="371">
        <f t="shared" si="2"/>
        <v>1083.8037668155514</v>
      </c>
      <c r="J54" s="372">
        <f t="shared" si="2"/>
        <v>90.316980567962617</v>
      </c>
      <c r="K54" s="1"/>
    </row>
    <row r="55" spans="1:11" ht="26.1" customHeight="1" x14ac:dyDescent="0.25">
      <c r="A55" s="82"/>
      <c r="B55" s="626" t="s">
        <v>142</v>
      </c>
      <c r="C55" s="627"/>
      <c r="D55" s="627"/>
      <c r="E55" s="627"/>
      <c r="F55" s="627"/>
      <c r="G55" s="104"/>
      <c r="H55" s="104"/>
      <c r="I55" s="309"/>
      <c r="J55" s="313"/>
      <c r="K55" s="1"/>
    </row>
    <row r="56" spans="1:11" ht="26.1" customHeight="1" x14ac:dyDescent="0.25">
      <c r="A56" s="82"/>
      <c r="B56" s="621" t="s">
        <v>120</v>
      </c>
      <c r="C56" s="622"/>
      <c r="D56" s="622"/>
      <c r="E56" s="622"/>
      <c r="F56" s="622"/>
      <c r="G56" s="104"/>
      <c r="H56" s="104"/>
      <c r="I56" s="309"/>
      <c r="J56" s="313"/>
      <c r="K56" s="1"/>
    </row>
    <row r="57" spans="1:11" ht="26.1" customHeight="1" x14ac:dyDescent="0.25">
      <c r="A57" s="115"/>
      <c r="B57" s="561" t="s">
        <v>121</v>
      </c>
      <c r="C57" s="559" t="s">
        <v>122</v>
      </c>
      <c r="D57" s="559"/>
      <c r="E57" s="559" t="s">
        <v>123</v>
      </c>
      <c r="F57" s="628"/>
      <c r="G57" s="105"/>
      <c r="H57" s="105"/>
      <c r="I57" s="310"/>
      <c r="J57" s="314"/>
      <c r="K57" s="1"/>
    </row>
    <row r="58" spans="1:11" ht="26.1" customHeight="1" x14ac:dyDescent="0.2">
      <c r="A58" s="115"/>
      <c r="B58" s="561"/>
      <c r="C58" s="176" t="s">
        <v>124</v>
      </c>
      <c r="D58" s="176" t="s">
        <v>125</v>
      </c>
      <c r="E58" s="559"/>
      <c r="F58" s="559"/>
      <c r="G58" s="615" t="s">
        <v>398</v>
      </c>
      <c r="H58" s="615"/>
      <c r="I58" s="607" t="s">
        <v>399</v>
      </c>
      <c r="J58" s="616"/>
      <c r="K58" s="1"/>
    </row>
    <row r="59" spans="1:11" ht="17.100000000000001" customHeight="1" x14ac:dyDescent="0.2">
      <c r="A59" s="115"/>
      <c r="B59" s="610">
        <v>1.5</v>
      </c>
      <c r="C59" s="623">
        <v>1</v>
      </c>
      <c r="D59" s="623">
        <v>1.3</v>
      </c>
      <c r="E59" s="606" t="s">
        <v>126</v>
      </c>
      <c r="F59" s="606"/>
      <c r="G59" s="368" t="s">
        <v>163</v>
      </c>
      <c r="H59" s="368" t="s">
        <v>164</v>
      </c>
      <c r="I59" s="377" t="s">
        <v>163</v>
      </c>
      <c r="J59" s="383" t="s">
        <v>164</v>
      </c>
      <c r="K59" s="1"/>
    </row>
    <row r="60" spans="1:11" ht="17.100000000000001" customHeight="1" x14ac:dyDescent="0.25">
      <c r="A60" s="82"/>
      <c r="B60" s="610"/>
      <c r="C60" s="623"/>
      <c r="D60" s="623"/>
      <c r="E60" s="183" t="s">
        <v>127</v>
      </c>
      <c r="F60" s="303">
        <v>0.35</v>
      </c>
      <c r="G60" s="370">
        <f>$I$44*F60*$B$59</f>
        <v>125.05428078640975</v>
      </c>
      <c r="H60" s="370">
        <f>$J$44*F60*$B$59</f>
        <v>10.421190065534146</v>
      </c>
      <c r="I60" s="371">
        <f>G60*$D$59</f>
        <v>162.57056502233269</v>
      </c>
      <c r="J60" s="381">
        <f>H60*$D$59</f>
        <v>13.54754708519439</v>
      </c>
      <c r="K60" s="1"/>
    </row>
    <row r="61" spans="1:11" ht="17.100000000000001" customHeight="1" x14ac:dyDescent="0.25">
      <c r="A61" s="82"/>
      <c r="B61" s="610"/>
      <c r="C61" s="623"/>
      <c r="D61" s="623"/>
      <c r="E61" s="606" t="s">
        <v>128</v>
      </c>
      <c r="F61" s="606"/>
      <c r="G61" s="374"/>
      <c r="H61" s="374"/>
      <c r="I61" s="375"/>
      <c r="J61" s="382"/>
      <c r="K61" s="1"/>
    </row>
    <row r="62" spans="1:11" ht="17.100000000000001" customHeight="1" x14ac:dyDescent="0.25">
      <c r="A62" s="82"/>
      <c r="B62" s="610"/>
      <c r="C62" s="623"/>
      <c r="D62" s="623"/>
      <c r="E62" s="183" t="s">
        <v>129</v>
      </c>
      <c r="F62" s="303">
        <v>0.06</v>
      </c>
      <c r="G62" s="370">
        <f>$I$44*(F60+10*F62)*$B$59</f>
        <v>339.4330478488265</v>
      </c>
      <c r="H62" s="370">
        <f>$J$44*(F60+10*F62)*$B$59</f>
        <v>28.286087320735543</v>
      </c>
      <c r="I62" s="371">
        <f t="shared" ref="I62:J66" si="3">G62*$D$59</f>
        <v>441.26296220347444</v>
      </c>
      <c r="J62" s="381">
        <f t="shared" si="3"/>
        <v>36.771913516956211</v>
      </c>
      <c r="K62" s="1"/>
    </row>
    <row r="63" spans="1:11" ht="17.100000000000001" customHeight="1" x14ac:dyDescent="0.25">
      <c r="A63" s="82"/>
      <c r="B63" s="610"/>
      <c r="C63" s="623"/>
      <c r="D63" s="623"/>
      <c r="E63" s="183" t="s">
        <v>130</v>
      </c>
      <c r="F63" s="303">
        <v>0.05</v>
      </c>
      <c r="G63" s="370">
        <f>$I$44*(F60+10*F62+10*F63)*$B$59</f>
        <v>518.08202040084041</v>
      </c>
      <c r="H63" s="370">
        <f>$J$44*(F60+10*F62+10*F63)*$B$59</f>
        <v>43.173501700070034</v>
      </c>
      <c r="I63" s="371">
        <f t="shared" si="3"/>
        <v>673.50662652109258</v>
      </c>
      <c r="J63" s="381">
        <f t="shared" si="3"/>
        <v>56.125552210091044</v>
      </c>
      <c r="K63" s="1"/>
    </row>
    <row r="64" spans="1:11" ht="17.100000000000001" customHeight="1" x14ac:dyDescent="0.25">
      <c r="A64" s="82"/>
      <c r="B64" s="610"/>
      <c r="C64" s="623"/>
      <c r="D64" s="623"/>
      <c r="E64" s="183" t="s">
        <v>131</v>
      </c>
      <c r="F64" s="303">
        <v>0.04</v>
      </c>
      <c r="G64" s="370">
        <f>$I$44*(F60+10*F62+10*F63+10*F64)*$B$59</f>
        <v>661.0011984424516</v>
      </c>
      <c r="H64" s="370">
        <f>$J$44*(F60+10*F62+10*F63+10*F64)*$B$59</f>
        <v>55.083433203537638</v>
      </c>
      <c r="I64" s="371">
        <f t="shared" si="3"/>
        <v>859.30155797518705</v>
      </c>
      <c r="J64" s="381">
        <f t="shared" si="3"/>
        <v>71.60846316459893</v>
      </c>
      <c r="K64" s="1"/>
    </row>
    <row r="65" spans="1:11" ht="17.100000000000001" customHeight="1" x14ac:dyDescent="0.25">
      <c r="A65" s="82"/>
      <c r="B65" s="610"/>
      <c r="C65" s="623"/>
      <c r="D65" s="623"/>
      <c r="E65" s="183" t="s">
        <v>132</v>
      </c>
      <c r="F65" s="303">
        <v>3.5000000000000003E-2</v>
      </c>
      <c r="G65" s="370">
        <f>$I$44*(F60+10*F62+10*F63+10*F64+15*F65)*$B$59</f>
        <v>848.58261962206632</v>
      </c>
      <c r="H65" s="370">
        <f>$J$44*(F60+10*F62+10*F63+10*F64+15*F65)*$B$59</f>
        <v>70.71521830183886</v>
      </c>
      <c r="I65" s="371">
        <f t="shared" si="3"/>
        <v>1103.1574055086862</v>
      </c>
      <c r="J65" s="381">
        <f t="shared" si="3"/>
        <v>91.929783792390523</v>
      </c>
      <c r="K65" s="1"/>
    </row>
    <row r="66" spans="1:11" ht="33.950000000000003" customHeight="1" x14ac:dyDescent="0.25">
      <c r="A66" s="82"/>
      <c r="B66" s="610"/>
      <c r="C66" s="623"/>
      <c r="D66" s="623"/>
      <c r="E66" s="102" t="s">
        <v>134</v>
      </c>
      <c r="F66" s="303">
        <v>0.03</v>
      </c>
      <c r="G66" s="370">
        <f>$I$44*(F60+10*F62+10*F63+10*F64+15*F65+100*F66)*$B$59</f>
        <v>1920.4764549341501</v>
      </c>
      <c r="H66" s="370">
        <f>$J$44*(F60+10*F62+10*F63+10*F64+15*F65+100*F66)*$B$59</f>
        <v>160.03970457784584</v>
      </c>
      <c r="I66" s="371">
        <f t="shared" si="3"/>
        <v>2496.6193914143951</v>
      </c>
      <c r="J66" s="381">
        <f t="shared" si="3"/>
        <v>208.05161595119961</v>
      </c>
      <c r="K66" s="1"/>
    </row>
    <row r="67" spans="1:11" ht="26.1" customHeight="1" x14ac:dyDescent="0.25">
      <c r="A67" s="82"/>
      <c r="B67" s="626" t="s">
        <v>143</v>
      </c>
      <c r="C67" s="627"/>
      <c r="D67" s="627"/>
      <c r="E67" s="625" t="s">
        <v>135</v>
      </c>
      <c r="F67" s="625"/>
      <c r="G67" s="625" t="s">
        <v>135</v>
      </c>
      <c r="H67" s="625"/>
      <c r="I67" s="309"/>
      <c r="J67" s="313"/>
      <c r="K67" s="1"/>
    </row>
    <row r="68" spans="1:11" ht="26.1" customHeight="1" x14ac:dyDescent="0.25">
      <c r="A68" s="82"/>
      <c r="B68" s="621" t="s">
        <v>120</v>
      </c>
      <c r="C68" s="622"/>
      <c r="D68" s="622"/>
      <c r="E68" s="622"/>
      <c r="F68" s="622"/>
      <c r="G68" s="106"/>
      <c r="H68" s="106"/>
      <c r="I68" s="311"/>
      <c r="J68" s="315"/>
      <c r="K68" s="1"/>
    </row>
    <row r="69" spans="1:11" ht="26.1" customHeight="1" x14ac:dyDescent="0.25">
      <c r="A69" s="82"/>
      <c r="B69" s="561" t="s">
        <v>121</v>
      </c>
      <c r="C69" s="559" t="s">
        <v>122</v>
      </c>
      <c r="D69" s="559"/>
      <c r="E69" s="559" t="s">
        <v>123</v>
      </c>
      <c r="F69" s="559"/>
      <c r="G69" s="107"/>
      <c r="H69" s="107"/>
      <c r="I69" s="312"/>
      <c r="J69" s="316"/>
      <c r="K69" s="1"/>
    </row>
    <row r="70" spans="1:11" ht="26.1" customHeight="1" x14ac:dyDescent="0.25">
      <c r="A70" s="82"/>
      <c r="B70" s="561"/>
      <c r="C70" s="559" t="s">
        <v>124</v>
      </c>
      <c r="D70" s="559" t="s">
        <v>125</v>
      </c>
      <c r="E70" s="559"/>
      <c r="F70" s="559"/>
      <c r="G70" s="619" t="s">
        <v>398</v>
      </c>
      <c r="H70" s="620"/>
      <c r="I70" s="633" t="s">
        <v>399</v>
      </c>
      <c r="J70" s="634"/>
      <c r="K70" s="1"/>
    </row>
    <row r="71" spans="1:11" ht="26.1" customHeight="1" x14ac:dyDescent="0.25">
      <c r="A71" s="82"/>
      <c r="B71" s="561"/>
      <c r="C71" s="559"/>
      <c r="D71" s="559"/>
      <c r="E71" s="559" t="s">
        <v>126</v>
      </c>
      <c r="F71" s="559"/>
      <c r="G71" s="368" t="s">
        <v>163</v>
      </c>
      <c r="H71" s="368" t="s">
        <v>164</v>
      </c>
      <c r="I71" s="377" t="s">
        <v>163</v>
      </c>
      <c r="J71" s="383" t="s">
        <v>164</v>
      </c>
      <c r="K71" s="1"/>
    </row>
    <row r="72" spans="1:11" ht="26.1" customHeight="1" x14ac:dyDescent="0.25">
      <c r="A72" s="82"/>
      <c r="B72" s="610">
        <v>1.5</v>
      </c>
      <c r="C72" s="623">
        <v>1</v>
      </c>
      <c r="D72" s="623">
        <v>1.3</v>
      </c>
      <c r="E72" s="183" t="s">
        <v>127</v>
      </c>
      <c r="F72" s="303">
        <v>0.35</v>
      </c>
      <c r="G72" s="370">
        <f>$I$44*F72*$B$72</f>
        <v>125.05428078640975</v>
      </c>
      <c r="H72" s="370">
        <f>$J$44*F72*$B$72</f>
        <v>10.421190065534146</v>
      </c>
      <c r="I72" s="371">
        <f>G72*$D$72</f>
        <v>162.57056502233269</v>
      </c>
      <c r="J72" s="381">
        <f>H72*$D$72</f>
        <v>13.54754708519439</v>
      </c>
      <c r="K72" s="1"/>
    </row>
    <row r="73" spans="1:11" ht="26.1" customHeight="1" x14ac:dyDescent="0.25">
      <c r="A73" s="82"/>
      <c r="B73" s="610"/>
      <c r="C73" s="623"/>
      <c r="D73" s="623"/>
      <c r="E73" s="624" t="s">
        <v>128</v>
      </c>
      <c r="F73" s="624"/>
      <c r="G73" s="374"/>
      <c r="H73" s="374"/>
      <c r="I73" s="375"/>
      <c r="J73" s="382"/>
      <c r="K73" s="1"/>
    </row>
    <row r="74" spans="1:11" ht="26.1" customHeight="1" x14ac:dyDescent="0.25">
      <c r="A74" s="82"/>
      <c r="B74" s="610"/>
      <c r="C74" s="623"/>
      <c r="D74" s="623"/>
      <c r="E74" s="183" t="s">
        <v>136</v>
      </c>
      <c r="F74" s="303">
        <v>0.05</v>
      </c>
      <c r="G74" s="370">
        <f>$I$44*(F72+25*F74)*$B$72</f>
        <v>571.67671216644464</v>
      </c>
      <c r="H74" s="370">
        <f>$J$44*(F72+25*F74)*$B$72</f>
        <v>47.639726013870394</v>
      </c>
      <c r="I74" s="371">
        <f t="shared" ref="I74:J77" si="4">G74*$D$72</f>
        <v>743.1797258163781</v>
      </c>
      <c r="J74" s="381">
        <f t="shared" si="4"/>
        <v>61.931643818031517</v>
      </c>
      <c r="K74" s="1"/>
    </row>
    <row r="75" spans="1:11" ht="26.1" customHeight="1" x14ac:dyDescent="0.25">
      <c r="A75" s="82"/>
      <c r="B75" s="610"/>
      <c r="C75" s="623"/>
      <c r="D75" s="623"/>
      <c r="E75" s="183" t="s">
        <v>137</v>
      </c>
      <c r="F75" s="303">
        <v>0.03</v>
      </c>
      <c r="G75" s="370">
        <f>$I$44*(F72+25*F74+70*F75)*$B$72</f>
        <v>1322.0023968849032</v>
      </c>
      <c r="H75" s="370">
        <f>$J$44*(F72+25*F74+70*F75)*$B$72</f>
        <v>110.16686640707528</v>
      </c>
      <c r="I75" s="371">
        <f t="shared" si="4"/>
        <v>1718.6031159503741</v>
      </c>
      <c r="J75" s="381">
        <f t="shared" si="4"/>
        <v>143.21692632919786</v>
      </c>
      <c r="K75" s="1"/>
    </row>
    <row r="76" spans="1:11" ht="26.1" customHeight="1" x14ac:dyDescent="0.25">
      <c r="A76" s="82"/>
      <c r="B76" s="610"/>
      <c r="C76" s="623"/>
      <c r="D76" s="623"/>
      <c r="E76" s="183" t="s">
        <v>138</v>
      </c>
      <c r="F76" s="303">
        <v>1.4999999999999999E-2</v>
      </c>
      <c r="G76" s="370">
        <f>$I$44*(F72+25*F74+70*F75+400*F76)*$B$72</f>
        <v>3465.7900675090705</v>
      </c>
      <c r="H76" s="370">
        <f>$J$44*(F72+25*F74+70*F75+400*F76)*$B$72</f>
        <v>288.81583895908921</v>
      </c>
      <c r="I76" s="371">
        <f t="shared" si="4"/>
        <v>4505.5270877617913</v>
      </c>
      <c r="J76" s="381">
        <f t="shared" si="4"/>
        <v>375.460590646816</v>
      </c>
      <c r="K76" s="1"/>
    </row>
    <row r="77" spans="1:11" ht="42.75" x14ac:dyDescent="0.25">
      <c r="A77" s="82"/>
      <c r="B77" s="610"/>
      <c r="C77" s="623"/>
      <c r="D77" s="623"/>
      <c r="E77" s="102" t="s">
        <v>139</v>
      </c>
      <c r="F77" s="303">
        <v>5.0000000000000001E-3</v>
      </c>
      <c r="G77" s="370">
        <f>$I$44*(F72+25*F74+70*F75+400*F76+500*F77)*$B$72</f>
        <v>4359.0349302691402</v>
      </c>
      <c r="H77" s="370">
        <f>$J$44*(F72+25*F74+70*F75+400*F76+500*F77)*$B$72</f>
        <v>363.25291085576168</v>
      </c>
      <c r="I77" s="371">
        <f t="shared" si="4"/>
        <v>5666.7454093498827</v>
      </c>
      <c r="J77" s="381">
        <f t="shared" si="4"/>
        <v>472.22878411249019</v>
      </c>
      <c r="K77" s="1"/>
    </row>
    <row r="78" spans="1:11" ht="18" customHeight="1" x14ac:dyDescent="0.25">
      <c r="A78" s="82"/>
      <c r="B78" s="108" t="s">
        <v>519</v>
      </c>
      <c r="C78" s="88"/>
      <c r="D78" s="88"/>
      <c r="E78" s="88"/>
      <c r="F78" s="88"/>
      <c r="G78" s="82"/>
      <c r="H78" s="82"/>
      <c r="I78" s="82"/>
      <c r="J78" s="82"/>
      <c r="K78" s="1"/>
    </row>
    <row r="79" spans="1:11" x14ac:dyDescent="0.25">
      <c r="A79" s="82"/>
      <c r="B79" s="87"/>
      <c r="C79" s="88"/>
      <c r="D79" s="88"/>
      <c r="E79" s="88"/>
      <c r="F79" s="88"/>
      <c r="G79" s="82"/>
      <c r="H79" s="82"/>
      <c r="I79" s="82"/>
      <c r="J79" s="82"/>
      <c r="K79" s="1"/>
    </row>
    <row r="80" spans="1:11" s="14" customFormat="1" ht="45.95" customHeight="1" x14ac:dyDescent="0.25">
      <c r="A80" s="116"/>
      <c r="B80" s="144" t="s">
        <v>528</v>
      </c>
      <c r="C80" s="88"/>
      <c r="D80" s="88"/>
      <c r="E80" s="88"/>
      <c r="F80" s="88"/>
      <c r="G80" s="82"/>
      <c r="H80" s="82"/>
      <c r="I80" s="82"/>
      <c r="J80" s="82"/>
      <c r="K80" s="13"/>
    </row>
    <row r="81" spans="1:11" ht="60" customHeight="1" x14ac:dyDescent="0.25">
      <c r="A81" s="82"/>
      <c r="B81" s="635" t="s">
        <v>400</v>
      </c>
      <c r="C81" s="636"/>
      <c r="D81" s="636"/>
      <c r="E81" s="636"/>
      <c r="F81" s="637"/>
      <c r="G81" s="82"/>
      <c r="H81" s="82"/>
      <c r="I81" s="82"/>
      <c r="J81" s="82"/>
      <c r="K81" s="1"/>
    </row>
    <row r="82" spans="1:11" ht="26.1" customHeight="1" x14ac:dyDescent="0.25">
      <c r="A82" s="82"/>
      <c r="B82" s="638" t="s">
        <v>401</v>
      </c>
      <c r="C82" s="638" t="s">
        <v>402</v>
      </c>
      <c r="D82" s="638" t="s">
        <v>588</v>
      </c>
      <c r="E82" s="638" t="s">
        <v>589</v>
      </c>
      <c r="F82" s="638" t="s">
        <v>590</v>
      </c>
      <c r="G82" s="82"/>
      <c r="H82" s="82"/>
      <c r="I82" s="82"/>
      <c r="J82" s="82"/>
      <c r="K82" s="1"/>
    </row>
    <row r="83" spans="1:11" ht="47.1" customHeight="1" x14ac:dyDescent="0.25">
      <c r="A83" s="82"/>
      <c r="B83" s="639"/>
      <c r="C83" s="639"/>
      <c r="D83" s="639"/>
      <c r="E83" s="639"/>
      <c r="F83" s="639"/>
      <c r="G83" s="82"/>
      <c r="H83" s="82"/>
      <c r="I83" s="82"/>
      <c r="J83" s="82"/>
      <c r="K83" s="1"/>
    </row>
    <row r="84" spans="1:11" ht="18" customHeight="1" x14ac:dyDescent="0.25">
      <c r="A84" s="82"/>
      <c r="B84" s="293" t="s">
        <v>165</v>
      </c>
      <c r="C84" s="294"/>
      <c r="D84" s="295"/>
      <c r="E84" s="290">
        <f>IF('1 Identificação e Parâmetros'!I16="Versão Completa",'5.1 CalcCustoVBC-Completo'!$E$37*'1 Identificação e Parâmetros'!$K$12,'5.2 CalcCustoVBC-Simplificado'!$E$37*'1 Identificação e Parâmetros'!$K$12)</f>
        <v>1.2151516132800837</v>
      </c>
      <c r="F84" s="292"/>
      <c r="G84" s="82"/>
      <c r="H84" s="82"/>
      <c r="I84" s="82"/>
      <c r="J84" s="82"/>
      <c r="K84" s="1"/>
    </row>
    <row r="85" spans="1:11" ht="18" customHeight="1" x14ac:dyDescent="0.25">
      <c r="A85" s="82"/>
      <c r="B85" s="89" t="s">
        <v>326</v>
      </c>
      <c r="C85" s="305">
        <v>8</v>
      </c>
      <c r="D85" s="385">
        <f t="shared" ref="D85:D90" si="5">C85*$E$84</f>
        <v>9.7212129062406696</v>
      </c>
      <c r="E85" s="115"/>
      <c r="F85" s="385">
        <f>D85</f>
        <v>9.7212129062406696</v>
      </c>
      <c r="G85" s="82"/>
      <c r="H85" s="82"/>
      <c r="I85" s="82"/>
      <c r="J85" s="82"/>
      <c r="K85" s="1"/>
    </row>
    <row r="86" spans="1:11" ht="18" customHeight="1" x14ac:dyDescent="0.25">
      <c r="A86" s="82"/>
      <c r="B86" s="89" t="s">
        <v>166</v>
      </c>
      <c r="C86" s="305">
        <v>0.7</v>
      </c>
      <c r="D86" s="385">
        <f t="shared" si="5"/>
        <v>0.8506061292960585</v>
      </c>
      <c r="E86" s="115"/>
      <c r="F86" s="385">
        <f>F85+5*D86</f>
        <v>13.974243552720962</v>
      </c>
      <c r="G86" s="82"/>
      <c r="H86" s="82"/>
      <c r="I86" s="82"/>
      <c r="J86" s="82"/>
      <c r="K86" s="1"/>
    </row>
    <row r="87" spans="1:11" ht="18" customHeight="1" x14ac:dyDescent="0.25">
      <c r="A87" s="82"/>
      <c r="B87" s="89" t="s">
        <v>170</v>
      </c>
      <c r="C87" s="305">
        <v>0.6</v>
      </c>
      <c r="D87" s="385">
        <f t="shared" si="5"/>
        <v>0.72909096796805017</v>
      </c>
      <c r="E87" s="115"/>
      <c r="F87" s="385">
        <f>F85+10*D86+5*D87</f>
        <v>21.872729039041506</v>
      </c>
      <c r="G87" s="82"/>
      <c r="H87" s="82"/>
      <c r="I87" s="82"/>
      <c r="J87" s="82"/>
      <c r="K87" s="1"/>
    </row>
    <row r="88" spans="1:11" ht="18" customHeight="1" x14ac:dyDescent="0.25">
      <c r="A88" s="82"/>
      <c r="B88" s="89" t="s">
        <v>403</v>
      </c>
      <c r="C88" s="305">
        <v>0.5</v>
      </c>
      <c r="D88" s="385">
        <f t="shared" si="5"/>
        <v>0.60757580664004185</v>
      </c>
      <c r="E88" s="115"/>
      <c r="F88" s="385">
        <f>F85+10*D86+10*D87+5*D88</f>
        <v>28.556062912081966</v>
      </c>
      <c r="G88" s="82"/>
      <c r="H88" s="82"/>
      <c r="I88" s="82"/>
      <c r="J88" s="82"/>
      <c r="K88" s="1"/>
    </row>
    <row r="89" spans="1:11" ht="18" customHeight="1" x14ac:dyDescent="0.25">
      <c r="A89" s="82"/>
      <c r="B89" s="89" t="s">
        <v>248</v>
      </c>
      <c r="C89" s="305">
        <v>0.3</v>
      </c>
      <c r="D89" s="385">
        <f t="shared" si="5"/>
        <v>0.36454548398402509</v>
      </c>
      <c r="E89" s="115"/>
      <c r="F89" s="385">
        <f>F85+10*D86+10*D87+10*D88+30*D89</f>
        <v>42.530306464802926</v>
      </c>
      <c r="G89" s="82"/>
      <c r="H89" s="82"/>
      <c r="I89" s="82"/>
      <c r="J89" s="82"/>
      <c r="K89" s="1"/>
    </row>
    <row r="90" spans="1:11" ht="18" customHeight="1" x14ac:dyDescent="0.25">
      <c r="A90" s="82"/>
      <c r="B90" s="90" t="s">
        <v>289</v>
      </c>
      <c r="C90" s="306">
        <v>0</v>
      </c>
      <c r="D90" s="386">
        <f t="shared" si="5"/>
        <v>0</v>
      </c>
      <c r="E90" s="115"/>
      <c r="F90" s="386">
        <f>F85+10*D86+10*D87+10*D88+70*D89</f>
        <v>57.112125824163932</v>
      </c>
      <c r="G90" s="82"/>
      <c r="H90" s="82"/>
      <c r="I90" s="82"/>
      <c r="J90" s="82"/>
      <c r="K90" s="1"/>
    </row>
    <row r="91" spans="1:11" ht="18" customHeight="1" x14ac:dyDescent="0.25">
      <c r="A91" s="82"/>
      <c r="B91" s="293" t="s">
        <v>167</v>
      </c>
      <c r="C91" s="294"/>
      <c r="D91" s="295"/>
      <c r="E91" s="115"/>
      <c r="F91" s="291"/>
      <c r="G91" s="82"/>
      <c r="H91" s="82"/>
      <c r="I91" s="82"/>
      <c r="J91" s="82"/>
      <c r="K91" s="1"/>
    </row>
    <row r="92" spans="1:11" ht="18" customHeight="1" x14ac:dyDescent="0.25">
      <c r="A92" s="82"/>
      <c r="B92" s="89" t="s">
        <v>326</v>
      </c>
      <c r="C92" s="307">
        <v>4</v>
      </c>
      <c r="D92" s="385">
        <f t="shared" ref="D92:D109" si="6">C92*$E$84</f>
        <v>4.8606064531203348</v>
      </c>
      <c r="E92" s="115"/>
      <c r="F92" s="385">
        <f>D92</f>
        <v>4.8606064531203348</v>
      </c>
      <c r="G92" s="82"/>
      <c r="H92" s="82"/>
      <c r="I92" s="82"/>
      <c r="J92" s="82"/>
      <c r="K92" s="1"/>
    </row>
    <row r="93" spans="1:11" ht="18" customHeight="1" x14ac:dyDescent="0.25">
      <c r="A93" s="82"/>
      <c r="B93" s="89" t="s">
        <v>168</v>
      </c>
      <c r="C93" s="307">
        <v>0.35</v>
      </c>
      <c r="D93" s="385">
        <f t="shared" si="6"/>
        <v>0.42530306464802925</v>
      </c>
      <c r="E93" s="115"/>
      <c r="F93" s="385">
        <f>F92+2.5*D93</f>
        <v>5.9238641147404074</v>
      </c>
      <c r="G93" s="82"/>
      <c r="H93" s="82"/>
      <c r="I93" s="82"/>
      <c r="J93" s="82"/>
      <c r="K93" s="1"/>
    </row>
    <row r="94" spans="1:11" ht="18" customHeight="1" x14ac:dyDescent="0.25">
      <c r="A94" s="82"/>
      <c r="B94" s="89" t="s">
        <v>169</v>
      </c>
      <c r="C94" s="307">
        <v>0.35</v>
      </c>
      <c r="D94" s="385">
        <f t="shared" si="6"/>
        <v>0.42530306464802925</v>
      </c>
      <c r="E94" s="115"/>
      <c r="F94" s="385">
        <f>F92+5*D93+2.5*D94</f>
        <v>8.0503794379805544</v>
      </c>
      <c r="G94" s="82"/>
      <c r="H94" s="82"/>
      <c r="I94" s="82"/>
      <c r="J94" s="82"/>
      <c r="K94" s="1"/>
    </row>
    <row r="95" spans="1:11" ht="18" customHeight="1" x14ac:dyDescent="0.25">
      <c r="A95" s="82"/>
      <c r="B95" s="90" t="s">
        <v>170</v>
      </c>
      <c r="C95" s="308">
        <v>0.3</v>
      </c>
      <c r="D95" s="386">
        <f t="shared" si="6"/>
        <v>0.36454548398402509</v>
      </c>
      <c r="E95" s="115"/>
      <c r="F95" s="386">
        <f>F92+5*D93+5*D94+5*D95</f>
        <v>10.936364519520753</v>
      </c>
      <c r="G95" s="82"/>
      <c r="H95" s="82"/>
      <c r="I95" s="82"/>
      <c r="J95" s="82"/>
      <c r="K95" s="1"/>
    </row>
    <row r="96" spans="1:11" ht="18" customHeight="1" x14ac:dyDescent="0.25">
      <c r="A96" s="82"/>
      <c r="B96" s="293" t="s">
        <v>171</v>
      </c>
      <c r="C96" s="294"/>
      <c r="D96" s="295"/>
      <c r="E96" s="115"/>
      <c r="F96" s="291"/>
      <c r="G96" s="82"/>
      <c r="H96" s="82"/>
      <c r="I96" s="82"/>
      <c r="J96" s="82"/>
      <c r="K96" s="1"/>
    </row>
    <row r="97" spans="1:11" ht="18" customHeight="1" x14ac:dyDescent="0.25">
      <c r="A97" s="82"/>
      <c r="B97" s="89" t="s">
        <v>326</v>
      </c>
      <c r="C97" s="305">
        <v>12</v>
      </c>
      <c r="D97" s="385">
        <f t="shared" si="6"/>
        <v>14.581819359361004</v>
      </c>
      <c r="E97" s="115"/>
      <c r="F97" s="385">
        <f>D97</f>
        <v>14.581819359361004</v>
      </c>
      <c r="G97" s="82"/>
      <c r="H97" s="82"/>
      <c r="I97" s="82"/>
      <c r="J97" s="82"/>
      <c r="K97" s="1"/>
    </row>
    <row r="98" spans="1:11" ht="18" customHeight="1" x14ac:dyDescent="0.25">
      <c r="A98" s="82"/>
      <c r="B98" s="89" t="s">
        <v>166</v>
      </c>
      <c r="C98" s="305">
        <v>0.9</v>
      </c>
      <c r="D98" s="385">
        <f t="shared" si="6"/>
        <v>1.0936364519520754</v>
      </c>
      <c r="E98" s="115"/>
      <c r="F98" s="385">
        <f>F97+5*D98</f>
        <v>20.050001619121382</v>
      </c>
      <c r="G98" s="82"/>
      <c r="H98" s="82"/>
      <c r="I98" s="82"/>
      <c r="J98" s="82"/>
      <c r="K98" s="1"/>
    </row>
    <row r="99" spans="1:11" ht="18" customHeight="1" x14ac:dyDescent="0.25">
      <c r="A99" s="82"/>
      <c r="B99" s="89" t="s">
        <v>170</v>
      </c>
      <c r="C99" s="305">
        <v>0.8</v>
      </c>
      <c r="D99" s="385">
        <f t="shared" si="6"/>
        <v>0.97212129062406705</v>
      </c>
      <c r="E99" s="115"/>
      <c r="F99" s="385">
        <f>F97+10*D98+5*D99</f>
        <v>30.37879033200209</v>
      </c>
      <c r="G99" s="82"/>
      <c r="H99" s="82"/>
      <c r="I99" s="82"/>
      <c r="J99" s="82"/>
      <c r="K99" s="1"/>
    </row>
    <row r="100" spans="1:11" ht="18" customHeight="1" x14ac:dyDescent="0.25">
      <c r="A100" s="82"/>
      <c r="B100" s="89" t="s">
        <v>241</v>
      </c>
      <c r="C100" s="305">
        <v>0.7</v>
      </c>
      <c r="D100" s="385">
        <f t="shared" si="6"/>
        <v>0.8506061292960585</v>
      </c>
      <c r="E100" s="115"/>
      <c r="F100" s="385">
        <f>F97+10*D98+10*D99+10*D100</f>
        <v>43.745458078083004</v>
      </c>
      <c r="G100" s="82"/>
      <c r="H100" s="82"/>
      <c r="I100" s="82"/>
      <c r="J100" s="82"/>
      <c r="K100" s="1"/>
    </row>
    <row r="101" spans="1:11" ht="18" customHeight="1" x14ac:dyDescent="0.25">
      <c r="A101" s="82"/>
      <c r="B101" s="89" t="s">
        <v>242</v>
      </c>
      <c r="C101" s="305">
        <v>0.5</v>
      </c>
      <c r="D101" s="385">
        <f t="shared" si="6"/>
        <v>0.60757580664004185</v>
      </c>
      <c r="E101" s="115"/>
      <c r="F101" s="385">
        <f>F97+10*D98+10*D99+20*D100+50*D101</f>
        <v>82.630309703045683</v>
      </c>
      <c r="G101" s="82"/>
      <c r="H101" s="82"/>
      <c r="I101" s="82"/>
      <c r="J101" s="82"/>
      <c r="K101" s="1"/>
    </row>
    <row r="102" spans="1:11" ht="18" customHeight="1" x14ac:dyDescent="0.25">
      <c r="A102" s="82"/>
      <c r="B102" s="90" t="s">
        <v>243</v>
      </c>
      <c r="C102" s="306">
        <v>0</v>
      </c>
      <c r="D102" s="386">
        <f t="shared" si="6"/>
        <v>0</v>
      </c>
      <c r="E102" s="115"/>
      <c r="F102" s="386">
        <f>F97+10*D98+10*D99+20*D100+100*D101</f>
        <v>113.00910003504778</v>
      </c>
      <c r="G102" s="82"/>
      <c r="H102" s="82"/>
      <c r="I102" s="82"/>
      <c r="J102" s="82"/>
      <c r="K102" s="1"/>
    </row>
    <row r="103" spans="1:11" ht="18" customHeight="1" x14ac:dyDescent="0.25">
      <c r="A103" s="82"/>
      <c r="B103" s="293" t="s">
        <v>38</v>
      </c>
      <c r="C103" s="294"/>
      <c r="D103" s="295"/>
      <c r="E103" s="115"/>
      <c r="F103" s="291"/>
      <c r="G103" s="82"/>
      <c r="H103" s="82"/>
      <c r="I103" s="82"/>
      <c r="J103" s="82"/>
      <c r="K103" s="1"/>
    </row>
    <row r="104" spans="1:11" ht="18" customHeight="1" x14ac:dyDescent="0.25">
      <c r="A104" s="82"/>
      <c r="B104" s="89" t="s">
        <v>326</v>
      </c>
      <c r="C104" s="305">
        <v>15</v>
      </c>
      <c r="D104" s="385">
        <f t="shared" si="6"/>
        <v>18.227274199201254</v>
      </c>
      <c r="E104" s="115"/>
      <c r="F104" s="385">
        <f>D104</f>
        <v>18.227274199201254</v>
      </c>
      <c r="G104" s="82"/>
      <c r="H104" s="82"/>
      <c r="I104" s="82"/>
      <c r="J104" s="82"/>
      <c r="K104" s="1"/>
    </row>
    <row r="105" spans="1:11" ht="18" customHeight="1" x14ac:dyDescent="0.25">
      <c r="A105" s="82"/>
      <c r="B105" s="89" t="s">
        <v>244</v>
      </c>
      <c r="C105" s="305">
        <v>1</v>
      </c>
      <c r="D105" s="385">
        <f t="shared" si="6"/>
        <v>1.2151516132800837</v>
      </c>
      <c r="E105" s="115"/>
      <c r="F105" s="385">
        <f>F104+10*D105</f>
        <v>30.37879033200209</v>
      </c>
      <c r="G105" s="82"/>
      <c r="H105" s="82"/>
      <c r="I105" s="82"/>
      <c r="J105" s="82"/>
      <c r="K105" s="1"/>
    </row>
    <row r="106" spans="1:11" ht="18" customHeight="1" x14ac:dyDescent="0.25">
      <c r="A106" s="82"/>
      <c r="B106" s="89" t="s">
        <v>245</v>
      </c>
      <c r="C106" s="305">
        <v>0.9</v>
      </c>
      <c r="D106" s="385">
        <f t="shared" si="6"/>
        <v>1.0936364519520754</v>
      </c>
      <c r="E106" s="115"/>
      <c r="F106" s="385">
        <f>F104+20*D105+35*D106</f>
        <v>80.807582283125555</v>
      </c>
      <c r="G106" s="82"/>
      <c r="H106" s="82"/>
      <c r="I106" s="82"/>
      <c r="J106" s="82"/>
      <c r="K106" s="1"/>
    </row>
    <row r="107" spans="1:11" ht="18" customHeight="1" x14ac:dyDescent="0.25">
      <c r="A107" s="82"/>
      <c r="B107" s="89" t="s">
        <v>246</v>
      </c>
      <c r="C107" s="305">
        <v>0.7</v>
      </c>
      <c r="D107" s="385">
        <f t="shared" si="6"/>
        <v>0.8506061292960585</v>
      </c>
      <c r="E107" s="115"/>
      <c r="F107" s="385">
        <f>F104+20*D105+70*D106+200*D107</f>
        <v>289.2060839606599</v>
      </c>
      <c r="G107" s="82"/>
      <c r="H107" s="82"/>
      <c r="I107" s="82"/>
      <c r="J107" s="82"/>
      <c r="K107" s="1"/>
    </row>
    <row r="108" spans="1:11" ht="18" customHeight="1" x14ac:dyDescent="0.25">
      <c r="A108" s="82"/>
      <c r="B108" s="89" t="s">
        <v>247</v>
      </c>
      <c r="C108" s="305">
        <v>0.5</v>
      </c>
      <c r="D108" s="385">
        <f t="shared" si="6"/>
        <v>0.60757580664004185</v>
      </c>
      <c r="E108" s="115"/>
      <c r="F108" s="385">
        <f>F104+20*D105+70*D106+400*D107+250*D108</f>
        <v>611.22126147988206</v>
      </c>
      <c r="G108" s="82"/>
      <c r="H108" s="82"/>
      <c r="I108" s="82"/>
      <c r="J108" s="82"/>
      <c r="K108" s="1"/>
    </row>
    <row r="109" spans="1:11" ht="18" customHeight="1" x14ac:dyDescent="0.25">
      <c r="A109" s="82"/>
      <c r="B109" s="90" t="s">
        <v>290</v>
      </c>
      <c r="C109" s="306">
        <v>0</v>
      </c>
      <c r="D109" s="386">
        <f t="shared" si="6"/>
        <v>0</v>
      </c>
      <c r="E109" s="115"/>
      <c r="F109" s="386">
        <f>F104+20*D105+70*D106+400*D107+500*D108</f>
        <v>763.1152131398926</v>
      </c>
      <c r="G109" s="82"/>
      <c r="H109" s="82"/>
      <c r="I109" s="82"/>
      <c r="J109" s="82"/>
      <c r="K109" s="1"/>
    </row>
    <row r="110" spans="1:11" ht="18" customHeight="1" x14ac:dyDescent="0.25">
      <c r="A110" s="82"/>
      <c r="B110" s="293" t="s">
        <v>172</v>
      </c>
      <c r="C110" s="294"/>
      <c r="D110" s="295"/>
      <c r="E110" s="115"/>
      <c r="F110" s="291"/>
      <c r="G110" s="82"/>
      <c r="H110" s="82"/>
      <c r="I110" s="82"/>
      <c r="J110" s="82"/>
      <c r="K110" s="1"/>
    </row>
    <row r="111" spans="1:11" ht="18" customHeight="1" x14ac:dyDescent="0.25">
      <c r="A111" s="82"/>
      <c r="B111" s="89" t="s">
        <v>326</v>
      </c>
      <c r="C111" s="305">
        <v>8</v>
      </c>
      <c r="D111" s="385">
        <f t="shared" ref="D111:D116" si="7">C111*$E$84</f>
        <v>9.7212129062406696</v>
      </c>
      <c r="E111" s="115"/>
      <c r="F111" s="385">
        <f>D111</f>
        <v>9.7212129062406696</v>
      </c>
      <c r="G111" s="82"/>
      <c r="H111" s="82"/>
      <c r="I111" s="82"/>
      <c r="J111" s="82"/>
      <c r="K111" s="1"/>
    </row>
    <row r="112" spans="1:11" ht="18" customHeight="1" x14ac:dyDescent="0.25">
      <c r="A112" s="82"/>
      <c r="B112" s="89" t="s">
        <v>166</v>
      </c>
      <c r="C112" s="305">
        <v>0.7</v>
      </c>
      <c r="D112" s="385">
        <f t="shared" si="7"/>
        <v>0.8506061292960585</v>
      </c>
      <c r="E112" s="115"/>
      <c r="F112" s="385">
        <f>F111+5*D112</f>
        <v>13.974243552720962</v>
      </c>
      <c r="G112" s="82"/>
      <c r="H112" s="82"/>
      <c r="I112" s="82"/>
      <c r="J112" s="82"/>
      <c r="K112" s="1"/>
    </row>
    <row r="113" spans="1:11" ht="18" customHeight="1" x14ac:dyDescent="0.25">
      <c r="A113" s="82"/>
      <c r="B113" s="89" t="s">
        <v>170</v>
      </c>
      <c r="C113" s="305">
        <v>0.6</v>
      </c>
      <c r="D113" s="385">
        <f t="shared" si="7"/>
        <v>0.72909096796805017</v>
      </c>
      <c r="E113" s="115"/>
      <c r="F113" s="385">
        <f>F111+10*D112+5*D113</f>
        <v>21.872729039041506</v>
      </c>
      <c r="G113" s="82"/>
      <c r="H113" s="82"/>
      <c r="I113" s="82"/>
      <c r="J113" s="82"/>
      <c r="K113" s="1"/>
    </row>
    <row r="114" spans="1:11" ht="18" customHeight="1" x14ac:dyDescent="0.25">
      <c r="A114" s="82"/>
      <c r="B114" s="89" t="s">
        <v>403</v>
      </c>
      <c r="C114" s="305">
        <v>0.5</v>
      </c>
      <c r="D114" s="385">
        <f t="shared" si="7"/>
        <v>0.60757580664004185</v>
      </c>
      <c r="E114" s="115"/>
      <c r="F114" s="385">
        <f>F111+10*D112+10*D113+5*D114</f>
        <v>28.556062912081966</v>
      </c>
      <c r="G114" s="82"/>
      <c r="H114" s="82"/>
      <c r="I114" s="82"/>
      <c r="J114" s="82"/>
      <c r="K114" s="1"/>
    </row>
    <row r="115" spans="1:11" ht="18" customHeight="1" x14ac:dyDescent="0.25">
      <c r="A115" s="82"/>
      <c r="B115" s="89" t="s">
        <v>248</v>
      </c>
      <c r="C115" s="305">
        <v>0.3</v>
      </c>
      <c r="D115" s="385">
        <f t="shared" si="7"/>
        <v>0.36454548398402509</v>
      </c>
      <c r="E115" s="115"/>
      <c r="F115" s="385">
        <f>F111+10*D112+10*D113+10*D114+30*D115</f>
        <v>42.530306464802926</v>
      </c>
      <c r="G115" s="82"/>
      <c r="H115" s="82"/>
      <c r="I115" s="82"/>
      <c r="J115" s="82"/>
      <c r="K115" s="1"/>
    </row>
    <row r="116" spans="1:11" ht="18" customHeight="1" x14ac:dyDescent="0.25">
      <c r="A116" s="82"/>
      <c r="B116" s="90" t="s">
        <v>289</v>
      </c>
      <c r="C116" s="306">
        <v>0</v>
      </c>
      <c r="D116" s="386">
        <f t="shared" si="7"/>
        <v>0</v>
      </c>
      <c r="E116" s="115"/>
      <c r="F116" s="386">
        <f>F111+10*D112+10*D113+10*D114+70*D115</f>
        <v>57.112125824163932</v>
      </c>
      <c r="G116" s="82"/>
      <c r="H116" s="82"/>
      <c r="I116" s="82"/>
      <c r="J116" s="82"/>
      <c r="K116" s="1"/>
    </row>
    <row r="117" spans="1:11" ht="12.6" customHeight="1" x14ac:dyDescent="0.25">
      <c r="A117" s="82"/>
      <c r="C117" s="82"/>
      <c r="D117" s="82"/>
      <c r="E117" s="82"/>
      <c r="F117" s="82"/>
      <c r="G117" s="82"/>
      <c r="H117" s="82"/>
      <c r="I117" s="82"/>
      <c r="J117" s="82"/>
      <c r="K117" s="1"/>
    </row>
    <row r="118" spans="1:11" s="14" customFormat="1" ht="32.1" customHeight="1" x14ac:dyDescent="0.25">
      <c r="A118" s="298" t="s">
        <v>529</v>
      </c>
      <c r="B118" s="297"/>
      <c r="C118" s="296"/>
      <c r="D118" s="82"/>
      <c r="E118" s="82"/>
      <c r="F118" s="82"/>
      <c r="G118" s="82"/>
      <c r="H118" s="82"/>
      <c r="I118" s="82"/>
      <c r="J118" s="82"/>
      <c r="K118" s="13"/>
    </row>
    <row r="119" spans="1:11" s="34" customFormat="1" ht="26.1" customHeight="1" x14ac:dyDescent="0.2">
      <c r="A119" s="644" t="s">
        <v>173</v>
      </c>
      <c r="B119" s="644"/>
      <c r="C119" s="644"/>
      <c r="D119" s="644"/>
      <c r="E119" s="644"/>
      <c r="F119" s="644"/>
      <c r="G119" s="644"/>
      <c r="H119" s="644"/>
      <c r="I119" s="644"/>
      <c r="J119" s="645"/>
      <c r="K119" s="133"/>
    </row>
    <row r="120" spans="1:11" s="26" customFormat="1" ht="14.1" customHeight="1" x14ac:dyDescent="0.2">
      <c r="A120" s="642" t="s">
        <v>520</v>
      </c>
      <c r="B120" s="642"/>
      <c r="C120" s="642"/>
      <c r="D120" s="642"/>
      <c r="E120" s="642"/>
      <c r="F120" s="642"/>
      <c r="G120" s="642"/>
      <c r="H120" s="642"/>
      <c r="I120" s="642"/>
      <c r="J120" s="643"/>
      <c r="K120" s="213"/>
    </row>
    <row r="121" spans="1:11" s="26" customFormat="1" ht="14.1" customHeight="1" x14ac:dyDescent="0.2">
      <c r="A121" s="642"/>
      <c r="B121" s="642"/>
      <c r="C121" s="642"/>
      <c r="D121" s="642"/>
      <c r="E121" s="642"/>
      <c r="F121" s="642"/>
      <c r="G121" s="642"/>
      <c r="H121" s="642"/>
      <c r="I121" s="642"/>
      <c r="J121" s="643"/>
      <c r="K121" s="213"/>
    </row>
    <row r="122" spans="1:11" s="26" customFormat="1" ht="14.1" customHeight="1" x14ac:dyDescent="0.2">
      <c r="A122" s="642"/>
      <c r="B122" s="642"/>
      <c r="C122" s="642"/>
      <c r="D122" s="642"/>
      <c r="E122" s="642"/>
      <c r="F122" s="642"/>
      <c r="G122" s="642"/>
      <c r="H122" s="642"/>
      <c r="I122" s="642"/>
      <c r="J122" s="643"/>
      <c r="K122" s="213"/>
    </row>
    <row r="123" spans="1:11" s="26" customFormat="1" ht="14.1" customHeight="1" x14ac:dyDescent="0.2">
      <c r="A123" s="642"/>
      <c r="B123" s="642"/>
      <c r="C123" s="642"/>
      <c r="D123" s="642"/>
      <c r="E123" s="642"/>
      <c r="F123" s="642"/>
      <c r="G123" s="642"/>
      <c r="H123" s="642"/>
      <c r="I123" s="642"/>
      <c r="J123" s="643"/>
      <c r="K123" s="213"/>
    </row>
    <row r="124" spans="1:11" s="26" customFormat="1" ht="14.1" customHeight="1" x14ac:dyDescent="0.2">
      <c r="A124" s="642"/>
      <c r="B124" s="642"/>
      <c r="C124" s="642"/>
      <c r="D124" s="642"/>
      <c r="E124" s="642"/>
      <c r="F124" s="642"/>
      <c r="G124" s="642"/>
      <c r="H124" s="642"/>
      <c r="I124" s="642"/>
      <c r="J124" s="643"/>
      <c r="K124" s="213"/>
    </row>
    <row r="125" spans="1:11" s="26" customFormat="1" ht="18" customHeight="1" x14ac:dyDescent="0.2">
      <c r="A125" s="642" t="s">
        <v>521</v>
      </c>
      <c r="B125" s="642"/>
      <c r="C125" s="642"/>
      <c r="D125" s="642"/>
      <c r="E125" s="642"/>
      <c r="F125" s="642"/>
      <c r="G125" s="642"/>
      <c r="H125" s="642"/>
      <c r="I125" s="642"/>
      <c r="J125" s="643"/>
      <c r="K125" s="213"/>
    </row>
    <row r="126" spans="1:11" s="26" customFormat="1" ht="18" customHeight="1" x14ac:dyDescent="0.2">
      <c r="A126" s="642"/>
      <c r="B126" s="642"/>
      <c r="C126" s="642"/>
      <c r="D126" s="642"/>
      <c r="E126" s="642"/>
      <c r="F126" s="642"/>
      <c r="G126" s="642"/>
      <c r="H126" s="642"/>
      <c r="I126" s="642"/>
      <c r="J126" s="643"/>
      <c r="K126" s="213"/>
    </row>
    <row r="127" spans="1:11" s="26" customFormat="1" ht="18" customHeight="1" x14ac:dyDescent="0.2">
      <c r="A127" s="642"/>
      <c r="B127" s="642"/>
      <c r="C127" s="642"/>
      <c r="D127" s="642"/>
      <c r="E127" s="642"/>
      <c r="F127" s="642"/>
      <c r="G127" s="642"/>
      <c r="H127" s="642"/>
      <c r="I127" s="642"/>
      <c r="J127" s="643"/>
      <c r="K127" s="213"/>
    </row>
    <row r="128" spans="1:11" s="26" customFormat="1" ht="24.95" customHeight="1" x14ac:dyDescent="0.2">
      <c r="A128" s="640" t="s">
        <v>404</v>
      </c>
      <c r="B128" s="640"/>
      <c r="C128" s="640"/>
      <c r="D128" s="640"/>
      <c r="E128" s="640"/>
      <c r="F128" s="640"/>
      <c r="G128" s="640"/>
      <c r="H128" s="640"/>
      <c r="I128" s="640"/>
      <c r="J128" s="641"/>
      <c r="K128" s="213"/>
    </row>
    <row r="129" spans="1:11" s="26" customFormat="1" ht="24.95" customHeight="1" x14ac:dyDescent="0.2">
      <c r="A129" s="640"/>
      <c r="B129" s="640"/>
      <c r="C129" s="640"/>
      <c r="D129" s="640"/>
      <c r="E129" s="640"/>
      <c r="F129" s="640"/>
      <c r="G129" s="640"/>
      <c r="H129" s="640"/>
      <c r="I129" s="640"/>
      <c r="J129" s="641"/>
      <c r="K129" s="213"/>
    </row>
    <row r="130" spans="1:11" s="26" customFormat="1" ht="24" customHeight="1" x14ac:dyDescent="0.2">
      <c r="A130" s="642" t="s">
        <v>405</v>
      </c>
      <c r="B130" s="642"/>
      <c r="C130" s="642"/>
      <c r="D130" s="642"/>
      <c r="E130" s="642"/>
      <c r="F130" s="642"/>
      <c r="G130" s="642"/>
      <c r="H130" s="642"/>
      <c r="I130" s="642"/>
      <c r="J130" s="643"/>
      <c r="K130" s="213"/>
    </row>
    <row r="131" spans="1:11" s="26" customFormat="1" ht="24" customHeight="1" x14ac:dyDescent="0.2">
      <c r="A131" s="642"/>
      <c r="B131" s="642"/>
      <c r="C131" s="642"/>
      <c r="D131" s="642"/>
      <c r="E131" s="642"/>
      <c r="F131" s="642"/>
      <c r="G131" s="642"/>
      <c r="H131" s="642"/>
      <c r="I131" s="642"/>
      <c r="J131" s="643"/>
      <c r="K131" s="213"/>
    </row>
    <row r="132" spans="1:11" s="26" customFormat="1" ht="24" customHeight="1" x14ac:dyDescent="0.2">
      <c r="A132" s="642"/>
      <c r="B132" s="642"/>
      <c r="C132" s="642"/>
      <c r="D132" s="642"/>
      <c r="E132" s="642"/>
      <c r="F132" s="642"/>
      <c r="G132" s="642"/>
      <c r="H132" s="642"/>
      <c r="I132" s="642"/>
      <c r="J132" s="643"/>
      <c r="K132" s="213"/>
    </row>
    <row r="133" spans="1:11" s="26" customFormat="1" ht="0.95" customHeight="1" x14ac:dyDescent="0.2">
      <c r="A133" s="642"/>
      <c r="B133" s="642"/>
      <c r="C133" s="642"/>
      <c r="D133" s="642"/>
      <c r="E133" s="642"/>
      <c r="F133" s="642"/>
      <c r="G133" s="642"/>
      <c r="H133" s="642"/>
      <c r="I133" s="642"/>
      <c r="J133" s="643"/>
      <c r="K133" s="213"/>
    </row>
    <row r="134" spans="1:11" s="26" customFormat="1" ht="0.95" hidden="1" customHeight="1" x14ac:dyDescent="0.2">
      <c r="A134" s="642"/>
      <c r="B134" s="642"/>
      <c r="C134" s="642"/>
      <c r="D134" s="642"/>
      <c r="E134" s="642"/>
      <c r="F134" s="642"/>
      <c r="G134" s="642"/>
      <c r="H134" s="642"/>
      <c r="I134" s="642"/>
      <c r="J134" s="643"/>
      <c r="K134" s="213"/>
    </row>
    <row r="135" spans="1:11" s="26" customFormat="1" ht="18" customHeight="1" x14ac:dyDescent="0.2">
      <c r="A135" s="642" t="s">
        <v>522</v>
      </c>
      <c r="B135" s="642"/>
      <c r="C135" s="642"/>
      <c r="D135" s="642"/>
      <c r="E135" s="642"/>
      <c r="F135" s="642"/>
      <c r="G135" s="642"/>
      <c r="H135" s="642"/>
      <c r="I135" s="642"/>
      <c r="J135" s="643"/>
      <c r="K135" s="213"/>
    </row>
    <row r="136" spans="1:11" s="26" customFormat="1" ht="18" customHeight="1" x14ac:dyDescent="0.2">
      <c r="A136" s="642"/>
      <c r="B136" s="642"/>
      <c r="C136" s="642"/>
      <c r="D136" s="642"/>
      <c r="E136" s="642"/>
      <c r="F136" s="642"/>
      <c r="G136" s="642"/>
      <c r="H136" s="642"/>
      <c r="I136" s="642"/>
      <c r="J136" s="643"/>
      <c r="K136" s="213"/>
    </row>
    <row r="137" spans="1:11" s="26" customFormat="1" ht="18" customHeight="1" x14ac:dyDescent="0.2">
      <c r="A137" s="642"/>
      <c r="B137" s="642"/>
      <c r="C137" s="642"/>
      <c r="D137" s="642"/>
      <c r="E137" s="642"/>
      <c r="F137" s="642"/>
      <c r="G137" s="642"/>
      <c r="H137" s="642"/>
      <c r="I137" s="642"/>
      <c r="J137" s="643"/>
      <c r="K137" s="213"/>
    </row>
    <row r="138" spans="1:11" s="26" customFormat="1" ht="18" customHeight="1" x14ac:dyDescent="0.2">
      <c r="A138" s="642"/>
      <c r="B138" s="642"/>
      <c r="C138" s="642"/>
      <c r="D138" s="642"/>
      <c r="E138" s="642"/>
      <c r="F138" s="642"/>
      <c r="G138" s="642"/>
      <c r="H138" s="642"/>
      <c r="I138" s="642"/>
      <c r="J138" s="643"/>
      <c r="K138" s="213"/>
    </row>
    <row r="139" spans="1:11" s="26" customFormat="1" ht="17.100000000000001" customHeight="1" x14ac:dyDescent="0.2">
      <c r="A139" s="642" t="s">
        <v>406</v>
      </c>
      <c r="B139" s="642"/>
      <c r="C139" s="642"/>
      <c r="D139" s="642"/>
      <c r="E139" s="642"/>
      <c r="F139" s="642"/>
      <c r="G139" s="642"/>
      <c r="H139" s="642"/>
      <c r="I139" s="642"/>
      <c r="J139" s="643"/>
      <c r="K139" s="213"/>
    </row>
    <row r="140" spans="1:11" s="26" customFormat="1" ht="17.100000000000001" customHeight="1" x14ac:dyDescent="0.2">
      <c r="A140" s="642"/>
      <c r="B140" s="642"/>
      <c r="C140" s="642"/>
      <c r="D140" s="642"/>
      <c r="E140" s="642"/>
      <c r="F140" s="642"/>
      <c r="G140" s="642"/>
      <c r="H140" s="642"/>
      <c r="I140" s="642"/>
      <c r="J140" s="643"/>
      <c r="K140" s="213"/>
    </row>
    <row r="141" spans="1:11" s="26" customFormat="1" ht="17.100000000000001" customHeight="1" x14ac:dyDescent="0.2">
      <c r="A141" s="642"/>
      <c r="B141" s="642"/>
      <c r="C141" s="642"/>
      <c r="D141" s="642"/>
      <c r="E141" s="642"/>
      <c r="F141" s="642"/>
      <c r="G141" s="642"/>
      <c r="H141" s="642"/>
      <c r="I141" s="642"/>
      <c r="J141" s="643"/>
      <c r="K141" s="213"/>
    </row>
    <row r="142" spans="1:11" s="26" customFormat="1" ht="24.95" customHeight="1" x14ac:dyDescent="0.2">
      <c r="A142" s="642" t="s">
        <v>407</v>
      </c>
      <c r="B142" s="642"/>
      <c r="C142" s="642"/>
      <c r="D142" s="642"/>
      <c r="E142" s="642"/>
      <c r="F142" s="642"/>
      <c r="G142" s="642"/>
      <c r="H142" s="642"/>
      <c r="I142" s="642"/>
      <c r="J142" s="643"/>
      <c r="K142" s="213"/>
    </row>
    <row r="143" spans="1:11" s="26" customFormat="1" ht="24.95" customHeight="1" x14ac:dyDescent="0.2">
      <c r="A143" s="642"/>
      <c r="B143" s="642"/>
      <c r="C143" s="642"/>
      <c r="D143" s="642"/>
      <c r="E143" s="642"/>
      <c r="F143" s="642"/>
      <c r="G143" s="642"/>
      <c r="H143" s="642"/>
      <c r="I143" s="642"/>
      <c r="J143" s="643"/>
      <c r="K143" s="213"/>
    </row>
    <row r="144" spans="1:11" s="26" customFormat="1" ht="12" customHeight="1" x14ac:dyDescent="0.2">
      <c r="A144" s="640" t="s">
        <v>523</v>
      </c>
      <c r="B144" s="640"/>
      <c r="C144" s="640"/>
      <c r="D144" s="640"/>
      <c r="E144" s="640"/>
      <c r="F144" s="640"/>
      <c r="G144" s="640"/>
      <c r="H144" s="640"/>
      <c r="I144" s="640"/>
      <c r="J144" s="641"/>
      <c r="K144" s="213"/>
    </row>
    <row r="145" spans="1:11" s="26" customFormat="1" ht="12" customHeight="1" x14ac:dyDescent="0.2">
      <c r="A145" s="640"/>
      <c r="B145" s="640"/>
      <c r="C145" s="640"/>
      <c r="D145" s="640"/>
      <c r="E145" s="640"/>
      <c r="F145" s="640"/>
      <c r="G145" s="640"/>
      <c r="H145" s="640"/>
      <c r="I145" s="640"/>
      <c r="J145" s="641"/>
      <c r="K145" s="213"/>
    </row>
    <row r="146" spans="1:11" s="26" customFormat="1" ht="12" customHeight="1" x14ac:dyDescent="0.2">
      <c r="A146" s="640"/>
      <c r="B146" s="640"/>
      <c r="C146" s="640"/>
      <c r="D146" s="640"/>
      <c r="E146" s="640"/>
      <c r="F146" s="640"/>
      <c r="G146" s="640"/>
      <c r="H146" s="640"/>
      <c r="I146" s="640"/>
      <c r="J146" s="641"/>
      <c r="K146" s="213"/>
    </row>
    <row r="147" spans="1:11" s="26" customFormat="1" ht="12" customHeight="1" x14ac:dyDescent="0.2">
      <c r="A147" s="640"/>
      <c r="B147" s="640"/>
      <c r="C147" s="640"/>
      <c r="D147" s="640"/>
      <c r="E147" s="640"/>
      <c r="F147" s="640"/>
      <c r="G147" s="640"/>
      <c r="H147" s="640"/>
      <c r="I147" s="640"/>
      <c r="J147" s="641"/>
      <c r="K147" s="213"/>
    </row>
    <row r="148" spans="1:11" s="26" customFormat="1" ht="12" customHeight="1" x14ac:dyDescent="0.2">
      <c r="A148" s="640"/>
      <c r="B148" s="640"/>
      <c r="C148" s="640"/>
      <c r="D148" s="640"/>
      <c r="E148" s="640"/>
      <c r="F148" s="640"/>
      <c r="G148" s="640"/>
      <c r="H148" s="640"/>
      <c r="I148" s="640"/>
      <c r="J148" s="641"/>
      <c r="K148" s="213"/>
    </row>
  </sheetData>
  <mergeCells count="119">
    <mergeCell ref="C25:D25"/>
    <mergeCell ref="C14:D14"/>
    <mergeCell ref="C34:D34"/>
    <mergeCell ref="C15:D15"/>
    <mergeCell ref="C17:D17"/>
    <mergeCell ref="C26:D26"/>
    <mergeCell ref="C27:D27"/>
    <mergeCell ref="C28:D28"/>
    <mergeCell ref="C30:D30"/>
    <mergeCell ref="C31:D31"/>
    <mergeCell ref="A22:H22"/>
    <mergeCell ref="A2:I2"/>
    <mergeCell ref="C3:D3"/>
    <mergeCell ref="A23:A24"/>
    <mergeCell ref="B23:B24"/>
    <mergeCell ref="C23:D24"/>
    <mergeCell ref="E23:E24"/>
    <mergeCell ref="F23:F24"/>
    <mergeCell ref="G23:G24"/>
    <mergeCell ref="H23:H24"/>
    <mergeCell ref="A4:A9"/>
    <mergeCell ref="B4:B9"/>
    <mergeCell ref="C4:D6"/>
    <mergeCell ref="F4:F6"/>
    <mergeCell ref="H4:H18"/>
    <mergeCell ref="A10:A12"/>
    <mergeCell ref="B10:B12"/>
    <mergeCell ref="C10:D10"/>
    <mergeCell ref="F10:F12"/>
    <mergeCell ref="C11:D11"/>
    <mergeCell ref="C12:D12"/>
    <mergeCell ref="C7:D7"/>
    <mergeCell ref="F7:F9"/>
    <mergeCell ref="C8:D8"/>
    <mergeCell ref="C9:D9"/>
    <mergeCell ref="E61:F61"/>
    <mergeCell ref="C57:D57"/>
    <mergeCell ref="D72:D77"/>
    <mergeCell ref="A32:A34"/>
    <mergeCell ref="B32:B34"/>
    <mergeCell ref="C32:D32"/>
    <mergeCell ref="A13:A15"/>
    <mergeCell ref="B13:B15"/>
    <mergeCell ref="C13:D13"/>
    <mergeCell ref="F13:F15"/>
    <mergeCell ref="C33:D33"/>
    <mergeCell ref="A16:A18"/>
    <mergeCell ref="B16:B18"/>
    <mergeCell ref="C16:D16"/>
    <mergeCell ref="A29:A31"/>
    <mergeCell ref="B29:B31"/>
    <mergeCell ref="C29:D29"/>
    <mergeCell ref="A25:A28"/>
    <mergeCell ref="B25:B28"/>
    <mergeCell ref="C18:D18"/>
    <mergeCell ref="F16:F18"/>
    <mergeCell ref="A35:A37"/>
    <mergeCell ref="B35:B37"/>
    <mergeCell ref="C35:D35"/>
    <mergeCell ref="C37:D37"/>
    <mergeCell ref="C36:D36"/>
    <mergeCell ref="F25:F37"/>
    <mergeCell ref="G25:G37"/>
    <mergeCell ref="I41:J41"/>
    <mergeCell ref="I70:J70"/>
    <mergeCell ref="B81:F81"/>
    <mergeCell ref="F82:F83"/>
    <mergeCell ref="A144:J148"/>
    <mergeCell ref="A130:J134"/>
    <mergeCell ref="A135:J138"/>
    <mergeCell ref="A139:J141"/>
    <mergeCell ref="A142:J143"/>
    <mergeCell ref="A125:J127"/>
    <mergeCell ref="A119:J119"/>
    <mergeCell ref="A128:J129"/>
    <mergeCell ref="A120:J124"/>
    <mergeCell ref="C82:C83"/>
    <mergeCell ref="B82:B83"/>
    <mergeCell ref="D82:D83"/>
    <mergeCell ref="E82:E83"/>
    <mergeCell ref="B72:B77"/>
    <mergeCell ref="C72:C77"/>
    <mergeCell ref="E73:F73"/>
    <mergeCell ref="B69:B71"/>
    <mergeCell ref="G70:H70"/>
    <mergeCell ref="C70:C71"/>
    <mergeCell ref="D70:D71"/>
    <mergeCell ref="E69:F70"/>
    <mergeCell ref="E71:F71"/>
    <mergeCell ref="B68:F68"/>
    <mergeCell ref="B44:H44"/>
    <mergeCell ref="C59:C66"/>
    <mergeCell ref="D59:D66"/>
    <mergeCell ref="E47:F47"/>
    <mergeCell ref="E49:F49"/>
    <mergeCell ref="G67:H67"/>
    <mergeCell ref="B55:F55"/>
    <mergeCell ref="B56:F56"/>
    <mergeCell ref="B57:B58"/>
    <mergeCell ref="E57:F58"/>
    <mergeCell ref="B59:B66"/>
    <mergeCell ref="E67:F67"/>
    <mergeCell ref="C69:D69"/>
    <mergeCell ref="G46:H46"/>
    <mergeCell ref="B67:D67"/>
    <mergeCell ref="C47:C54"/>
    <mergeCell ref="D47:D54"/>
    <mergeCell ref="E59:F59"/>
    <mergeCell ref="I46:J46"/>
    <mergeCell ref="G45:J45"/>
    <mergeCell ref="B45:B46"/>
    <mergeCell ref="C45:D45"/>
    <mergeCell ref="E45:F46"/>
    <mergeCell ref="B47:B54"/>
    <mergeCell ref="B41:H42"/>
    <mergeCell ref="B43:H43"/>
    <mergeCell ref="G58:H58"/>
    <mergeCell ref="I58:J58"/>
    <mergeCell ref="I42:J42"/>
  </mergeCells>
  <hyperlinks>
    <hyperlink ref="A21" location="'1 Identificação e Parâmetros'!A27" display="RETORNAR AO INDICE GERAL" xr:uid="{00000000-0004-0000-0700-000000000000}"/>
    <hyperlink ref="B1" location="'1 Identificação e Parâmetros'!A26" display="RETORNAR AO INDICE GERAL" xr:uid="{00000000-0004-0000-0700-000001000000}"/>
    <hyperlink ref="B40" location="'1 Identificação e Parâmetros'!A28" display="RETORNAR AO INDICE GERAL" xr:uid="{00000000-0004-0000-0700-000002000000}"/>
    <hyperlink ref="A118" location="'1 Identificação e Parâmetros'!A30" display="RETORNAR AO INDICE GERAL" xr:uid="{00000000-0004-0000-0700-000003000000}"/>
    <hyperlink ref="B80" location="'1 Identificação e Parâmetros'!A29" display="RETORNAR AO INDICE GERAL" xr:uid="{00000000-0004-0000-0700-000004000000}"/>
  </hyperlinks>
  <printOptions horizontalCentered="1"/>
  <pageMargins left="0.51181102362204722" right="0.51181102362204722" top="0.78740157480314965" bottom="0.78740157480314965" header="0.31496062992125984" footer="0.31496062992125984"/>
  <pageSetup paperSize="9" scale="84" pageOrder="overThenDown" orientation="landscape" horizontalDpi="300" verticalDpi="300" r:id="rId1"/>
  <headerFooter>
    <oddHeader>Página &amp;P de &amp;N</oddHeader>
    <oddFooter>&amp;A</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D36"/>
  <sheetViews>
    <sheetView showGridLines="0" defaultGridColor="0" topLeftCell="A36" colorId="23" zoomScale="109" zoomScaleNormal="109" workbookViewId="0">
      <selection activeCell="B17" sqref="B17"/>
    </sheetView>
  </sheetViews>
  <sheetFormatPr defaultColWidth="9.140625" defaultRowHeight="14.25" x14ac:dyDescent="0.2"/>
  <cols>
    <col min="1" max="1" width="9.140625" style="7"/>
    <col min="2" max="2" width="10.42578125" style="10" customWidth="1"/>
    <col min="3" max="3" width="35.85546875" style="7" customWidth="1"/>
    <col min="4" max="4" width="102.85546875" style="7" customWidth="1"/>
    <col min="5" max="16384" width="9.140625" style="7"/>
  </cols>
  <sheetData>
    <row r="1" spans="1:4" s="15" customFormat="1" ht="30.95" customHeight="1" x14ac:dyDescent="0.25">
      <c r="A1" s="118" t="s">
        <v>526</v>
      </c>
      <c r="B1" s="99"/>
      <c r="C1" s="99"/>
      <c r="D1" s="119"/>
    </row>
    <row r="2" spans="1:4" ht="21" customHeight="1" x14ac:dyDescent="0.25">
      <c r="A2" s="120"/>
      <c r="B2" s="655" t="s">
        <v>346</v>
      </c>
      <c r="C2" s="656"/>
      <c r="D2" s="657"/>
    </row>
    <row r="3" spans="1:4" ht="21" customHeight="1" x14ac:dyDescent="0.25">
      <c r="A3" s="120"/>
      <c r="B3" s="655"/>
      <c r="C3" s="656"/>
      <c r="D3" s="657"/>
    </row>
    <row r="4" spans="1:4" s="9" customFormat="1" ht="24.95" customHeight="1" x14ac:dyDescent="0.25">
      <c r="A4" s="121"/>
      <c r="B4" s="319" t="s">
        <v>226</v>
      </c>
      <c r="C4" s="122" t="s">
        <v>227</v>
      </c>
      <c r="D4" s="317" t="s">
        <v>228</v>
      </c>
    </row>
    <row r="5" spans="1:4" ht="66" customHeight="1" x14ac:dyDescent="0.2">
      <c r="A5" s="117"/>
      <c r="B5" s="320">
        <v>1</v>
      </c>
      <c r="C5" s="46" t="s">
        <v>263</v>
      </c>
      <c r="D5" s="318" t="s">
        <v>366</v>
      </c>
    </row>
    <row r="6" spans="1:4" ht="66" customHeight="1" x14ac:dyDescent="0.2">
      <c r="A6" s="117"/>
      <c r="B6" s="320">
        <v>2</v>
      </c>
      <c r="C6" s="46" t="s">
        <v>252</v>
      </c>
      <c r="D6" s="318" t="s">
        <v>367</v>
      </c>
    </row>
    <row r="7" spans="1:4" ht="66" customHeight="1" x14ac:dyDescent="0.2">
      <c r="A7" s="117"/>
      <c r="B7" s="320">
        <v>3</v>
      </c>
      <c r="C7" s="46" t="s">
        <v>368</v>
      </c>
      <c r="D7" s="318" t="s">
        <v>369</v>
      </c>
    </row>
    <row r="8" spans="1:4" ht="66" customHeight="1" x14ac:dyDescent="0.2">
      <c r="A8" s="117"/>
      <c r="B8" s="320">
        <v>4</v>
      </c>
      <c r="C8" s="46" t="s">
        <v>235</v>
      </c>
      <c r="D8" s="318" t="s">
        <v>265</v>
      </c>
    </row>
    <row r="9" spans="1:4" ht="66" customHeight="1" x14ac:dyDescent="0.2">
      <c r="A9" s="117"/>
      <c r="B9" s="320">
        <v>5</v>
      </c>
      <c r="C9" s="46" t="s">
        <v>233</v>
      </c>
      <c r="D9" s="318" t="s">
        <v>234</v>
      </c>
    </row>
    <row r="10" spans="1:4" ht="66" customHeight="1" x14ac:dyDescent="0.2">
      <c r="A10" s="117"/>
      <c r="B10" s="320">
        <v>6</v>
      </c>
      <c r="C10" s="46" t="s">
        <v>370</v>
      </c>
      <c r="D10" s="318" t="s">
        <v>260</v>
      </c>
    </row>
    <row r="11" spans="1:4" ht="66" customHeight="1" x14ac:dyDescent="0.2">
      <c r="A11" s="117"/>
      <c r="B11" s="320">
        <v>7</v>
      </c>
      <c r="C11" s="46" t="s">
        <v>259</v>
      </c>
      <c r="D11" s="318" t="s">
        <v>371</v>
      </c>
    </row>
    <row r="12" spans="1:4" ht="66" customHeight="1" x14ac:dyDescent="0.2">
      <c r="A12" s="117"/>
      <c r="B12" s="320">
        <v>8</v>
      </c>
      <c r="C12" s="46" t="s">
        <v>372</v>
      </c>
      <c r="D12" s="318" t="s">
        <v>373</v>
      </c>
    </row>
    <row r="13" spans="1:4" ht="66" customHeight="1" x14ac:dyDescent="0.2">
      <c r="A13" s="117"/>
      <c r="B13" s="320">
        <v>9</v>
      </c>
      <c r="C13" s="46" t="s">
        <v>374</v>
      </c>
      <c r="D13" s="318" t="s">
        <v>375</v>
      </c>
    </row>
    <row r="14" spans="1:4" ht="66" customHeight="1" x14ac:dyDescent="0.2">
      <c r="A14" s="117"/>
      <c r="B14" s="320">
        <v>10</v>
      </c>
      <c r="C14" s="46" t="s">
        <v>264</v>
      </c>
      <c r="D14" s="318" t="s">
        <v>376</v>
      </c>
    </row>
    <row r="15" spans="1:4" ht="99.95" customHeight="1" x14ac:dyDescent="0.2">
      <c r="A15" s="117"/>
      <c r="B15" s="320">
        <v>11</v>
      </c>
      <c r="C15" s="46" t="s">
        <v>230</v>
      </c>
      <c r="D15" s="318" t="s">
        <v>377</v>
      </c>
    </row>
    <row r="16" spans="1:4" ht="66" customHeight="1" x14ac:dyDescent="0.2">
      <c r="A16" s="117"/>
      <c r="B16" s="320">
        <v>12</v>
      </c>
      <c r="C16" s="46" t="s">
        <v>254</v>
      </c>
      <c r="D16" s="318" t="s">
        <v>378</v>
      </c>
    </row>
    <row r="17" spans="1:4" ht="66" customHeight="1" x14ac:dyDescent="0.2">
      <c r="A17" s="117"/>
      <c r="B17" s="320">
        <v>13</v>
      </c>
      <c r="C17" s="46" t="s">
        <v>250</v>
      </c>
      <c r="D17" s="318" t="s">
        <v>251</v>
      </c>
    </row>
    <row r="18" spans="1:4" ht="72" customHeight="1" x14ac:dyDescent="0.2">
      <c r="A18" s="117"/>
      <c r="B18" s="320">
        <v>14</v>
      </c>
      <c r="C18" s="46" t="s">
        <v>249</v>
      </c>
      <c r="D18" s="318" t="s">
        <v>379</v>
      </c>
    </row>
    <row r="19" spans="1:4" ht="66" customHeight="1" x14ac:dyDescent="0.2">
      <c r="A19" s="117"/>
      <c r="B19" s="320">
        <v>15</v>
      </c>
      <c r="C19" s="46" t="s">
        <v>257</v>
      </c>
      <c r="D19" s="318" t="s">
        <v>258</v>
      </c>
    </row>
    <row r="20" spans="1:4" ht="66" customHeight="1" x14ac:dyDescent="0.2">
      <c r="A20" s="117"/>
      <c r="B20" s="320">
        <v>16</v>
      </c>
      <c r="C20" s="46" t="s">
        <v>380</v>
      </c>
      <c r="D20" s="318" t="s">
        <v>381</v>
      </c>
    </row>
    <row r="21" spans="1:4" ht="66" customHeight="1" x14ac:dyDescent="0.2">
      <c r="A21" s="117"/>
      <c r="B21" s="320">
        <v>17</v>
      </c>
      <c r="C21" s="46" t="s">
        <v>255</v>
      </c>
      <c r="D21" s="318" t="s">
        <v>382</v>
      </c>
    </row>
    <row r="22" spans="1:4" ht="66" customHeight="1" x14ac:dyDescent="0.2">
      <c r="A22" s="117"/>
      <c r="B22" s="320">
        <v>18</v>
      </c>
      <c r="C22" s="46" t="s">
        <v>256</v>
      </c>
      <c r="D22" s="318" t="s">
        <v>383</v>
      </c>
    </row>
    <row r="23" spans="1:4" ht="95.1" customHeight="1" x14ac:dyDescent="0.2">
      <c r="A23" s="117"/>
      <c r="B23" s="320">
        <v>19</v>
      </c>
      <c r="C23" s="46" t="s">
        <v>232</v>
      </c>
      <c r="D23" s="318" t="s">
        <v>384</v>
      </c>
    </row>
    <row r="24" spans="1:4" ht="66" customHeight="1" x14ac:dyDescent="0.2">
      <c r="A24" s="117"/>
      <c r="B24" s="320">
        <v>20</v>
      </c>
      <c r="C24" s="46" t="s">
        <v>276</v>
      </c>
      <c r="D24" s="318" t="s">
        <v>385</v>
      </c>
    </row>
    <row r="25" spans="1:4" ht="66" customHeight="1" x14ac:dyDescent="0.2">
      <c r="A25" s="117"/>
      <c r="B25" s="320"/>
      <c r="C25" s="46" t="s">
        <v>287</v>
      </c>
      <c r="D25" s="318" t="s">
        <v>288</v>
      </c>
    </row>
    <row r="26" spans="1:4" ht="66" customHeight="1" x14ac:dyDescent="0.2">
      <c r="A26" s="117"/>
      <c r="B26" s="320">
        <v>21</v>
      </c>
      <c r="C26" s="46" t="s">
        <v>231</v>
      </c>
      <c r="D26" s="318" t="s">
        <v>386</v>
      </c>
    </row>
    <row r="27" spans="1:4" ht="66" customHeight="1" x14ac:dyDescent="0.2">
      <c r="A27" s="117"/>
      <c r="B27" s="320">
        <v>22</v>
      </c>
      <c r="C27" s="46" t="s">
        <v>229</v>
      </c>
      <c r="D27" s="318" t="s">
        <v>387</v>
      </c>
    </row>
    <row r="28" spans="1:4" ht="90" customHeight="1" x14ac:dyDescent="0.2">
      <c r="A28" s="117"/>
      <c r="B28" s="320">
        <v>23</v>
      </c>
      <c r="C28" s="46" t="s">
        <v>277</v>
      </c>
      <c r="D28" s="318" t="s">
        <v>524</v>
      </c>
    </row>
    <row r="29" spans="1:4" ht="72" customHeight="1" x14ac:dyDescent="0.2">
      <c r="A29" s="117"/>
      <c r="B29" s="320">
        <v>24</v>
      </c>
      <c r="C29" s="46" t="s">
        <v>253</v>
      </c>
      <c r="D29" s="318" t="s">
        <v>388</v>
      </c>
    </row>
    <row r="30" spans="1:4" ht="66" customHeight="1" x14ac:dyDescent="0.2">
      <c r="A30" s="117"/>
      <c r="B30" s="320">
        <v>25</v>
      </c>
      <c r="C30" s="46" t="s">
        <v>327</v>
      </c>
      <c r="D30" s="318" t="s">
        <v>389</v>
      </c>
    </row>
    <row r="31" spans="1:4" ht="66" customHeight="1" x14ac:dyDescent="0.2">
      <c r="A31" s="117"/>
      <c r="B31" s="320">
        <v>26</v>
      </c>
      <c r="C31" s="46" t="s">
        <v>390</v>
      </c>
      <c r="D31" s="318" t="s">
        <v>328</v>
      </c>
    </row>
    <row r="32" spans="1:4" ht="66" customHeight="1" x14ac:dyDescent="0.2">
      <c r="A32" s="117"/>
      <c r="B32" s="320">
        <v>27</v>
      </c>
      <c r="C32" s="46" t="s">
        <v>391</v>
      </c>
      <c r="D32" s="318" t="s">
        <v>392</v>
      </c>
    </row>
    <row r="33" spans="1:4" ht="146.1" customHeight="1" x14ac:dyDescent="0.2">
      <c r="A33" s="117"/>
      <c r="B33" s="320">
        <v>28</v>
      </c>
      <c r="C33" s="46" t="s">
        <v>393</v>
      </c>
      <c r="D33" s="318" t="s">
        <v>525</v>
      </c>
    </row>
    <row r="34" spans="1:4" ht="66" customHeight="1" x14ac:dyDescent="0.2">
      <c r="A34" s="117"/>
      <c r="B34" s="320">
        <v>29</v>
      </c>
      <c r="C34" s="46" t="s">
        <v>261</v>
      </c>
      <c r="D34" s="318" t="s">
        <v>394</v>
      </c>
    </row>
    <row r="35" spans="1:4" ht="66" customHeight="1" x14ac:dyDescent="0.2">
      <c r="A35" s="117"/>
      <c r="B35" s="320">
        <v>30</v>
      </c>
      <c r="C35" s="46" t="s">
        <v>278</v>
      </c>
      <c r="D35" s="318" t="s">
        <v>286</v>
      </c>
    </row>
    <row r="36" spans="1:4" ht="66" customHeight="1" x14ac:dyDescent="0.2">
      <c r="A36" s="117"/>
      <c r="B36" s="320">
        <v>31</v>
      </c>
      <c r="C36" s="46" t="s">
        <v>162</v>
      </c>
      <c r="D36" s="318" t="s">
        <v>395</v>
      </c>
    </row>
  </sheetData>
  <sortState xmlns:xlrd2="http://schemas.microsoft.com/office/spreadsheetml/2017/richdata2" ref="C5:D36">
    <sortCondition ref="C5:C36"/>
  </sortState>
  <mergeCells count="1">
    <mergeCell ref="B2:D3"/>
  </mergeCells>
  <hyperlinks>
    <hyperlink ref="A1" location="'1 Identificação e Parâmetros'!A31" display="RETORNAR para o Índice" xr:uid="{00000000-0004-0000-0800-000000000000}"/>
  </hyperlinks>
  <pageMargins left="0.511811024" right="0.511811024" top="0.78740157499999996" bottom="0.78740157499999996" header="0.31496062000000002" footer="0.3149606200000000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B1D1878DB1335499DDB13F3A4C3009B" ma:contentTypeVersion="12" ma:contentTypeDescription="Crie um novo documento." ma:contentTypeScope="" ma:versionID="8a8f9ccbc17fced5146d58002aed2371">
  <xsd:schema xmlns:xsd="http://www.w3.org/2001/XMLSchema" xmlns:xs="http://www.w3.org/2001/XMLSchema" xmlns:p="http://schemas.microsoft.com/office/2006/metadata/properties" xmlns:ns2="388ba771-cdb3-4ab4-b105-079ba08c4720" xmlns:ns3="eabf0ec1-5846-45d3-901d-efa415327165" targetNamespace="http://schemas.microsoft.com/office/2006/metadata/properties" ma:root="true" ma:fieldsID="d768f6396769abadc02c7ac2a7855a0e" ns2:_="" ns3:_="">
    <xsd:import namespace="388ba771-cdb3-4ab4-b105-079ba08c4720"/>
    <xsd:import namespace="eabf0ec1-5846-45d3-901d-efa41532716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8ba771-cdb3-4ab4-b105-079ba08c47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bf0ec1-5846-45d3-901d-efa415327165"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CDA6EC-1C64-45A1-B99D-76C29B42AD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8ba771-cdb3-4ab4-b105-079ba08c4720"/>
    <ds:schemaRef ds:uri="eabf0ec1-5846-45d3-901d-efa4153271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A3681EE-7DFA-4B59-9643-F1598170D6C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D53A9E5-EB8F-4AB9-89E5-5D16241EFF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10</vt:i4>
      </vt:variant>
      <vt:variant>
        <vt:lpstr>Intervalos Nomeados</vt:lpstr>
      </vt:variant>
      <vt:variant>
        <vt:i4>8</vt:i4>
      </vt:variant>
    </vt:vector>
  </HeadingPairs>
  <TitlesOfParts>
    <vt:vector size="18" baseType="lpstr">
      <vt:lpstr>0 Orientações Gerais</vt:lpstr>
      <vt:lpstr>1 Identificação e Parâmetros</vt:lpstr>
      <vt:lpstr>2 DadosFinanServRSU</vt:lpstr>
      <vt:lpstr>3 Dados-Complementares</vt:lpstr>
      <vt:lpstr>4 Dados Cadastrais-USUÁRIOS</vt:lpstr>
      <vt:lpstr>5.1 CalcCustoVBC-Completo</vt:lpstr>
      <vt:lpstr>5.2 CalcCustoVBC-Simplificado</vt:lpstr>
      <vt:lpstr>6 Tabelas-Taxas_PreçosUnitários</vt:lpstr>
      <vt:lpstr>7 Glossário</vt:lpstr>
      <vt:lpstr>8 OrientaçõesTabelasAuxiliares</vt:lpstr>
      <vt:lpstr>'0 Orientações Gerais'!Area_de_impressao</vt:lpstr>
      <vt:lpstr>'1 Identificação e Parâmetros'!Area_de_impressao</vt:lpstr>
      <vt:lpstr>'2 DadosFinanServRSU'!Area_de_impressao</vt:lpstr>
      <vt:lpstr>'3 Dados-Complementares'!Area_de_impressao</vt:lpstr>
      <vt:lpstr>'5.1 CalcCustoVBC-Completo'!Area_de_impressao</vt:lpstr>
      <vt:lpstr>'5.2 CalcCustoVBC-Simplificado'!Area_de_impressao</vt:lpstr>
      <vt:lpstr>'6 Tabelas-Taxas_PreçosUnitários'!Area_de_impressao</vt:lpstr>
      <vt:lpstr>'2 DadosFinanServRSU'!Titulos_de_impressao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Metodologia de cálculo de taxas e preços públicos - serviços de manejo de RSU</dc:title>
  <dc:creator>João</dc:creator>
  <cp:lastModifiedBy>Mariana Silva</cp:lastModifiedBy>
  <cp:lastPrinted>2020-09-04T19:16:43Z</cp:lastPrinted>
  <dcterms:created xsi:type="dcterms:W3CDTF">2016-03-08T23:39:47Z</dcterms:created>
  <dcterms:modified xsi:type="dcterms:W3CDTF">2021-03-09T18:08:11Z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0x0101003B1D1878DB1335499DDB13F3A4C3009B</vt:lpwstr>
  </property>
</Properties>
</file>