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60" tabRatio="592" activeTab="0"/>
  </bookViews>
  <sheets>
    <sheet name="T3.30" sheetId="1" r:id="rId1"/>
  </sheets>
  <definedNames>
    <definedName name="_Fill" hidden="1">'T3.30'!#REF!</definedName>
    <definedName name="_xlnm.Print_Area" localSheetId="0">'T3.30'!$A$1:$M$39</definedName>
    <definedName name="_xlnm.Print_Titles" localSheetId="0">'T3.30'!$A:$A</definedName>
    <definedName name="Títulos_impressão_IM" localSheetId="0">'T3.30'!$A:$A</definedName>
  </definedNames>
  <calcPr fullCalcOnLoad="1"/>
</workbook>
</file>

<file path=xl/sharedStrings.xml><?xml version="1.0" encoding="utf-8"?>
<sst xmlns="http://schemas.openxmlformats.org/spreadsheetml/2006/main" count="32" uniqueCount="32">
  <si>
    <t>Região Nordeste</t>
  </si>
  <si>
    <t>Paraíba</t>
  </si>
  <si>
    <t>Alagoas</t>
  </si>
  <si>
    <t>Região Sudeste</t>
  </si>
  <si>
    <t>Espírito Santo</t>
  </si>
  <si>
    <t>Minas Gerais</t>
  </si>
  <si>
    <t>Região Sul</t>
  </si>
  <si>
    <t>Santa Catarina</t>
  </si>
  <si>
    <t>Região Centro-Oeste</t>
  </si>
  <si>
    <t>Região Norte</t>
  </si>
  <si>
    <t>Brasil</t>
  </si>
  <si>
    <t>Maranhão</t>
  </si>
  <si>
    <r>
      <t>Rio de Janeiro</t>
    </r>
    <r>
      <rPr>
        <vertAlign val="superscript"/>
        <sz val="7"/>
        <rFont val="Helvetica Neue"/>
        <family val="0"/>
      </rPr>
      <t>1</t>
    </r>
  </si>
  <si>
    <r>
      <t>São Paulo</t>
    </r>
    <r>
      <rPr>
        <vertAlign val="superscript"/>
        <sz val="7"/>
        <rFont val="Helvetica Neue"/>
        <family val="0"/>
      </rPr>
      <t>1</t>
    </r>
  </si>
  <si>
    <r>
      <t>Paraná</t>
    </r>
    <r>
      <rPr>
        <vertAlign val="superscript"/>
        <sz val="7"/>
        <rFont val="Helvetica Neue"/>
        <family val="0"/>
      </rPr>
      <t>1</t>
    </r>
  </si>
  <si>
    <r>
      <t>Rio Grande do Sul</t>
    </r>
    <r>
      <rPr>
        <vertAlign val="superscript"/>
        <sz val="7"/>
        <rFont val="Helvetica Neue"/>
        <family val="0"/>
      </rPr>
      <t>1</t>
    </r>
  </si>
  <si>
    <r>
      <t>Mato Grosso do Sul</t>
    </r>
    <r>
      <rPr>
        <vertAlign val="superscript"/>
        <sz val="7"/>
        <rFont val="Helvetica Neue"/>
        <family val="0"/>
      </rPr>
      <t>1</t>
    </r>
  </si>
  <si>
    <r>
      <t>Mato Grosso</t>
    </r>
    <r>
      <rPr>
        <vertAlign val="superscript"/>
        <sz val="7"/>
        <rFont val="Helvetica Neue"/>
        <family val="0"/>
      </rPr>
      <t>1</t>
    </r>
  </si>
  <si>
    <r>
      <t>Ceará</t>
    </r>
    <r>
      <rPr>
        <vertAlign val="superscript"/>
        <sz val="7"/>
        <rFont val="Helvetica Neue"/>
        <family val="0"/>
      </rPr>
      <t>1</t>
    </r>
  </si>
  <si>
    <r>
      <t>Rio Grande do Norte</t>
    </r>
    <r>
      <rPr>
        <vertAlign val="superscript"/>
        <sz val="7"/>
        <rFont val="Helvetica Neue"/>
        <family val="0"/>
      </rPr>
      <t>1</t>
    </r>
  </si>
  <si>
    <r>
      <t>Bahia</t>
    </r>
    <r>
      <rPr>
        <vertAlign val="superscript"/>
        <sz val="7"/>
        <rFont val="Helvetica Neue"/>
        <family val="2"/>
      </rPr>
      <t>1, 2</t>
    </r>
  </si>
  <si>
    <t>Fontes: Petrobras, importadores e ANP.</t>
  </si>
  <si>
    <r>
      <t>Vendas de gás natural pelos produtores e importadores (milhões de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</si>
  <si>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r>
      <t>Amazonas</t>
    </r>
    <r>
      <rPr>
        <vertAlign val="superscript"/>
        <sz val="7"/>
        <rFont val="Helvetica Neue"/>
        <family val="0"/>
      </rPr>
      <t>1</t>
    </r>
  </si>
  <si>
    <r>
      <t>Pernambuco</t>
    </r>
    <r>
      <rPr>
        <vertAlign val="superscript"/>
        <sz val="7"/>
        <rFont val="Helvetica Neue"/>
        <family val="0"/>
      </rPr>
      <t>1</t>
    </r>
  </si>
  <si>
    <r>
      <t>Sergipe</t>
    </r>
    <r>
      <rPr>
        <vertAlign val="superscript"/>
        <sz val="7"/>
        <rFont val="Helvetica Neue"/>
        <family val="0"/>
      </rPr>
      <t>1,2</t>
    </r>
  </si>
  <si>
    <r>
      <rPr>
        <sz val="7"/>
        <rFont val="Helvetica Neue"/>
        <family val="0"/>
      </rPr>
      <t xml:space="preserve"> </t>
    </r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 xml:space="preserve">Inclui as vendas para geração térmica.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>Inclui vendas para consumidores finais.</t>
    </r>
  </si>
  <si>
    <t>22/21
%</t>
  </si>
  <si>
    <t>da Federação – 2013-2022</t>
  </si>
  <si>
    <t xml:space="preserve">Tabela 3.30 – Vendas de gás natural, pelos produtores e importadores, segundo grandes regiões e unidades </t>
  </si>
  <si>
    <t>Grandes regiões e unidades da Federação</t>
  </si>
  <si>
    <r>
      <t>Nota: Estão relacionadas apenas as grandes regiões e as unidades da Federação nas quais houve vendas de gás natural no período especificado.</t>
    </r>
    <r>
      <rPr>
        <vertAlign val="superscript"/>
        <sz val="7"/>
        <rFont val="Helvetica Neue"/>
        <family val="0"/>
      </rPr>
      <t xml:space="preserve"> </t>
    </r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</si>
</sst>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#,##0.000"/>
    <numFmt numFmtId="188" formatCode="0.0"/>
    <numFmt numFmtId="189" formatCode="0.0000"/>
    <numFmt numFmtId="190" formatCode="_(* #,##0.000_);_(* \(#,##0.000\);_(* &quot;-&quot;??_);_(@_)"/>
    <numFmt numFmtId="191" formatCode="_(* #,##0.000_);_(* \(#,##0.000\);_(* &quot;-&quot;???_);_(@_)"/>
    <numFmt numFmtId="192" formatCode="0.0%"/>
    <numFmt numFmtId="193" formatCode="_-* #,##0.000_-;\-* #,##0.000_-;_-* &quot;-&quot;???_-;_-@_-"/>
  </numFmts>
  <fonts count="4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0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85" fontId="7" fillId="0" borderId="0" xfId="61" applyNumberFormat="1" applyFont="1" applyFill="1" applyBorder="1" applyAlignment="1" applyProtection="1">
      <alignment horizontal="right" vertical="center" wrapText="1"/>
      <protection/>
    </xf>
    <xf numFmtId="4" fontId="7" fillId="0" borderId="0" xfId="61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>
      <alignment horizontal="left" vertical="center"/>
    </xf>
    <xf numFmtId="185" fontId="6" fillId="0" borderId="0" xfId="61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185" fontId="6" fillId="0" borderId="0" xfId="61" applyNumberFormat="1" applyFont="1" applyFill="1" applyBorder="1" applyAlignment="1">
      <alignment vertical="center"/>
    </xf>
    <xf numFmtId="4" fontId="6" fillId="0" borderId="0" xfId="61" applyNumberFormat="1" applyFont="1" applyFill="1" applyBorder="1" applyAlignment="1" applyProtection="1">
      <alignment horizontal="right" vertical="center" wrapText="1"/>
      <protection/>
    </xf>
    <xf numFmtId="185" fontId="6" fillId="0" borderId="0" xfId="61" applyNumberFormat="1" applyFont="1" applyFill="1" applyBorder="1" applyAlignment="1" applyProtection="1">
      <alignment horizontal="right" vertical="center" wrapText="1"/>
      <protection/>
    </xf>
    <xf numFmtId="4" fontId="6" fillId="0" borderId="0" xfId="0" applyNumberFormat="1" applyFont="1" applyFill="1" applyBorder="1" applyAlignment="1" applyProtection="1">
      <alignment horizontal="right" vertical="center" wrapText="1"/>
      <protection/>
    </xf>
    <xf numFmtId="185" fontId="6" fillId="0" borderId="0" xfId="61" applyNumberFormat="1" applyFont="1" applyFill="1" applyBorder="1" applyAlignment="1">
      <alignment horizontal="right" vertical="center"/>
    </xf>
    <xf numFmtId="185" fontId="7" fillId="0" borderId="0" xfId="61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/>
    </xf>
    <xf numFmtId="37" fontId="6" fillId="0" borderId="11" xfId="0" applyNumberFormat="1" applyFont="1" applyFill="1" applyBorder="1" applyAlignment="1" applyProtection="1">
      <alignment horizontal="center" vertical="center"/>
      <protection/>
    </xf>
    <xf numFmtId="37" fontId="6" fillId="0" borderId="11" xfId="0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horizontal="left" vertical="center"/>
    </xf>
    <xf numFmtId="37" fontId="6" fillId="0" borderId="0" xfId="0" applyNumberFormat="1" applyFont="1" applyFill="1" applyBorder="1" applyAlignment="1">
      <alignment vertical="center"/>
    </xf>
    <xf numFmtId="37" fontId="6" fillId="0" borderId="0" xfId="0" applyNumberFormat="1" applyFont="1" applyFill="1" applyBorder="1" applyAlignment="1" applyProtection="1">
      <alignment horizontal="left" vertical="center"/>
      <protection/>
    </xf>
    <xf numFmtId="0" fontId="6" fillId="35" borderId="0" xfId="0" applyFont="1" applyFill="1" applyAlignment="1">
      <alignment vertical="center"/>
    </xf>
    <xf numFmtId="0" fontId="6" fillId="35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fill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37" fontId="6" fillId="0" borderId="0" xfId="0" applyNumberFormat="1" applyFont="1" applyAlignment="1" applyProtection="1">
      <alignment vertical="center"/>
      <protection locked="0"/>
    </xf>
    <xf numFmtId="37" fontId="6" fillId="0" borderId="0" xfId="0" applyNumberFormat="1" applyFont="1" applyAlignment="1" applyProtection="1">
      <alignment horizontal="center" vertical="center"/>
      <protection locked="0"/>
    </xf>
    <xf numFmtId="37" fontId="6" fillId="0" borderId="0" xfId="0" applyNumberFormat="1" applyFont="1" applyAlignment="1" applyProtection="1">
      <alignment vertical="center"/>
      <protection/>
    </xf>
    <xf numFmtId="37" fontId="6" fillId="0" borderId="0" xfId="0" applyNumberFormat="1" applyFont="1" applyAlignment="1" applyProtection="1">
      <alignment horizontal="fill" vertical="center"/>
      <protection/>
    </xf>
    <xf numFmtId="37" fontId="6" fillId="0" borderId="0" xfId="0" applyNumberFormat="1" applyFont="1" applyAlignment="1" applyProtection="1">
      <alignment horizontal="fill" vertical="center"/>
      <protection locked="0"/>
    </xf>
    <xf numFmtId="0" fontId="10" fillId="0" borderId="0" xfId="0" applyFont="1" applyFill="1" applyBorder="1" applyAlignment="1">
      <alignment vertical="center"/>
    </xf>
    <xf numFmtId="37" fontId="10" fillId="0" borderId="0" xfId="0" applyNumberFormat="1" applyFont="1" applyFill="1" applyBorder="1" applyAlignment="1" applyProtection="1">
      <alignment horizontal="center"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37" fontId="10" fillId="0" borderId="0" xfId="0" applyNumberFormat="1" applyFont="1" applyFill="1" applyBorder="1" applyAlignment="1">
      <alignment vertical="center"/>
    </xf>
    <xf numFmtId="185" fontId="6" fillId="0" borderId="0" xfId="6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85" fontId="6" fillId="0" borderId="0" xfId="0" applyNumberFormat="1" applyFont="1" applyFill="1" applyBorder="1" applyAlignment="1">
      <alignment vertical="center"/>
    </xf>
    <xf numFmtId="189" fontId="6" fillId="0" borderId="0" xfId="0" applyNumberFormat="1" applyFont="1" applyAlignment="1">
      <alignment vertical="center"/>
    </xf>
    <xf numFmtId="189" fontId="6" fillId="33" borderId="0" xfId="0" applyNumberFormat="1" applyFont="1" applyFill="1" applyAlignment="1">
      <alignment vertical="center"/>
    </xf>
    <xf numFmtId="189" fontId="6" fillId="0" borderId="0" xfId="0" applyNumberFormat="1" applyFont="1" applyFill="1" applyBorder="1" applyAlignment="1">
      <alignment vertical="center"/>
    </xf>
    <xf numFmtId="189" fontId="6" fillId="0" borderId="0" xfId="0" applyNumberFormat="1" applyFont="1" applyAlignment="1">
      <alignment horizontal="center" vertical="center"/>
    </xf>
    <xf numFmtId="4" fontId="6" fillId="0" borderId="0" xfId="61" applyNumberFormat="1" applyFont="1" applyFill="1" applyBorder="1" applyAlignment="1" applyProtection="1">
      <alignment horizontal="right" vertical="center" wrapText="1"/>
      <protection/>
    </xf>
    <xf numFmtId="190" fontId="6" fillId="0" borderId="0" xfId="61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190" fontId="6" fillId="0" borderId="0" xfId="61" applyNumberFormat="1" applyFont="1" applyFill="1" applyBorder="1" applyAlignment="1" applyProtection="1">
      <alignment horizontal="right" vertical="center" wrapText="1"/>
      <protection/>
    </xf>
    <xf numFmtId="186" fontId="6" fillId="0" borderId="0" xfId="61" applyNumberFormat="1" applyFont="1" applyFill="1" applyBorder="1" applyAlignment="1" applyProtection="1">
      <alignment horizontal="right" vertical="center" wrapText="1"/>
      <protection/>
    </xf>
    <xf numFmtId="190" fontId="6" fillId="0" borderId="0" xfId="61" applyNumberFormat="1" applyFont="1" applyFill="1" applyBorder="1" applyAlignment="1">
      <alignment vertical="center"/>
    </xf>
    <xf numFmtId="4" fontId="7" fillId="0" borderId="0" xfId="61" applyNumberFormat="1" applyFont="1" applyFill="1" applyBorder="1" applyAlignment="1" applyProtection="1">
      <alignment horizontal="right" vertical="center" wrapText="1"/>
      <protection/>
    </xf>
    <xf numFmtId="184" fontId="6" fillId="0" borderId="0" xfId="0" applyNumberFormat="1" applyFont="1" applyFill="1" applyBorder="1" applyAlignment="1">
      <alignment vertical="center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Q119"/>
  <sheetViews>
    <sheetView showGridLines="0" tabSelected="1" zoomScalePageLayoutView="0" workbookViewId="0" topLeftCell="A1">
      <selection activeCell="A3" sqref="A3"/>
    </sheetView>
  </sheetViews>
  <sheetFormatPr defaultColWidth="10.6640625" defaultRowHeight="15"/>
  <cols>
    <col min="1" max="1" width="15.4453125" style="29" customWidth="1"/>
    <col min="2" max="7" width="5.3359375" style="1" customWidth="1"/>
    <col min="8" max="11" width="5.3359375" style="28" customWidth="1"/>
    <col min="12" max="12" width="5.3359375" style="1" customWidth="1"/>
    <col min="13" max="13" width="1.88671875" style="46" customWidth="1"/>
    <col min="14" max="16384" width="10.6640625" style="1" customWidth="1"/>
  </cols>
  <sheetData>
    <row r="1" spans="1:12" ht="12.75" customHeight="1">
      <c r="A1" s="53" t="s">
        <v>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2.75" customHeight="1">
      <c r="A2" s="53" t="s">
        <v>28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3" s="4" customFormat="1" ht="7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7"/>
    </row>
    <row r="4" spans="1:13" s="4" customFormat="1" ht="10.5" customHeight="1">
      <c r="A4" s="59" t="s">
        <v>30</v>
      </c>
      <c r="B4" s="63" t="s">
        <v>22</v>
      </c>
      <c r="C4" s="64"/>
      <c r="D4" s="64"/>
      <c r="E4" s="64"/>
      <c r="F4" s="64"/>
      <c r="G4" s="64"/>
      <c r="H4" s="64"/>
      <c r="I4" s="64"/>
      <c r="J4" s="64"/>
      <c r="K4" s="65"/>
      <c r="L4" s="61" t="s">
        <v>27</v>
      </c>
      <c r="M4" s="47"/>
    </row>
    <row r="5" spans="1:13" s="4" customFormat="1" ht="10.5" customHeight="1">
      <c r="A5" s="60"/>
      <c r="B5" s="5">
        <v>2013</v>
      </c>
      <c r="C5" s="5">
        <v>2014</v>
      </c>
      <c r="D5" s="5">
        <v>2015</v>
      </c>
      <c r="E5" s="5">
        <v>2016</v>
      </c>
      <c r="F5" s="5">
        <v>2017</v>
      </c>
      <c r="G5" s="5">
        <v>2018</v>
      </c>
      <c r="H5" s="5">
        <v>2019</v>
      </c>
      <c r="I5" s="5">
        <v>2020</v>
      </c>
      <c r="J5" s="5">
        <v>2021</v>
      </c>
      <c r="K5" s="5">
        <v>2022</v>
      </c>
      <c r="L5" s="62"/>
      <c r="M5" s="47"/>
    </row>
    <row r="6" spans="1:13" s="7" customFormat="1" ht="9">
      <c r="A6" s="6"/>
      <c r="M6" s="48"/>
    </row>
    <row r="7" spans="1:14" s="7" customFormat="1" ht="9">
      <c r="A7" s="6" t="s">
        <v>10</v>
      </c>
      <c r="B7" s="8">
        <f aca="true" t="shared" si="0" ref="B7:G7">B9+B12+B22+B28+B33</f>
        <v>28783.642604999997</v>
      </c>
      <c r="C7" s="8">
        <f t="shared" si="0"/>
        <v>31765.321408</v>
      </c>
      <c r="D7" s="8">
        <f t="shared" si="0"/>
        <v>32402.467701999998</v>
      </c>
      <c r="E7" s="8">
        <f t="shared" si="0"/>
        <v>27224.483515</v>
      </c>
      <c r="F7" s="8">
        <f t="shared" si="0"/>
        <v>27490.860364</v>
      </c>
      <c r="G7" s="8">
        <f t="shared" si="0"/>
        <v>26050.725306967048</v>
      </c>
      <c r="H7" s="8">
        <f>H9+H12+H22+H28+H33</f>
        <v>25854.502469918938</v>
      </c>
      <c r="I7" s="8">
        <f>I9+I12+I22+I28+I33</f>
        <v>21971.720377</v>
      </c>
      <c r="J7" s="8">
        <f>J9+J12+J22+J28+J33</f>
        <v>30326.046464000003</v>
      </c>
      <c r="K7" s="8">
        <f>K9+K12+K22+K28+K33</f>
        <v>22374.36817</v>
      </c>
      <c r="L7" s="9">
        <f>100*(K7-J7)/J7</f>
        <v>-26.220622933620525</v>
      </c>
      <c r="M7" s="48"/>
      <c r="N7" s="13"/>
    </row>
    <row r="8" spans="1:14" s="7" customFormat="1" ht="9">
      <c r="A8" s="10"/>
      <c r="B8" s="51"/>
      <c r="C8" s="51"/>
      <c r="D8" s="51"/>
      <c r="E8" s="51"/>
      <c r="F8" s="51"/>
      <c r="G8" s="51"/>
      <c r="H8" s="51"/>
      <c r="I8" s="51"/>
      <c r="J8" s="51"/>
      <c r="K8" s="51"/>
      <c r="L8" s="12"/>
      <c r="M8" s="48"/>
      <c r="N8" s="13"/>
    </row>
    <row r="9" spans="1:15" s="7" customFormat="1" ht="9">
      <c r="A9" s="6" t="s">
        <v>9</v>
      </c>
      <c r="B9" s="8">
        <f aca="true" t="shared" si="1" ref="B9:K9">SUM(B10)</f>
        <v>1120.3605</v>
      </c>
      <c r="C9" s="8">
        <f t="shared" si="1"/>
        <v>1252.730313</v>
      </c>
      <c r="D9" s="8">
        <f t="shared" si="1"/>
        <v>1363.227368</v>
      </c>
      <c r="E9" s="8">
        <f t="shared" si="1"/>
        <v>1735.9474019999998</v>
      </c>
      <c r="F9" s="8">
        <f t="shared" si="1"/>
        <v>1765.019133</v>
      </c>
      <c r="G9" s="8">
        <f t="shared" si="1"/>
        <v>1827.134947</v>
      </c>
      <c r="H9" s="8">
        <f t="shared" si="1"/>
        <v>2338.899889705437</v>
      </c>
      <c r="I9" s="8">
        <f t="shared" si="1"/>
        <v>1746.993074</v>
      </c>
      <c r="J9" s="8">
        <f t="shared" si="1"/>
        <v>2118.707156</v>
      </c>
      <c r="K9" s="8">
        <f t="shared" si="1"/>
        <v>1577.148848</v>
      </c>
      <c r="L9" s="57">
        <f>100*(K9-J9)/J9</f>
        <v>-25.560790997772035</v>
      </c>
      <c r="M9" s="48"/>
      <c r="N9" s="13"/>
      <c r="O9" s="58"/>
    </row>
    <row r="10" spans="1:14" s="7" customFormat="1" ht="10.5">
      <c r="A10" s="10" t="s">
        <v>23</v>
      </c>
      <c r="B10" s="11">
        <v>1120.3605</v>
      </c>
      <c r="C10" s="11">
        <v>1252.730313</v>
      </c>
      <c r="D10" s="11">
        <v>1363.227368</v>
      </c>
      <c r="E10" s="11">
        <f>1075.001061+660.946341</f>
        <v>1735.9474019999998</v>
      </c>
      <c r="F10" s="11">
        <f>1101.503133+147.582+515.934</f>
        <v>1765.019133</v>
      </c>
      <c r="G10" s="11">
        <f>1420.885341+406.249606</f>
        <v>1827.134947</v>
      </c>
      <c r="H10" s="11">
        <f>1655.394421+683.505468705437</f>
        <v>2338.899889705437</v>
      </c>
      <c r="I10" s="11">
        <f>1468.35092+278.642154</f>
        <v>1746.993074</v>
      </c>
      <c r="J10" s="11">
        <f>1885.912963+232.794193</f>
        <v>2118.707156</v>
      </c>
      <c r="K10" s="11">
        <v>1577.148848</v>
      </c>
      <c r="L10" s="50">
        <f>100*(K10-J10)/J10</f>
        <v>-25.560790997772035</v>
      </c>
      <c r="M10" s="48"/>
      <c r="N10" s="13"/>
    </row>
    <row r="11" spans="1:14" s="7" customFormat="1" ht="9">
      <c r="A11" s="1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12"/>
      <c r="M11" s="48"/>
      <c r="N11" s="13"/>
    </row>
    <row r="12" spans="1:14" s="7" customFormat="1" ht="9">
      <c r="A12" s="6" t="s">
        <v>0</v>
      </c>
      <c r="B12" s="8">
        <f aca="true" t="shared" si="2" ref="B12:G12">SUM(B13:B20)</f>
        <v>7417.427097999999</v>
      </c>
      <c r="C12" s="8">
        <f t="shared" si="2"/>
        <v>7293.889854</v>
      </c>
      <c r="D12" s="8">
        <f t="shared" si="2"/>
        <v>7044.071037</v>
      </c>
      <c r="E12" s="8">
        <f t="shared" si="2"/>
        <v>7360.242022</v>
      </c>
      <c r="F12" s="8">
        <f t="shared" si="2"/>
        <v>7276.647136</v>
      </c>
      <c r="G12" s="8">
        <f t="shared" si="2"/>
        <v>6626.34345853</v>
      </c>
      <c r="H12" s="8">
        <f>SUM(H13:H20)</f>
        <v>5804.058102</v>
      </c>
      <c r="I12" s="8">
        <f>SUM(I13:I20)</f>
        <v>4953.062369</v>
      </c>
      <c r="J12" s="8">
        <f>SUM(J13:J20)</f>
        <v>7368.136476</v>
      </c>
      <c r="K12" s="8">
        <f>SUM(K13:K20)</f>
        <v>4519.188008</v>
      </c>
      <c r="L12" s="9">
        <f>100*(K12-J12)/J12</f>
        <v>-38.66579395319007</v>
      </c>
      <c r="M12" s="48"/>
      <c r="N12" s="13"/>
    </row>
    <row r="13" spans="1:14" s="7" customFormat="1" ht="9">
      <c r="A13" s="43" t="s">
        <v>11</v>
      </c>
      <c r="B13" s="13">
        <v>1403.155</v>
      </c>
      <c r="C13" s="13">
        <v>1604.649</v>
      </c>
      <c r="D13" s="13">
        <v>1554.036225</v>
      </c>
      <c r="E13" s="13">
        <v>1714.678714</v>
      </c>
      <c r="F13" s="13">
        <v>1607.08</v>
      </c>
      <c r="G13" s="13">
        <v>1402.32442853</v>
      </c>
      <c r="H13" s="13">
        <v>1380.514541</v>
      </c>
      <c r="I13" s="13">
        <v>1342.263624</v>
      </c>
      <c r="J13" s="13">
        <v>2127.415116</v>
      </c>
      <c r="K13" s="13">
        <v>916.099536</v>
      </c>
      <c r="L13" s="50">
        <f>100*(K13-J13)/J13</f>
        <v>-56.938374221836646</v>
      </c>
      <c r="M13" s="48"/>
      <c r="N13" s="13"/>
    </row>
    <row r="14" spans="1:15" s="7" customFormat="1" ht="10.5">
      <c r="A14" s="10" t="s">
        <v>18</v>
      </c>
      <c r="B14" s="13">
        <f>715.860544+341.546413</f>
        <v>1057.406957</v>
      </c>
      <c r="C14" s="13">
        <f>702.925813+529.640737</f>
        <v>1232.56655</v>
      </c>
      <c r="D14" s="13">
        <f>671.808233+496.840287</f>
        <v>1168.64852</v>
      </c>
      <c r="E14" s="13">
        <f>497.925725</f>
        <v>497.925725</v>
      </c>
      <c r="F14" s="13">
        <v>579.90226</v>
      </c>
      <c r="G14" s="13">
        <f>289.044457+56.617181</f>
        <v>345.66163800000004</v>
      </c>
      <c r="H14" s="13">
        <f>414.798186+67.543813</f>
        <v>482.341999</v>
      </c>
      <c r="I14" s="13">
        <f>168.177235+12.057254</f>
        <v>180.234489</v>
      </c>
      <c r="J14" s="13">
        <f>235.371775+23.697674</f>
        <v>259.069449</v>
      </c>
      <c r="K14" s="13">
        <v>134.764762</v>
      </c>
      <c r="L14" s="50">
        <f>100*(K14-J14)/J14</f>
        <v>-47.98122182287886</v>
      </c>
      <c r="M14" s="48"/>
      <c r="N14" s="13"/>
      <c r="O14" s="45"/>
    </row>
    <row r="15" spans="1:15" s="7" customFormat="1" ht="10.5">
      <c r="A15" s="10" t="s">
        <v>19</v>
      </c>
      <c r="B15" s="13">
        <f>124.711539+466.10827</f>
        <v>590.819809</v>
      </c>
      <c r="C15" s="13">
        <f>123.253844+22.609781</f>
        <v>145.863625</v>
      </c>
      <c r="D15" s="13">
        <f>104.497378+13.782045</f>
        <v>118.279423</v>
      </c>
      <c r="E15" s="13">
        <f>99.450017+58.880121+564.831342</f>
        <v>723.16148</v>
      </c>
      <c r="F15" s="13">
        <f>111.335345+540.413</f>
        <v>651.748345</v>
      </c>
      <c r="G15" s="13">
        <f>114.409751+429.014182</f>
        <v>543.423933</v>
      </c>
      <c r="H15" s="13">
        <f>104.402257+398.113073</f>
        <v>502.51533</v>
      </c>
      <c r="I15" s="13">
        <f>73.40089+343.768329</f>
        <v>417.169219</v>
      </c>
      <c r="J15" s="13">
        <f>83.401544+329.127079</f>
        <v>412.528623</v>
      </c>
      <c r="K15" s="13">
        <v>412.284948</v>
      </c>
      <c r="L15" s="50">
        <f aca="true" t="shared" si="3" ref="L15:L20">100*(K15-J15)/J15</f>
        <v>-0.059068628554289695</v>
      </c>
      <c r="M15" s="48"/>
      <c r="N15" s="13"/>
      <c r="O15" s="45"/>
    </row>
    <row r="16" spans="1:14" s="7" customFormat="1" ht="9">
      <c r="A16" s="10" t="s">
        <v>1</v>
      </c>
      <c r="B16" s="13">
        <v>125.545373</v>
      </c>
      <c r="C16" s="13">
        <v>121.955752</v>
      </c>
      <c r="D16" s="13">
        <v>110.186075</v>
      </c>
      <c r="E16" s="13">
        <v>98.428296</v>
      </c>
      <c r="F16" s="13">
        <v>95.248825</v>
      </c>
      <c r="G16" s="13">
        <v>94.723658</v>
      </c>
      <c r="H16" s="13">
        <v>85.253859</v>
      </c>
      <c r="I16" s="13">
        <v>65.872452</v>
      </c>
      <c r="J16" s="13">
        <v>79.149803</v>
      </c>
      <c r="K16" s="13">
        <v>75.629344</v>
      </c>
      <c r="L16" s="50">
        <f t="shared" si="3"/>
        <v>-4.447843035061</v>
      </c>
      <c r="M16" s="48"/>
      <c r="N16" s="13"/>
    </row>
    <row r="17" spans="1:14" s="7" customFormat="1" ht="10.5">
      <c r="A17" s="10" t="s">
        <v>24</v>
      </c>
      <c r="B17" s="42">
        <v>1066.332708</v>
      </c>
      <c r="C17" s="42">
        <v>1167.609911</v>
      </c>
      <c r="D17" s="42">
        <v>1044.264078</v>
      </c>
      <c r="E17" s="42">
        <f>1191.1445</f>
        <v>1191.1445</v>
      </c>
      <c r="F17" s="42">
        <v>1197.118421</v>
      </c>
      <c r="G17" s="42">
        <v>1157.67922</v>
      </c>
      <c r="H17" s="42">
        <v>1165.944312</v>
      </c>
      <c r="I17" s="42">
        <v>970.008033</v>
      </c>
      <c r="J17" s="42">
        <v>1179.594171</v>
      </c>
      <c r="K17" s="42">
        <v>586.115956</v>
      </c>
      <c r="L17" s="50">
        <f t="shared" si="3"/>
        <v>-50.31206745425669</v>
      </c>
      <c r="M17" s="48"/>
      <c r="N17" s="13"/>
    </row>
    <row r="18" spans="1:14" s="7" customFormat="1" ht="9">
      <c r="A18" s="10" t="s">
        <v>2</v>
      </c>
      <c r="B18" s="13">
        <v>213.765864</v>
      </c>
      <c r="C18" s="13">
        <v>222.428667</v>
      </c>
      <c r="D18" s="13">
        <v>221.527296</v>
      </c>
      <c r="E18" s="13">
        <f>227.068867</f>
        <v>227.068867</v>
      </c>
      <c r="F18" s="13">
        <v>227.221148</v>
      </c>
      <c r="G18" s="13">
        <v>226.507862</v>
      </c>
      <c r="H18" s="13">
        <v>198.3604</v>
      </c>
      <c r="I18" s="13">
        <v>169.694128</v>
      </c>
      <c r="J18" s="13">
        <v>213.271256</v>
      </c>
      <c r="K18" s="13">
        <v>235.425</v>
      </c>
      <c r="L18" s="50">
        <f t="shared" si="3"/>
        <v>10.387590158891367</v>
      </c>
      <c r="M18" s="48"/>
      <c r="N18" s="13"/>
    </row>
    <row r="19" spans="1:15" s="7" customFormat="1" ht="10.5">
      <c r="A19" s="10" t="s">
        <v>25</v>
      </c>
      <c r="B19" s="13">
        <f>99.483425+465.977</f>
        <v>565.460425</v>
      </c>
      <c r="C19" s="13">
        <f>103.02498+405.051</f>
        <v>508.07597999999996</v>
      </c>
      <c r="D19" s="13">
        <f>100.341966+456.61</f>
        <v>556.951966</v>
      </c>
      <c r="E19" s="13">
        <f>100.372699+470.737342</f>
        <v>571.110041</v>
      </c>
      <c r="F19" s="13">
        <f>91.729319+470.737</f>
        <v>562.466319</v>
      </c>
      <c r="G19" s="13">
        <v>488.810782</v>
      </c>
      <c r="H19" s="13">
        <f>122.723308+33.890618</f>
        <v>156.613926</v>
      </c>
      <c r="I19" s="13">
        <f>84.032817+210</f>
        <v>294.032817</v>
      </c>
      <c r="J19" s="13">
        <f>675.072911+755.915</f>
        <v>1430.987911</v>
      </c>
      <c r="K19" s="13">
        <v>528.177845</v>
      </c>
      <c r="L19" s="50">
        <f t="shared" si="3"/>
        <v>-63.089985530981885</v>
      </c>
      <c r="M19" s="48"/>
      <c r="N19" s="13"/>
      <c r="O19" s="45"/>
    </row>
    <row r="20" spans="1:15" s="7" customFormat="1" ht="10.5">
      <c r="A20" s="10" t="s">
        <v>20</v>
      </c>
      <c r="B20" s="13">
        <f>1553.983247+449.888+391.069715</f>
        <v>2394.9409619999997</v>
      </c>
      <c r="C20" s="13">
        <f>1420.367821+472.778+397.594548</f>
        <v>2290.740369</v>
      </c>
      <c r="D20" s="13">
        <f>1405.781909+429.277+435.118545</f>
        <v>2270.177454</v>
      </c>
      <c r="E20" s="13">
        <f>1229.029236+509.150787+598.544376</f>
        <v>2336.724399</v>
      </c>
      <c r="F20" s="13">
        <f>1303.893818+453.424+402.559+195.985</f>
        <v>2355.8618180000003</v>
      </c>
      <c r="G20" s="13">
        <f>1374.943099+426.019232+566.249606</f>
        <v>2367.211937</v>
      </c>
      <c r="H20" s="13">
        <f>1329.737841+75.969379+426.806515</f>
        <v>1832.5137349999998</v>
      </c>
      <c r="I20" s="13">
        <f>1168.085638+344.483652+1.218317</f>
        <v>1513.787607</v>
      </c>
      <c r="J20" s="13">
        <f>1267.43908+382.858859+15.822208</f>
        <v>1666.120147</v>
      </c>
      <c r="K20" s="13">
        <f>1097.786318+381.516458+151.387841</f>
        <v>1630.690617</v>
      </c>
      <c r="L20" s="50">
        <f t="shared" si="3"/>
        <v>-2.1264690943083657</v>
      </c>
      <c r="M20" s="48"/>
      <c r="N20" s="13"/>
      <c r="O20" s="45"/>
    </row>
    <row r="21" spans="1:14" s="7" customFormat="1" ht="9">
      <c r="A21" s="10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16"/>
      <c r="M21" s="48"/>
      <c r="N21" s="13"/>
    </row>
    <row r="22" spans="1:14" s="7" customFormat="1" ht="9">
      <c r="A22" s="6" t="s">
        <v>3</v>
      </c>
      <c r="B22" s="8">
        <f aca="true" t="shared" si="4" ref="B22:K22">SUM(B23:B26)</f>
        <v>17084.957057</v>
      </c>
      <c r="C22" s="8">
        <f t="shared" si="4"/>
        <v>19208.648982</v>
      </c>
      <c r="D22" s="8">
        <f t="shared" si="4"/>
        <v>19036.729403999998</v>
      </c>
      <c r="E22" s="8">
        <f t="shared" si="4"/>
        <v>16085.558117999999</v>
      </c>
      <c r="F22" s="8">
        <f t="shared" si="4"/>
        <v>16222.576385999999</v>
      </c>
      <c r="G22" s="8">
        <f t="shared" si="4"/>
        <v>15389.340598999548</v>
      </c>
      <c r="H22" s="8">
        <f t="shared" si="4"/>
        <v>15285.208749452398</v>
      </c>
      <c r="I22" s="8">
        <f t="shared" si="4"/>
        <v>12772.314983</v>
      </c>
      <c r="J22" s="8">
        <f t="shared" si="4"/>
        <v>17736.250431</v>
      </c>
      <c r="K22" s="8">
        <f t="shared" si="4"/>
        <v>14008.920758</v>
      </c>
      <c r="L22" s="9">
        <f>100*(K22-J22)/J22</f>
        <v>-21.015319373734435</v>
      </c>
      <c r="M22" s="48"/>
      <c r="N22" s="56"/>
    </row>
    <row r="23" spans="1:14" s="7" customFormat="1" ht="9">
      <c r="A23" s="10" t="s">
        <v>5</v>
      </c>
      <c r="B23" s="13">
        <v>1480.471376</v>
      </c>
      <c r="C23" s="13">
        <v>1527.794254</v>
      </c>
      <c r="D23" s="13">
        <v>1401.825317</v>
      </c>
      <c r="E23" s="13">
        <f>1079.030202+226.254711</f>
        <v>1305.284913</v>
      </c>
      <c r="F23" s="13">
        <f>1272.94499</f>
        <v>1272.94499</v>
      </c>
      <c r="G23" s="13">
        <f>1093.655707</f>
        <v>1093.655707</v>
      </c>
      <c r="H23" s="13">
        <v>1127.336953</v>
      </c>
      <c r="I23" s="13">
        <f>935.825408+140.467121</f>
        <v>1076.292529</v>
      </c>
      <c r="J23" s="13">
        <v>1372.281643</v>
      </c>
      <c r="K23" s="13">
        <v>1001.204667</v>
      </c>
      <c r="L23" s="55">
        <f>100*(K23-J23)/J23</f>
        <v>-27.040875894016462</v>
      </c>
      <c r="M23" s="48"/>
      <c r="N23" s="13"/>
    </row>
    <row r="24" spans="1:14" s="7" customFormat="1" ht="9">
      <c r="A24" s="10" t="s">
        <v>4</v>
      </c>
      <c r="B24" s="13">
        <v>1107.054295</v>
      </c>
      <c r="C24" s="13">
        <v>1294.513364</v>
      </c>
      <c r="D24" s="13">
        <v>1207.170013</v>
      </c>
      <c r="E24" s="13">
        <f>959.815983</f>
        <v>959.815983</v>
      </c>
      <c r="F24" s="13">
        <v>990.892499</v>
      </c>
      <c r="G24" s="13">
        <v>996.963344</v>
      </c>
      <c r="H24" s="13">
        <v>911.372772</v>
      </c>
      <c r="I24" s="13">
        <v>843.522055</v>
      </c>
      <c r="J24" s="13">
        <v>990.591611</v>
      </c>
      <c r="K24" s="13">
        <v>786.469867</v>
      </c>
      <c r="L24" s="55">
        <f>100*(K24-J24)/J24</f>
        <v>-20.606044078441116</v>
      </c>
      <c r="M24" s="48"/>
      <c r="N24" s="13"/>
    </row>
    <row r="25" spans="1:15" s="7" customFormat="1" ht="10.5">
      <c r="A25" s="10" t="s">
        <v>12</v>
      </c>
      <c r="B25" s="13">
        <v>7657.321778</v>
      </c>
      <c r="C25" s="13">
        <f>8630.375862+G24</f>
        <v>9627.339206</v>
      </c>
      <c r="D25" s="13">
        <f>8879.295667+687.716746</f>
        <v>9567.012413</v>
      </c>
      <c r="E25" s="13">
        <f>5865.81697+2219.154912</f>
        <v>8084.971882</v>
      </c>
      <c r="F25" s="13">
        <f>7051.529968+1279.155</f>
        <v>8330.684968</v>
      </c>
      <c r="G25" s="13">
        <f>5895.557862+2122.16259224955</f>
        <v>8017.720454249549</v>
      </c>
      <c r="H25" s="13">
        <f>5792.967114+1837.9071174524</f>
        <v>7630.8742314524</v>
      </c>
      <c r="I25" s="13">
        <f>3571.927622+1892.520343</f>
        <v>5464.447965</v>
      </c>
      <c r="J25" s="13">
        <f>4317.95085+3949.849818+335.8</f>
        <v>8603.600668</v>
      </c>
      <c r="K25" s="13">
        <f>4660.629341+1098.695136</f>
        <v>5759.324477</v>
      </c>
      <c r="L25" s="50">
        <f>100*(K25-J25)/J25</f>
        <v>-33.059137688467146</v>
      </c>
      <c r="M25" s="48"/>
      <c r="N25" s="13"/>
      <c r="O25" s="45"/>
    </row>
    <row r="26" spans="1:15" s="7" customFormat="1" ht="10.5">
      <c r="A26" s="10" t="s">
        <v>13</v>
      </c>
      <c r="B26" s="42">
        <f>6346.547892+493.561716</f>
        <v>6840.109608</v>
      </c>
      <c r="C26" s="42">
        <f>6308.438806+450.563352</f>
        <v>6759.002158</v>
      </c>
      <c r="D26" s="42">
        <f>6392.934122+467.787539</f>
        <v>6860.721661</v>
      </c>
      <c r="E26" s="42">
        <f>5081.624819+653.860521</f>
        <v>5735.485339999999</v>
      </c>
      <c r="F26" s="42">
        <f>4974.192929+202.152+451.709</f>
        <v>5628.053929</v>
      </c>
      <c r="G26" s="42">
        <f>5281.00109375</f>
        <v>5281.00109375</v>
      </c>
      <c r="H26" s="42">
        <v>5615.624793</v>
      </c>
      <c r="I26" s="42">
        <f>4763.864886+624.187548</f>
        <v>5388.052434</v>
      </c>
      <c r="J26" s="42">
        <f>5588.788771+1180.987738</f>
        <v>6769.776509</v>
      </c>
      <c r="K26" s="42">
        <f>6147.156586+314.765161</f>
        <v>6461.921747</v>
      </c>
      <c r="L26" s="50">
        <f>100*(K26-J26)/J26</f>
        <v>-4.547487817223006</v>
      </c>
      <c r="M26" s="48"/>
      <c r="N26" s="13"/>
      <c r="O26" s="45"/>
    </row>
    <row r="27" spans="1:14" s="7" customFormat="1" ht="9">
      <c r="A27" s="10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4"/>
      <c r="M27" s="48"/>
      <c r="N27" s="13"/>
    </row>
    <row r="28" spans="1:14" s="7" customFormat="1" ht="9">
      <c r="A28" s="6" t="s">
        <v>6</v>
      </c>
      <c r="B28" s="8">
        <f aca="true" t="shared" si="5" ref="B28:J28">SUM(B29:B31)</f>
        <v>2197.089363</v>
      </c>
      <c r="C28" s="8">
        <f t="shared" si="5"/>
        <v>2663.760699</v>
      </c>
      <c r="D28" s="8">
        <f t="shared" si="5"/>
        <v>2488.092906</v>
      </c>
      <c r="E28" s="8">
        <f t="shared" si="5"/>
        <v>1612.330771</v>
      </c>
      <c r="F28" s="8">
        <f t="shared" si="5"/>
        <v>1640.068415</v>
      </c>
      <c r="G28" s="8">
        <f t="shared" si="5"/>
        <v>1766.581358</v>
      </c>
      <c r="H28" s="8">
        <f t="shared" si="5"/>
        <v>1894.1891930000002</v>
      </c>
      <c r="I28" s="8">
        <f t="shared" si="5"/>
        <v>1829.113513</v>
      </c>
      <c r="J28" s="8">
        <f t="shared" si="5"/>
        <v>2204.8247739999997</v>
      </c>
      <c r="K28" s="8">
        <f>SUM(K29:K31)</f>
        <v>1719.048415</v>
      </c>
      <c r="L28" s="9">
        <f>100*(K28-J28)/J28</f>
        <v>-22.032424740887812</v>
      </c>
      <c r="M28" s="48"/>
      <c r="N28" s="13"/>
    </row>
    <row r="29" spans="1:15" s="7" customFormat="1" ht="9" customHeight="1">
      <c r="A29" s="10" t="s">
        <v>14</v>
      </c>
      <c r="B29" s="15">
        <f>381.240626+430.553</f>
        <v>811.793626</v>
      </c>
      <c r="C29" s="15">
        <f>1016.488753+211.6156</f>
        <v>1228.104353</v>
      </c>
      <c r="D29" s="15">
        <f>990.402903+72.585626</f>
        <v>1062.988529</v>
      </c>
      <c r="E29" s="15">
        <f>468.824718</f>
        <v>468.824718</v>
      </c>
      <c r="F29" s="15">
        <v>449.720239</v>
      </c>
      <c r="G29" s="15">
        <v>426.750608</v>
      </c>
      <c r="H29" s="15">
        <v>519.675821</v>
      </c>
      <c r="I29" s="15">
        <v>569.382321</v>
      </c>
      <c r="J29" s="15">
        <v>770.855691</v>
      </c>
      <c r="K29" s="15">
        <f>394.455769+34.357079</f>
        <v>428.812848</v>
      </c>
      <c r="L29" s="50">
        <f>100*(K29-J29)/J29</f>
        <v>-44.371838593587036</v>
      </c>
      <c r="M29" s="48"/>
      <c r="N29" s="13"/>
      <c r="O29" s="45"/>
    </row>
    <row r="30" spans="1:14" s="7" customFormat="1" ht="9">
      <c r="A30" s="10" t="s">
        <v>7</v>
      </c>
      <c r="B30" s="15">
        <v>679.027319</v>
      </c>
      <c r="C30" s="15">
        <f>666.625692+52.3399</f>
        <v>718.965592</v>
      </c>
      <c r="D30" s="15">
        <v>635.666625</v>
      </c>
      <c r="E30" s="15">
        <v>619.868752</v>
      </c>
      <c r="F30" s="15">
        <v>659.039487</v>
      </c>
      <c r="G30" s="15">
        <v>711.467351</v>
      </c>
      <c r="H30" s="15">
        <v>725.482682</v>
      </c>
      <c r="I30" s="15">
        <v>681.703988</v>
      </c>
      <c r="J30" s="15">
        <v>811.436101</v>
      </c>
      <c r="K30" s="15">
        <v>711.649141</v>
      </c>
      <c r="L30" s="50">
        <f>100*(K30-J30)/J30</f>
        <v>-12.297574618263136</v>
      </c>
      <c r="M30" s="48"/>
      <c r="N30" s="13"/>
    </row>
    <row r="31" spans="1:15" s="7" customFormat="1" ht="9" customHeight="1">
      <c r="A31" s="10" t="s">
        <v>15</v>
      </c>
      <c r="B31" s="15">
        <f>705.960218+0.3082</f>
        <v>706.2684180000001</v>
      </c>
      <c r="C31" s="15">
        <f>649.456586+67.234168</f>
        <v>716.690754</v>
      </c>
      <c r="D31" s="15">
        <f>707.438585+81.999167</f>
        <v>789.437752</v>
      </c>
      <c r="E31" s="15">
        <f>522.180081+1.45722</f>
        <v>523.637301</v>
      </c>
      <c r="F31" s="15">
        <v>531.308689</v>
      </c>
      <c r="G31" s="15">
        <f>627.69373+0.669669</f>
        <v>628.363399</v>
      </c>
      <c r="H31" s="15">
        <f>648.929641+0.101049</f>
        <v>649.0306899999999</v>
      </c>
      <c r="I31" s="15">
        <f>552.136276+25.890928</f>
        <v>578.027204</v>
      </c>
      <c r="J31" s="15">
        <f>555.002935+0.014763+67.515284</f>
        <v>622.532982</v>
      </c>
      <c r="K31" s="15">
        <f>559.188426+19.398</f>
        <v>578.5864260000001</v>
      </c>
      <c r="L31" s="50">
        <f>100*(K31-J31)/J31</f>
        <v>-7.059313686290741</v>
      </c>
      <c r="M31" s="48"/>
      <c r="N31" s="13"/>
      <c r="O31" s="45"/>
    </row>
    <row r="32" spans="1:14" s="7" customFormat="1" ht="9">
      <c r="A32" s="10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4"/>
      <c r="M32" s="48"/>
      <c r="N32" s="13"/>
    </row>
    <row r="33" spans="1:14" s="7" customFormat="1" ht="9">
      <c r="A33" s="6" t="s">
        <v>8</v>
      </c>
      <c r="B33" s="18">
        <f aca="true" t="shared" si="6" ref="B33:K33">B34+B35</f>
        <v>963.808587</v>
      </c>
      <c r="C33" s="18">
        <f t="shared" si="6"/>
        <v>1346.2915600000001</v>
      </c>
      <c r="D33" s="18">
        <f t="shared" si="6"/>
        <v>2470.346987</v>
      </c>
      <c r="E33" s="18">
        <f t="shared" si="6"/>
        <v>430.40520200000003</v>
      </c>
      <c r="F33" s="18">
        <f t="shared" si="6"/>
        <v>586.5492939999999</v>
      </c>
      <c r="G33" s="18">
        <f t="shared" si="6"/>
        <v>441.32494443750005</v>
      </c>
      <c r="H33" s="18">
        <f t="shared" si="6"/>
        <v>532.1465357611</v>
      </c>
      <c r="I33" s="18">
        <f t="shared" si="6"/>
        <v>670.2364379999999</v>
      </c>
      <c r="J33" s="18">
        <f t="shared" si="6"/>
        <v>898.127627</v>
      </c>
      <c r="K33" s="18">
        <f t="shared" si="6"/>
        <v>550.062141</v>
      </c>
      <c r="L33" s="9">
        <f>100*(K33-J33)/J33</f>
        <v>-38.75456845288648</v>
      </c>
      <c r="M33" s="48"/>
      <c r="N33" s="13"/>
    </row>
    <row r="34" spans="1:15" s="7" customFormat="1" ht="10.5">
      <c r="A34" s="10" t="s">
        <v>16</v>
      </c>
      <c r="B34" s="17">
        <f>183.170618+473.658341</f>
        <v>656.8289589999999</v>
      </c>
      <c r="C34" s="17">
        <f>505.702202+263.219711</f>
        <v>768.921913</v>
      </c>
      <c r="D34" s="17">
        <f>457.502649+554.848147+660.480657</f>
        <v>1672.831453</v>
      </c>
      <c r="E34" s="17">
        <f>156.527005+245.649233</f>
        <v>402.176238</v>
      </c>
      <c r="F34" s="17">
        <f>171.088926+354.593</f>
        <v>525.681926</v>
      </c>
      <c r="G34" s="17">
        <f>211.453727+222.4811644375</f>
        <v>433.9348914375</v>
      </c>
      <c r="H34" s="17">
        <f>211.727442+309.6288217611</f>
        <v>521.3562637611001</v>
      </c>
      <c r="I34" s="17">
        <f>201.282907+211.527852</f>
        <v>412.81075899999996</v>
      </c>
      <c r="J34" s="17">
        <f>249.876677+375.631524</f>
        <v>625.508201</v>
      </c>
      <c r="K34" s="17">
        <f>199.941892+87.293269</f>
        <v>287.235161</v>
      </c>
      <c r="L34" s="50">
        <f>100*(K34-J34)/J34</f>
        <v>-54.07971301722389</v>
      </c>
      <c r="M34" s="48"/>
      <c r="N34" s="13"/>
      <c r="O34" s="45"/>
    </row>
    <row r="35" spans="1:16" s="7" customFormat="1" ht="10.5">
      <c r="A35" s="10" t="s">
        <v>17</v>
      </c>
      <c r="B35" s="17">
        <f>4.869243+302.110385</f>
        <v>306.979628</v>
      </c>
      <c r="C35" s="17">
        <f>2.916781+574.452866</f>
        <v>577.369647</v>
      </c>
      <c r="D35" s="17">
        <f>135.514877+1.52+660.480657</f>
        <v>797.515534</v>
      </c>
      <c r="E35" s="17">
        <f>27.221432+1.007532</f>
        <v>28.228964</v>
      </c>
      <c r="F35" s="17">
        <v>60.867368</v>
      </c>
      <c r="G35" s="17">
        <v>7.390053</v>
      </c>
      <c r="H35" s="17">
        <v>10.790272</v>
      </c>
      <c r="I35" s="17">
        <f>51.1722+206.253479</f>
        <v>257.425679</v>
      </c>
      <c r="J35" s="17">
        <f>54.126738+218.492688</f>
        <v>272.619426</v>
      </c>
      <c r="K35" s="17">
        <f>51.340199+211.486781</f>
        <v>262.82698</v>
      </c>
      <c r="L35" s="50">
        <f>100*(K35-J35)/J35</f>
        <v>-3.5919839402787037</v>
      </c>
      <c r="M35" s="48"/>
      <c r="N35" s="13"/>
      <c r="O35" s="45"/>
      <c r="P35" s="45"/>
    </row>
    <row r="36" spans="1:16" s="7" customFormat="1" ht="9">
      <c r="A36" s="19"/>
      <c r="B36" s="20"/>
      <c r="C36" s="20"/>
      <c r="D36" s="21"/>
      <c r="E36" s="21"/>
      <c r="F36" s="21"/>
      <c r="G36" s="21"/>
      <c r="H36" s="21"/>
      <c r="I36" s="21"/>
      <c r="J36" s="21"/>
      <c r="K36" s="21"/>
      <c r="L36" s="21"/>
      <c r="M36" s="48"/>
      <c r="N36" s="13"/>
      <c r="O36" s="45"/>
      <c r="P36" s="45"/>
    </row>
    <row r="37" spans="1:13" s="7" customFormat="1" ht="10.5" customHeight="1">
      <c r="A37" s="52" t="s">
        <v>21</v>
      </c>
      <c r="B37" s="39"/>
      <c r="C37" s="39"/>
      <c r="D37" s="40"/>
      <c r="E37" s="40"/>
      <c r="F37" s="40"/>
      <c r="G37" s="40"/>
      <c r="H37" s="40"/>
      <c r="I37" s="22"/>
      <c r="J37" s="22"/>
      <c r="K37" s="22"/>
      <c r="L37" s="22"/>
      <c r="M37" s="48"/>
    </row>
    <row r="38" spans="1:16" s="7" customFormat="1" ht="10.5" customHeight="1">
      <c r="A38" s="43" t="s">
        <v>31</v>
      </c>
      <c r="B38" s="39"/>
      <c r="C38" s="39"/>
      <c r="D38" s="40"/>
      <c r="E38" s="40"/>
      <c r="F38" s="40"/>
      <c r="G38" s="40"/>
      <c r="H38" s="40"/>
      <c r="I38" s="22"/>
      <c r="J38" s="22"/>
      <c r="K38" s="22"/>
      <c r="L38" s="22"/>
      <c r="M38" s="48"/>
      <c r="P38" s="45"/>
    </row>
    <row r="39" spans="1:16" s="7" customFormat="1" ht="10.5" customHeight="1">
      <c r="A39" s="44" t="s">
        <v>26</v>
      </c>
      <c r="B39" s="41"/>
      <c r="C39" s="38"/>
      <c r="D39" s="38"/>
      <c r="E39" s="38"/>
      <c r="F39" s="38"/>
      <c r="G39" s="38"/>
      <c r="H39" s="38"/>
      <c r="K39" s="56"/>
      <c r="M39" s="48"/>
      <c r="P39" s="45"/>
    </row>
    <row r="40" spans="1:13" s="7" customFormat="1" ht="10.5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M40" s="48"/>
    </row>
    <row r="41" spans="1:13" s="7" customFormat="1" ht="9">
      <c r="A41" s="10"/>
      <c r="B41" s="24"/>
      <c r="C41" s="24"/>
      <c r="D41" s="24"/>
      <c r="E41" s="24"/>
      <c r="F41" s="24"/>
      <c r="G41" s="24"/>
      <c r="H41" s="24"/>
      <c r="I41" s="24"/>
      <c r="J41" s="24"/>
      <c r="K41" s="13"/>
      <c r="M41" s="48"/>
    </row>
    <row r="42" spans="1:13" s="7" customFormat="1" ht="9">
      <c r="A42" s="25"/>
      <c r="B42" s="24"/>
      <c r="C42" s="24"/>
      <c r="D42" s="24"/>
      <c r="E42" s="24"/>
      <c r="F42" s="24"/>
      <c r="G42" s="24"/>
      <c r="H42" s="24"/>
      <c r="I42" s="24"/>
      <c r="J42" s="24"/>
      <c r="K42" s="24"/>
      <c r="M42" s="48"/>
    </row>
    <row r="43" spans="1:13" s="7" customFormat="1" ht="9">
      <c r="A43" s="10"/>
      <c r="B43" s="24"/>
      <c r="C43" s="24"/>
      <c r="D43" s="24"/>
      <c r="E43" s="24"/>
      <c r="F43" s="24"/>
      <c r="G43" s="24"/>
      <c r="H43" s="24"/>
      <c r="I43" s="24"/>
      <c r="J43" s="24"/>
      <c r="K43" s="24"/>
      <c r="M43" s="48"/>
    </row>
    <row r="44" spans="1:13" s="7" customFormat="1" ht="9">
      <c r="A44" s="10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13"/>
      <c r="M44" s="48"/>
    </row>
    <row r="45" spans="1:13" s="7" customFormat="1" ht="9">
      <c r="A45" s="10"/>
      <c r="B45" s="24"/>
      <c r="C45" s="24"/>
      <c r="D45" s="24"/>
      <c r="E45" s="24"/>
      <c r="F45" s="24"/>
      <c r="G45" s="24"/>
      <c r="H45" s="24"/>
      <c r="I45" s="24"/>
      <c r="J45" s="24"/>
      <c r="K45" s="24"/>
      <c r="M45" s="48"/>
    </row>
    <row r="46" spans="1:13" s="7" customFormat="1" ht="9">
      <c r="A46" s="10"/>
      <c r="K46" s="45"/>
      <c r="M46" s="48"/>
    </row>
    <row r="47" spans="1:11" ht="9">
      <c r="A47" s="10"/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9">
      <c r="A48" s="6"/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9">
      <c r="A49" s="10"/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1:11" ht="9">
      <c r="A50" s="27"/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1:11" ht="9">
      <c r="A51" s="27"/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spans="1:11" ht="9">
      <c r="A52" s="27"/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11" ht="9">
      <c r="A53" s="27"/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spans="1:11" ht="9">
      <c r="A54" s="27"/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1:6" ht="9">
      <c r="A55" s="27"/>
      <c r="F55" s="26"/>
    </row>
    <row r="56" ht="9">
      <c r="A56" s="27"/>
    </row>
    <row r="57" ht="9">
      <c r="A57" s="27"/>
    </row>
    <row r="63" ht="9">
      <c r="L63" s="29"/>
    </row>
    <row r="64" ht="9">
      <c r="L64" s="29"/>
    </row>
    <row r="65" ht="9">
      <c r="Q65" s="29"/>
    </row>
    <row r="67" ht="9">
      <c r="R67" s="29"/>
    </row>
    <row r="69" ht="9">
      <c r="R69" s="29"/>
    </row>
    <row r="71" spans="12:27" ht="9">
      <c r="L71" s="30"/>
      <c r="M71" s="49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</row>
    <row r="72" spans="12:27" ht="9">
      <c r="L72" s="29"/>
      <c r="M72" s="49"/>
      <c r="R72" s="29"/>
      <c r="AA72" s="32"/>
    </row>
    <row r="73" spans="12:43" ht="9">
      <c r="L73" s="29"/>
      <c r="M73" s="49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D73" s="30"/>
      <c r="AE73" s="30"/>
      <c r="AF73" s="30"/>
      <c r="AG73" s="30"/>
      <c r="AI73" s="30"/>
      <c r="AJ73" s="30"/>
      <c r="AK73" s="30"/>
      <c r="AL73" s="30"/>
      <c r="AN73" s="30"/>
      <c r="AO73" s="30"/>
      <c r="AP73" s="30"/>
      <c r="AQ73" s="30"/>
    </row>
    <row r="74" spans="12:43" ht="9">
      <c r="L74" s="29"/>
      <c r="M74" s="49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D74" s="29"/>
      <c r="AE74" s="29"/>
      <c r="AF74" s="29"/>
      <c r="AG74" s="29"/>
      <c r="AI74" s="29"/>
      <c r="AJ74" s="29"/>
      <c r="AK74" s="29"/>
      <c r="AL74" s="29"/>
      <c r="AN74" s="29"/>
      <c r="AO74" s="29"/>
      <c r="AP74" s="29"/>
      <c r="AQ74" s="29"/>
    </row>
    <row r="75" spans="12:27" ht="9">
      <c r="L75" s="30"/>
      <c r="M75" s="49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</row>
    <row r="76" spans="12:37" ht="9">
      <c r="L76" s="29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4"/>
      <c r="AD76" s="33"/>
      <c r="AE76" s="33"/>
      <c r="AF76" s="33"/>
      <c r="AI76" s="33"/>
      <c r="AJ76" s="33"/>
      <c r="AK76" s="33"/>
    </row>
    <row r="77" spans="12:37" ht="9">
      <c r="L77" s="29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4"/>
      <c r="AD77" s="33"/>
      <c r="AE77" s="33"/>
      <c r="AF77" s="33"/>
      <c r="AI77" s="33"/>
      <c r="AJ77" s="33"/>
      <c r="AK77" s="33"/>
    </row>
    <row r="78" spans="12:37" ht="9">
      <c r="L78" s="29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4"/>
      <c r="AD78" s="33"/>
      <c r="AE78" s="33"/>
      <c r="AF78" s="33"/>
      <c r="AI78" s="33"/>
      <c r="AJ78" s="33"/>
      <c r="AK78" s="33"/>
    </row>
    <row r="79" spans="12:37" ht="9">
      <c r="L79" s="29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4"/>
      <c r="AD79" s="33"/>
      <c r="AE79" s="33"/>
      <c r="AF79" s="33"/>
      <c r="AI79" s="33"/>
      <c r="AJ79" s="33"/>
      <c r="AK79" s="33"/>
    </row>
    <row r="80" spans="12:37" ht="9">
      <c r="L80" s="29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4"/>
      <c r="AD80" s="33"/>
      <c r="AE80" s="33"/>
      <c r="AF80" s="33"/>
      <c r="AI80" s="33"/>
      <c r="AJ80" s="33"/>
      <c r="AK80" s="33"/>
    </row>
    <row r="81" spans="12:37" ht="9">
      <c r="L81" s="29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4"/>
      <c r="AD81" s="33"/>
      <c r="AE81" s="33"/>
      <c r="AF81" s="33"/>
      <c r="AI81" s="33"/>
      <c r="AJ81" s="33"/>
      <c r="AK81" s="33"/>
    </row>
    <row r="82" spans="12:37" ht="9">
      <c r="L82" s="29"/>
      <c r="Y82" s="33"/>
      <c r="Z82" s="33"/>
      <c r="AA82" s="34"/>
      <c r="AD82" s="33"/>
      <c r="AE82" s="33"/>
      <c r="AF82" s="33"/>
      <c r="AI82" s="33"/>
      <c r="AJ82" s="33"/>
      <c r="AK82" s="33"/>
    </row>
    <row r="83" spans="12:38" ht="9">
      <c r="L83" s="31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4"/>
      <c r="AD83" s="33"/>
      <c r="AE83" s="33"/>
      <c r="AF83" s="33"/>
      <c r="AG83" s="33"/>
      <c r="AI83" s="33"/>
      <c r="AJ83" s="33"/>
      <c r="AK83" s="33"/>
      <c r="AL83" s="33"/>
    </row>
    <row r="85" spans="12:37" ht="9">
      <c r="L85" s="29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4"/>
      <c r="AD85" s="33"/>
      <c r="AE85" s="33"/>
      <c r="AF85" s="33"/>
      <c r="AI85" s="33"/>
      <c r="AJ85" s="33"/>
      <c r="AK85" s="33"/>
    </row>
    <row r="86" spans="12:37" ht="9">
      <c r="L86" s="29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4"/>
      <c r="AD86" s="33"/>
      <c r="AE86" s="33"/>
      <c r="AF86" s="33"/>
      <c r="AI86" s="33"/>
      <c r="AJ86" s="33"/>
      <c r="AK86" s="33"/>
    </row>
    <row r="87" spans="12:37" ht="9">
      <c r="L87" s="29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4"/>
      <c r="AD87" s="33"/>
      <c r="AE87" s="33"/>
      <c r="AF87" s="33"/>
      <c r="AI87" s="33"/>
      <c r="AJ87" s="33"/>
      <c r="AK87" s="33"/>
    </row>
    <row r="88" spans="12:37" ht="9">
      <c r="L88" s="29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4"/>
      <c r="AD88" s="33"/>
      <c r="AE88" s="33"/>
      <c r="AF88" s="33"/>
      <c r="AI88" s="33"/>
      <c r="AJ88" s="33"/>
      <c r="AK88" s="33"/>
    </row>
    <row r="89" spans="12:37" ht="9">
      <c r="L89" s="29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4"/>
      <c r="AD89" s="33"/>
      <c r="AE89" s="33"/>
      <c r="AF89" s="33"/>
      <c r="AI89" s="33"/>
      <c r="AJ89" s="33"/>
      <c r="AK89" s="33"/>
    </row>
    <row r="90" spans="12:37" ht="9">
      <c r="L90" s="29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4"/>
      <c r="AD90" s="33"/>
      <c r="AE90" s="33"/>
      <c r="AF90" s="33"/>
      <c r="AI90" s="33"/>
      <c r="AJ90" s="33"/>
      <c r="AK90" s="33"/>
    </row>
    <row r="91" spans="12:37" ht="9">
      <c r="L91" s="29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4"/>
      <c r="AD91" s="33"/>
      <c r="AE91" s="33"/>
      <c r="AF91" s="33"/>
      <c r="AI91" s="33"/>
      <c r="AJ91" s="33"/>
      <c r="AK91" s="33"/>
    </row>
    <row r="92" spans="12:37" ht="9">
      <c r="L92" s="29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4"/>
      <c r="AD92" s="33"/>
      <c r="AE92" s="33"/>
      <c r="AF92" s="33"/>
      <c r="AI92" s="33"/>
      <c r="AJ92" s="33"/>
      <c r="AK92" s="33"/>
    </row>
    <row r="93" spans="12:37" ht="9">
      <c r="L93" s="29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4"/>
      <c r="AD93" s="33"/>
      <c r="AE93" s="33"/>
      <c r="AF93" s="33"/>
      <c r="AI93" s="33"/>
      <c r="AJ93" s="33"/>
      <c r="AK93" s="33"/>
    </row>
    <row r="94" spans="12:38" ht="9">
      <c r="L94" s="31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4"/>
      <c r="AD94" s="33"/>
      <c r="AE94" s="33"/>
      <c r="AF94" s="33"/>
      <c r="AG94" s="33"/>
      <c r="AI94" s="33"/>
      <c r="AJ94" s="33"/>
      <c r="AK94" s="33"/>
      <c r="AL94" s="33"/>
    </row>
    <row r="96" spans="12:37" ht="9">
      <c r="L96" s="29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4"/>
      <c r="AD96" s="33"/>
      <c r="AE96" s="33"/>
      <c r="AF96" s="33"/>
      <c r="AI96" s="33"/>
      <c r="AJ96" s="33"/>
      <c r="AK96" s="33"/>
    </row>
    <row r="97" spans="12:37" ht="9">
      <c r="L97" s="29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4"/>
      <c r="AD97" s="33"/>
      <c r="AE97" s="33"/>
      <c r="AF97" s="33"/>
      <c r="AI97" s="33"/>
      <c r="AJ97" s="33"/>
      <c r="AK97" s="33"/>
    </row>
    <row r="98" spans="12:37" ht="9">
      <c r="L98" s="29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4"/>
      <c r="AD98" s="33"/>
      <c r="AE98" s="33"/>
      <c r="AF98" s="33"/>
      <c r="AI98" s="33"/>
      <c r="AJ98" s="33"/>
      <c r="AK98" s="33"/>
    </row>
    <row r="99" spans="12:37" ht="9">
      <c r="L99" s="29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4"/>
      <c r="AD99" s="33"/>
      <c r="AE99" s="33"/>
      <c r="AF99" s="33"/>
      <c r="AI99" s="33"/>
      <c r="AJ99" s="33"/>
      <c r="AK99" s="33"/>
    </row>
    <row r="100" spans="12:38" ht="9">
      <c r="L100" s="31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4"/>
      <c r="AD100" s="33"/>
      <c r="AE100" s="33"/>
      <c r="AF100" s="33"/>
      <c r="AG100" s="33"/>
      <c r="AI100" s="33"/>
      <c r="AJ100" s="33"/>
      <c r="AK100" s="33"/>
      <c r="AL100" s="33"/>
    </row>
    <row r="102" spans="12:37" ht="9">
      <c r="L102" s="29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4"/>
      <c r="AD102" s="33"/>
      <c r="AE102" s="33"/>
      <c r="AF102" s="33"/>
      <c r="AI102" s="33"/>
      <c r="AJ102" s="33"/>
      <c r="AK102" s="33"/>
    </row>
    <row r="103" spans="12:37" ht="9">
      <c r="L103" s="29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4"/>
      <c r="AD103" s="33"/>
      <c r="AE103" s="33"/>
      <c r="AF103" s="33"/>
      <c r="AI103" s="33"/>
      <c r="AJ103" s="33"/>
      <c r="AK103" s="33"/>
    </row>
    <row r="104" spans="12:37" ht="9">
      <c r="L104" s="29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4"/>
      <c r="AD104" s="33"/>
      <c r="AE104" s="33"/>
      <c r="AF104" s="33"/>
      <c r="AI104" s="33"/>
      <c r="AJ104" s="33"/>
      <c r="AK104" s="33"/>
    </row>
    <row r="105" spans="12:38" ht="9">
      <c r="L105" s="31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4"/>
      <c r="AD105" s="33"/>
      <c r="AE105" s="33"/>
      <c r="AF105" s="33"/>
      <c r="AG105" s="33"/>
      <c r="AI105" s="33"/>
      <c r="AJ105" s="33"/>
      <c r="AK105" s="33"/>
      <c r="AL105" s="33"/>
    </row>
    <row r="107" spans="12:37" ht="9">
      <c r="L107" s="29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4"/>
      <c r="AD107" s="33"/>
      <c r="AE107" s="33"/>
      <c r="AF107" s="33"/>
      <c r="AI107" s="33"/>
      <c r="AJ107" s="33"/>
      <c r="AK107" s="33"/>
    </row>
    <row r="108" spans="12:37" ht="9">
      <c r="L108" s="29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4"/>
      <c r="AD108" s="33"/>
      <c r="AE108" s="33"/>
      <c r="AF108" s="33"/>
      <c r="AI108" s="33"/>
      <c r="AJ108" s="33"/>
      <c r="AK108" s="33"/>
    </row>
    <row r="109" spans="12:37" ht="9">
      <c r="L109" s="29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4"/>
      <c r="AD109" s="33"/>
      <c r="AE109" s="33"/>
      <c r="AF109" s="33"/>
      <c r="AI109" s="33"/>
      <c r="AJ109" s="33"/>
      <c r="AK109" s="33"/>
    </row>
    <row r="110" spans="12:37" ht="9">
      <c r="L110" s="29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4"/>
      <c r="AD110" s="33"/>
      <c r="AE110" s="33"/>
      <c r="AF110" s="33"/>
      <c r="AI110" s="33"/>
      <c r="AJ110" s="33"/>
      <c r="AK110" s="33"/>
    </row>
    <row r="111" spans="12:38" ht="9">
      <c r="L111" s="31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4"/>
      <c r="AD111" s="33"/>
      <c r="AE111" s="33"/>
      <c r="AF111" s="33"/>
      <c r="AG111" s="33"/>
      <c r="AI111" s="33"/>
      <c r="AJ111" s="33"/>
      <c r="AK111" s="33"/>
      <c r="AL111" s="33"/>
    </row>
    <row r="112" spans="12:27" ht="9">
      <c r="L112" s="30"/>
      <c r="M112" s="49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7"/>
    </row>
    <row r="113" spans="12:38" ht="9">
      <c r="L113" s="29"/>
      <c r="M113" s="49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4"/>
      <c r="AD113" s="35"/>
      <c r="AE113" s="35"/>
      <c r="AF113" s="35"/>
      <c r="AG113" s="35"/>
      <c r="AI113" s="35"/>
      <c r="AJ113" s="35"/>
      <c r="AK113" s="35"/>
      <c r="AL113" s="35"/>
    </row>
    <row r="114" spans="12:27" ht="9">
      <c r="L114" s="30"/>
      <c r="M114" s="49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</row>
    <row r="115" ht="9">
      <c r="L115" s="29"/>
    </row>
    <row r="116" ht="9">
      <c r="L116" s="29"/>
    </row>
    <row r="117" ht="9">
      <c r="L117" s="29"/>
    </row>
    <row r="118" ht="9">
      <c r="L118" s="29"/>
    </row>
    <row r="119" ht="9">
      <c r="L119" s="29"/>
    </row>
  </sheetData>
  <sheetProtection/>
  <mergeCells count="3">
    <mergeCell ref="A4:A5"/>
    <mergeCell ref="L4:L5"/>
    <mergeCell ref="B4:K4"/>
  </mergeCells>
  <printOptions horizontalCentered="1"/>
  <pageMargins left="0.5905511811023623" right="0.7874015748031497" top="0.7874015748031497" bottom="0.7874015748031497" header="0" footer="0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>Jose Lopes de Souza</dc:creator>
  <cp:keywords/>
  <dc:description/>
  <cp:lastModifiedBy>Jose Lopes de Souza</cp:lastModifiedBy>
  <cp:lastPrinted>2009-07-06T13:30:09Z</cp:lastPrinted>
  <dcterms:created xsi:type="dcterms:W3CDTF">1998-04-06T18:41:05Z</dcterms:created>
  <dcterms:modified xsi:type="dcterms:W3CDTF">2023-06-21T18:28:15Z</dcterms:modified>
  <cp:category/>
  <cp:version/>
  <cp:contentType/>
  <cp:contentStatus/>
</cp:coreProperties>
</file>