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1F2F231E-B3A2-43BA-A795-13DDEECA08F3}" xr6:coauthVersionLast="47" xr6:coauthVersionMax="47" xr10:uidLastSave="{00000000-0000-0000-0000-000000000000}"/>
  <bookViews>
    <workbookView xWindow="-110" yWindow="-110" windowWidth="19420" windowHeight="10540" tabRatio="592" xr2:uid="{00000000-000D-0000-FFFF-FFFF00000000}"/>
  </bookViews>
  <sheets>
    <sheet name="T1.25" sheetId="1" r:id="rId1"/>
  </sheets>
  <definedNames>
    <definedName name="_Fill" hidden="1">'T1.25'!#REF!</definedName>
    <definedName name="_xlnm._FilterDatabase" localSheetId="0" hidden="1">'T1.25'!$A$3:$L$6</definedName>
    <definedName name="_xlnm.Print_Area" localSheetId="0">'T1.25'!$A$1:$M$38</definedName>
    <definedName name="_xlnm.Print_Titles" localSheetId="0">'T1.25'!$A:$A</definedName>
    <definedName name="Títulos_impressão_IM" localSheetId="0">'T1.25'!$A:$A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L34" i="1" s="1"/>
  <c r="J34" i="1"/>
  <c r="I34" i="1"/>
  <c r="H34" i="1"/>
  <c r="D34" i="1"/>
  <c r="C34" i="1"/>
  <c r="B34" i="1"/>
  <c r="L33" i="1"/>
  <c r="K33" i="1"/>
  <c r="J33" i="1"/>
  <c r="J32" i="1" s="1"/>
  <c r="I33" i="1"/>
  <c r="I32" i="1" s="1"/>
  <c r="H33" i="1"/>
  <c r="G33" i="1"/>
  <c r="G32" i="1" s="1"/>
  <c r="F33" i="1"/>
  <c r="F32" i="1" s="1"/>
  <c r="E33" i="1"/>
  <c r="D33" i="1"/>
  <c r="D32" i="1" s="1"/>
  <c r="C33" i="1"/>
  <c r="C32" i="1" s="1"/>
  <c r="B33" i="1"/>
  <c r="K32" i="1"/>
  <c r="L32" i="1" s="1"/>
  <c r="H32" i="1"/>
  <c r="E32" i="1"/>
  <c r="B32" i="1"/>
  <c r="J30" i="1"/>
  <c r="L30" i="1" s="1"/>
  <c r="I30" i="1"/>
  <c r="I27" i="1" s="1"/>
  <c r="H30" i="1"/>
  <c r="G30" i="1"/>
  <c r="G27" i="1" s="1"/>
  <c r="F30" i="1"/>
  <c r="F27" i="1" s="1"/>
  <c r="D30" i="1"/>
  <c r="C30" i="1"/>
  <c r="B30" i="1"/>
  <c r="L29" i="1"/>
  <c r="B29" i="1"/>
  <c r="L28" i="1"/>
  <c r="J28" i="1"/>
  <c r="D28" i="1"/>
  <c r="D27" i="1" s="1"/>
  <c r="C28" i="1"/>
  <c r="C27" i="1" s="1"/>
  <c r="B28" i="1"/>
  <c r="K27" i="1"/>
  <c r="H27" i="1"/>
  <c r="E27" i="1"/>
  <c r="B27" i="1"/>
  <c r="K25" i="1"/>
  <c r="L25" i="1" s="1"/>
  <c r="J25" i="1"/>
  <c r="I25" i="1"/>
  <c r="H25" i="1"/>
  <c r="F25" i="1"/>
  <c r="E25" i="1"/>
  <c r="D25" i="1"/>
  <c r="C25" i="1"/>
  <c r="B25" i="1"/>
  <c r="K24" i="1"/>
  <c r="L24" i="1" s="1"/>
  <c r="J24" i="1"/>
  <c r="I24" i="1"/>
  <c r="I21" i="1" s="1"/>
  <c r="H24" i="1"/>
  <c r="G24" i="1"/>
  <c r="F24" i="1"/>
  <c r="F21" i="1" s="1"/>
  <c r="E24" i="1"/>
  <c r="E21" i="1" s="1"/>
  <c r="D24" i="1"/>
  <c r="C24" i="1"/>
  <c r="C21" i="1" s="1"/>
  <c r="B24" i="1"/>
  <c r="B21" i="1" s="1"/>
  <c r="K23" i="1"/>
  <c r="L23" i="1" s="1"/>
  <c r="D23" i="1"/>
  <c r="K22" i="1"/>
  <c r="L22" i="1" s="1"/>
  <c r="H22" i="1"/>
  <c r="H21" i="1" s="1"/>
  <c r="F22" i="1"/>
  <c r="E22" i="1"/>
  <c r="D22" i="1"/>
  <c r="J21" i="1"/>
  <c r="G21" i="1"/>
  <c r="D21" i="1"/>
  <c r="L19" i="1"/>
  <c r="K19" i="1"/>
  <c r="J19" i="1"/>
  <c r="I19" i="1"/>
  <c r="H19" i="1"/>
  <c r="G19" i="1"/>
  <c r="F19" i="1"/>
  <c r="E19" i="1"/>
  <c r="D19" i="1"/>
  <c r="C19" i="1"/>
  <c r="B19" i="1"/>
  <c r="K18" i="1"/>
  <c r="L18" i="1" s="1"/>
  <c r="I18" i="1"/>
  <c r="H18" i="1"/>
  <c r="G18" i="1"/>
  <c r="E18" i="1"/>
  <c r="D18" i="1"/>
  <c r="C18" i="1"/>
  <c r="C11" i="1" s="1"/>
  <c r="B18" i="1"/>
  <c r="K17" i="1"/>
  <c r="L17" i="1" s="1"/>
  <c r="D17" i="1"/>
  <c r="L16" i="1"/>
  <c r="D16" i="1"/>
  <c r="L15" i="1"/>
  <c r="K14" i="1"/>
  <c r="L14" i="1" s="1"/>
  <c r="I14" i="1"/>
  <c r="H14" i="1"/>
  <c r="G14" i="1"/>
  <c r="F14" i="1"/>
  <c r="E14" i="1"/>
  <c r="D14" i="1"/>
  <c r="C14" i="1"/>
  <c r="B14" i="1"/>
  <c r="L13" i="1"/>
  <c r="K13" i="1"/>
  <c r="I13" i="1"/>
  <c r="I11" i="1" s="1"/>
  <c r="H13" i="1"/>
  <c r="H11" i="1" s="1"/>
  <c r="G13" i="1"/>
  <c r="F13" i="1"/>
  <c r="F11" i="1" s="1"/>
  <c r="D13" i="1"/>
  <c r="C13" i="1"/>
  <c r="B13" i="1"/>
  <c r="L12" i="1"/>
  <c r="J11" i="1"/>
  <c r="G11" i="1"/>
  <c r="E11" i="1"/>
  <c r="D11" i="1"/>
  <c r="B11" i="1"/>
  <c r="L9" i="1"/>
  <c r="I9" i="1"/>
  <c r="H9" i="1"/>
  <c r="G9" i="1"/>
  <c r="F9" i="1"/>
  <c r="E9" i="1"/>
  <c r="D9" i="1"/>
  <c r="K8" i="1"/>
  <c r="L8" i="1" s="1"/>
  <c r="J8" i="1"/>
  <c r="I8" i="1"/>
  <c r="H8" i="1"/>
  <c r="H6" i="1" s="1"/>
  <c r="G8" i="1"/>
  <c r="F8" i="1"/>
  <c r="E8" i="1"/>
  <c r="E6" i="1" s="1"/>
  <c r="D8" i="1"/>
  <c r="C8" i="1"/>
  <c r="B8" i="1"/>
  <c r="B6" i="1" s="1"/>
  <c r="D6" i="1" l="1"/>
  <c r="G6" i="1"/>
  <c r="F6" i="1"/>
  <c r="I6" i="1"/>
  <c r="C6" i="1"/>
  <c r="K11" i="1"/>
  <c r="L11" i="1" s="1"/>
  <c r="K21" i="1"/>
  <c r="L21" i="1" s="1"/>
  <c r="J27" i="1"/>
  <c r="L27" i="1" s="1"/>
  <c r="K6" i="1" l="1"/>
  <c r="J6" i="1"/>
  <c r="L6" i="1" l="1"/>
</calcChain>
</file>

<file path=xl/sharedStrings.xml><?xml version="1.0" encoding="utf-8"?>
<sst xmlns="http://schemas.openxmlformats.org/spreadsheetml/2006/main" count="30" uniqueCount="30">
  <si>
    <t>Brazil</t>
  </si>
  <si>
    <t>North</t>
  </si>
  <si>
    <t>Northeast</t>
  </si>
  <si>
    <t>Maranhão</t>
  </si>
  <si>
    <t>Paraíba</t>
  </si>
  <si>
    <t>Alagoas</t>
  </si>
  <si>
    <t>Southeast</t>
  </si>
  <si>
    <t>Minas Gerais</t>
  </si>
  <si>
    <t>Espírito Santo</t>
  </si>
  <si>
    <t>South</t>
  </si>
  <si>
    <t>Santa Catarina</t>
  </si>
  <si>
    <t>Central-West</t>
  </si>
  <si>
    <t>Sources: Petrobras, importers and ANP.</t>
  </si>
  <si>
    <r>
      <t>Natural gas sales by producers and importers (10</t>
    </r>
    <r>
      <rPr>
        <b/>
        <vertAlign val="superscript"/>
        <sz val="7"/>
        <color theme="1"/>
        <rFont val="Helvetica Neue"/>
      </rPr>
      <t>6</t>
    </r>
    <r>
      <rPr>
        <b/>
        <sz val="7"/>
        <color theme="1"/>
        <rFont val="Helvetica Neue"/>
      </rPr>
      <t xml:space="preserve"> m³)</t>
    </r>
  </si>
  <si>
    <t>Note: Only the regions and states in which natural gas was sold in the specified period are listed.</t>
  </si>
  <si>
    <t>23/22
%</t>
  </si>
  <si>
    <t>Regions and states</t>
  </si>
  <si>
    <t>Amazonas</t>
  </si>
  <si>
    <t>Ceará</t>
  </si>
  <si>
    <t>Rio Grande do Norte</t>
  </si>
  <si>
    <t>Pernambuco</t>
  </si>
  <si>
    <t>Sergipe</t>
  </si>
  <si>
    <t>Bahia</t>
  </si>
  <si>
    <t>Rio de Janeiro</t>
  </si>
  <si>
    <t>São Paulo</t>
  </si>
  <si>
    <t>Paraná</t>
  </si>
  <si>
    <t>Rio Grande do Sul</t>
  </si>
  <si>
    <t>Mato Grosso do Sul</t>
  </si>
  <si>
    <t>Mato Grosso</t>
  </si>
  <si>
    <t>Table 1.25 – Natural gas sales, by producers and importers, according brazilian regions and states –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</si>
</sst>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#,##0.0"/>
    <numFmt numFmtId="168" formatCode="0.0000"/>
    <numFmt numFmtId="169" formatCode="_(* #,##0.000_);_(* \(#,##0.000\);_(* &quot;-&quot;??_);_(@_)"/>
  </numFmts>
  <fonts count="12">
    <font>
      <sz val="12"/>
      <name val="Arial MT"/>
    </font>
    <font>
      <sz val="10"/>
      <name val="Arial"/>
      <family val="2"/>
    </font>
    <font>
      <sz val="7"/>
      <name val="Helvetica Neue"/>
      <family val="2"/>
    </font>
    <font>
      <b/>
      <sz val="7"/>
      <name val="Helvetica Neue"/>
      <family val="2"/>
    </font>
    <font>
      <vertAlign val="superscript"/>
      <sz val="7"/>
      <name val="Helvetica Neue"/>
      <family val="2"/>
    </font>
    <font>
      <b/>
      <sz val="9"/>
      <color theme="1"/>
      <name val="Helvetica Neue"/>
    </font>
    <font>
      <sz val="7"/>
      <color theme="1"/>
      <name val="Helvetica Neue"/>
    </font>
    <font>
      <b/>
      <sz val="7"/>
      <color theme="1"/>
      <name val="Helvetica Neue"/>
    </font>
    <font>
      <b/>
      <vertAlign val="superscript"/>
      <sz val="7"/>
      <color theme="1"/>
      <name val="Helvetica Neue"/>
    </font>
    <font>
      <vertAlign val="superscript"/>
      <sz val="7"/>
      <color theme="1"/>
      <name val="Helvetica Neue"/>
    </font>
    <font>
      <b/>
      <sz val="7"/>
      <name val="Helvetica Neue"/>
    </font>
    <font>
      <sz val="7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lightTrellis">
        <fgColor indexed="9"/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6" fontId="2" fillId="0" borderId="0" xfId="1" applyNumberFormat="1" applyFont="1" applyFill="1" applyBorder="1" applyAlignment="1">
      <alignment vertical="center"/>
    </xf>
    <xf numFmtId="37" fontId="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37" fontId="2" fillId="0" borderId="0" xfId="0" applyNumberFormat="1" applyFont="1" applyAlignment="1">
      <alignment horizontal="left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fill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7" fontId="2" fillId="0" borderId="0" xfId="0" applyNumberFormat="1" applyFont="1" applyAlignment="1" applyProtection="1">
      <alignment vertical="center"/>
      <protection locked="0"/>
    </xf>
    <xf numFmtId="37" fontId="2" fillId="0" borderId="0" xfId="0" applyNumberFormat="1" applyFont="1" applyAlignment="1" applyProtection="1">
      <alignment horizontal="center" vertical="center"/>
      <protection locked="0"/>
    </xf>
    <xf numFmtId="37" fontId="2" fillId="0" borderId="0" xfId="0" applyNumberFormat="1" applyFont="1" applyAlignment="1">
      <alignment horizontal="fill" vertical="center"/>
    </xf>
    <xf numFmtId="37" fontId="2" fillId="0" borderId="0" xfId="0" applyNumberFormat="1" applyFont="1" applyAlignment="1" applyProtection="1">
      <alignment horizontal="fill" vertical="center"/>
      <protection locked="0"/>
    </xf>
    <xf numFmtId="166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vertical="center"/>
    </xf>
    <xf numFmtId="168" fontId="2" fillId="2" borderId="0" xfId="0" applyNumberFormat="1" applyFont="1" applyFill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169" fontId="2" fillId="0" borderId="0" xfId="1" applyNumberFormat="1" applyFont="1" applyFill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37" fontId="6" fillId="0" borderId="2" xfId="0" applyNumberFormat="1" applyFont="1" applyBorder="1" applyAlignment="1">
      <alignment horizontal="center" vertical="center"/>
    </xf>
    <xf numFmtId="37" fontId="6" fillId="0" borderId="2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69" fontId="6" fillId="0" borderId="0" xfId="1" applyNumberFormat="1" applyFont="1" applyFill="1" applyBorder="1" applyAlignment="1">
      <alignment vertical="center"/>
    </xf>
    <xf numFmtId="166" fontId="3" fillId="0" borderId="0" xfId="1" applyNumberFormat="1" applyFont="1" applyFill="1" applyBorder="1" applyAlignment="1" applyProtection="1">
      <alignment horizontal="right" vertical="center" wrapText="1"/>
    </xf>
    <xf numFmtId="4" fontId="3" fillId="0" borderId="0" xfId="1" applyNumberFormat="1" applyFont="1" applyFill="1" applyBorder="1" applyAlignment="1" applyProtection="1">
      <alignment horizontal="right" vertical="center" wrapText="1"/>
    </xf>
    <xf numFmtId="169" fontId="2" fillId="0" borderId="0" xfId="1" applyNumberFormat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4" fontId="10" fillId="0" borderId="0" xfId="1" applyNumberFormat="1" applyFont="1" applyFill="1" applyBorder="1" applyAlignment="1" applyProtection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4" fontId="11" fillId="0" borderId="0" xfId="1" applyNumberFormat="1" applyFont="1" applyFill="1" applyBorder="1" applyAlignment="1" applyProtection="1">
      <alignment horizontal="right" vertical="center" wrapText="1"/>
    </xf>
    <xf numFmtId="166" fontId="11" fillId="0" borderId="0" xfId="1" applyNumberFormat="1" applyFont="1" applyFill="1" applyBorder="1" applyAlignment="1">
      <alignment vertical="center"/>
    </xf>
    <xf numFmtId="169" fontId="2" fillId="0" borderId="0" xfId="1" applyNumberFormat="1" applyFont="1" applyFill="1" applyBorder="1" applyAlignment="1" applyProtection="1">
      <alignment horizontal="right" vertical="center" wrapText="1"/>
    </xf>
    <xf numFmtId="167" fontId="11" fillId="0" borderId="0" xfId="1" applyNumberFormat="1" applyFont="1" applyFill="1" applyBorder="1" applyAlignment="1" applyProtection="1">
      <alignment horizontal="right" vertical="center" wrapText="1"/>
    </xf>
    <xf numFmtId="166" fontId="2" fillId="0" borderId="0" xfId="1" applyNumberFormat="1" applyFont="1" applyFill="1" applyBorder="1" applyAlignment="1" applyProtection="1">
      <alignment horizontal="right" vertical="center" wrapText="1"/>
    </xf>
    <xf numFmtId="4" fontId="2" fillId="0" borderId="0" xfId="1" applyNumberFormat="1" applyFont="1" applyFill="1" applyBorder="1" applyAlignment="1" applyProtection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Q118"/>
  <sheetViews>
    <sheetView showGridLines="0" tabSelected="1" zoomScaleNormal="100" workbookViewId="0">
      <selection activeCell="A2" sqref="A2"/>
    </sheetView>
  </sheetViews>
  <sheetFormatPr defaultColWidth="10.765625" defaultRowHeight="9"/>
  <cols>
    <col min="1" max="1" width="15.4609375" style="4" customWidth="1"/>
    <col min="2" max="12" width="5.23046875" style="1" customWidth="1"/>
    <col min="13" max="13" width="1.765625" style="19" customWidth="1"/>
    <col min="14" max="16384" width="10.765625" style="1"/>
  </cols>
  <sheetData>
    <row r="1" spans="1:15" ht="12.75" customHeight="1">
      <c r="A1" s="24" t="s">
        <v>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5" s="2" customFormat="1" ht="7.5" customHeigh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0"/>
    </row>
    <row r="3" spans="1:15" s="2" customFormat="1" ht="10.5" customHeight="1">
      <c r="A3" s="52" t="s">
        <v>16</v>
      </c>
      <c r="B3" s="56" t="s">
        <v>13</v>
      </c>
      <c r="C3" s="57"/>
      <c r="D3" s="57"/>
      <c r="E3" s="57"/>
      <c r="F3" s="57"/>
      <c r="G3" s="57"/>
      <c r="H3" s="57"/>
      <c r="I3" s="57"/>
      <c r="J3" s="57"/>
      <c r="K3" s="58"/>
      <c r="L3" s="54" t="s">
        <v>15</v>
      </c>
      <c r="M3" s="20"/>
    </row>
    <row r="4" spans="1:15" s="2" customFormat="1" ht="10.5" customHeight="1">
      <c r="A4" s="53"/>
      <c r="B4" s="27">
        <v>2014</v>
      </c>
      <c r="C4" s="27">
        <v>2015</v>
      </c>
      <c r="D4" s="27">
        <v>2016</v>
      </c>
      <c r="E4" s="27">
        <v>2017</v>
      </c>
      <c r="F4" s="27">
        <v>2018</v>
      </c>
      <c r="G4" s="27">
        <v>2019</v>
      </c>
      <c r="H4" s="27">
        <v>2020</v>
      </c>
      <c r="I4" s="27">
        <v>2021</v>
      </c>
      <c r="J4" s="27">
        <v>2022</v>
      </c>
      <c r="K4" s="27">
        <v>2023</v>
      </c>
      <c r="L4" s="55"/>
      <c r="M4" s="20"/>
    </row>
    <row r="5" spans="1:1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5">
      <c r="A6" s="28" t="s">
        <v>0</v>
      </c>
      <c r="B6" s="38">
        <f t="shared" ref="B6:K6" si="0">B8+B11+B21+B27+B32</f>
        <v>31765.321408</v>
      </c>
      <c r="C6" s="38">
        <f t="shared" si="0"/>
        <v>32402.467701999998</v>
      </c>
      <c r="D6" s="38">
        <f t="shared" si="0"/>
        <v>27224.483515</v>
      </c>
      <c r="E6" s="38">
        <f t="shared" si="0"/>
        <v>27490.860364</v>
      </c>
      <c r="F6" s="38">
        <f t="shared" si="0"/>
        <v>26050.725306967048</v>
      </c>
      <c r="G6" s="38">
        <f t="shared" si="0"/>
        <v>25854.502469918938</v>
      </c>
      <c r="H6" s="38">
        <f t="shared" si="0"/>
        <v>21971.720377000001</v>
      </c>
      <c r="I6" s="38">
        <f t="shared" si="0"/>
        <v>30326.046464000003</v>
      </c>
      <c r="J6" s="38">
        <f t="shared" si="0"/>
        <v>22374.368170000002</v>
      </c>
      <c r="K6" s="38">
        <f t="shared" si="0"/>
        <v>19937.090539999997</v>
      </c>
      <c r="L6" s="39">
        <f>100*(K6-J6)/J6</f>
        <v>-10.893168519806313</v>
      </c>
      <c r="N6" s="5"/>
    </row>
    <row r="7" spans="1:15">
      <c r="A7" s="30"/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  <c r="N7" s="5"/>
    </row>
    <row r="8" spans="1:15">
      <c r="A8" s="28" t="s">
        <v>1</v>
      </c>
      <c r="B8" s="38">
        <f t="shared" ref="B8:K8" si="1">SUM(B9)</f>
        <v>1252.730313</v>
      </c>
      <c r="C8" s="38">
        <f t="shared" si="1"/>
        <v>1363.2273680000001</v>
      </c>
      <c r="D8" s="38">
        <f t="shared" si="1"/>
        <v>1735.9474019999998</v>
      </c>
      <c r="E8" s="38">
        <f t="shared" si="1"/>
        <v>1765.019133</v>
      </c>
      <c r="F8" s="38">
        <f t="shared" si="1"/>
        <v>1827.134947</v>
      </c>
      <c r="G8" s="38">
        <f t="shared" si="1"/>
        <v>2338.8998897054371</v>
      </c>
      <c r="H8" s="38">
        <f t="shared" si="1"/>
        <v>1746.993074</v>
      </c>
      <c r="I8" s="38">
        <f t="shared" si="1"/>
        <v>2118.7071559999999</v>
      </c>
      <c r="J8" s="38">
        <f t="shared" si="1"/>
        <v>1577.148848</v>
      </c>
      <c r="K8" s="38">
        <f t="shared" si="1"/>
        <v>1665.748</v>
      </c>
      <c r="L8" s="42">
        <f>100*(K8-J8)/J8</f>
        <v>5.6176785160356655</v>
      </c>
      <c r="N8" s="5"/>
      <c r="O8" s="23"/>
    </row>
    <row r="9" spans="1:15" ht="10.5">
      <c r="A9" s="30" t="s">
        <v>17</v>
      </c>
      <c r="B9" s="43">
        <v>1252.730313</v>
      </c>
      <c r="C9" s="43">
        <v>1363.2273680000001</v>
      </c>
      <c r="D9" s="43">
        <f>1075.001061+660.946341</f>
        <v>1735.9474019999998</v>
      </c>
      <c r="E9" s="43">
        <f>1101.503133+147.582+515.934</f>
        <v>1765.019133</v>
      </c>
      <c r="F9" s="43">
        <f>1420.885341+406.249606</f>
        <v>1827.134947</v>
      </c>
      <c r="G9" s="43">
        <f>1655.394421+683.505468705437</f>
        <v>2338.8998897054371</v>
      </c>
      <c r="H9" s="43">
        <f>1468.35092+278.642154</f>
        <v>1746.993074</v>
      </c>
      <c r="I9" s="43">
        <f>1885.912963+232.794193</f>
        <v>2118.7071559999999</v>
      </c>
      <c r="J9" s="43">
        <v>1577.148848</v>
      </c>
      <c r="K9" s="43">
        <v>1665.748</v>
      </c>
      <c r="L9" s="44">
        <f>100*(K9-J9)/J9</f>
        <v>5.6176785160356655</v>
      </c>
      <c r="N9" s="5"/>
    </row>
    <row r="10" spans="1:15">
      <c r="A10" s="3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1"/>
      <c r="N10" s="5"/>
    </row>
    <row r="11" spans="1:15">
      <c r="A11" s="28" t="s">
        <v>2</v>
      </c>
      <c r="B11" s="38">
        <f t="shared" ref="B11:K11" si="2">SUM(B12:B19)</f>
        <v>7293.889854</v>
      </c>
      <c r="C11" s="38">
        <f t="shared" si="2"/>
        <v>7044.0710369999997</v>
      </c>
      <c r="D11" s="38">
        <f t="shared" si="2"/>
        <v>7360.2420220000004</v>
      </c>
      <c r="E11" s="38">
        <f t="shared" si="2"/>
        <v>7276.6471359999996</v>
      </c>
      <c r="F11" s="38">
        <f t="shared" si="2"/>
        <v>6626.3434585300001</v>
      </c>
      <c r="G11" s="38">
        <f t="shared" si="2"/>
        <v>5804.058102</v>
      </c>
      <c r="H11" s="38">
        <f t="shared" si="2"/>
        <v>4953.0623690000002</v>
      </c>
      <c r="I11" s="38">
        <f t="shared" si="2"/>
        <v>7368.1364759999997</v>
      </c>
      <c r="J11" s="38">
        <f t="shared" si="2"/>
        <v>4519.1880080000001</v>
      </c>
      <c r="K11" s="38">
        <f t="shared" si="2"/>
        <v>3936.739</v>
      </c>
      <c r="L11" s="39">
        <f>100*(K11-J11)/J11</f>
        <v>-12.888355318896483</v>
      </c>
      <c r="N11" s="5"/>
    </row>
    <row r="12" spans="1:15">
      <c r="A12" s="30" t="s">
        <v>3</v>
      </c>
      <c r="B12" s="5">
        <v>1604.6489999999999</v>
      </c>
      <c r="C12" s="5">
        <v>1554.0362250000001</v>
      </c>
      <c r="D12" s="5">
        <v>1714.6787139999999</v>
      </c>
      <c r="E12" s="5">
        <v>1607.08</v>
      </c>
      <c r="F12" s="5">
        <v>1402.32442853</v>
      </c>
      <c r="G12" s="5">
        <v>1380.514541</v>
      </c>
      <c r="H12" s="5">
        <v>1342.2636239999999</v>
      </c>
      <c r="I12" s="5">
        <v>2127.4151160000001</v>
      </c>
      <c r="J12" s="5">
        <v>916.09953599999994</v>
      </c>
      <c r="K12" s="5">
        <v>834.73099999999999</v>
      </c>
      <c r="L12" s="44">
        <f>100*(K12-J12)/J12</f>
        <v>-8.8820627892993453</v>
      </c>
      <c r="N12" s="5"/>
    </row>
    <row r="13" spans="1:15" ht="10.5">
      <c r="A13" s="30" t="s">
        <v>18</v>
      </c>
      <c r="B13" s="5">
        <f>702.925813+529.640737</f>
        <v>1232.56655</v>
      </c>
      <c r="C13" s="5">
        <f>671.808233+496.840287</f>
        <v>1168.64852</v>
      </c>
      <c r="D13" s="5">
        <f>497.925725</f>
        <v>497.925725</v>
      </c>
      <c r="E13" s="5">
        <v>579.90225999999996</v>
      </c>
      <c r="F13" s="5">
        <f>289.044457+56.617181</f>
        <v>345.66163800000004</v>
      </c>
      <c r="G13" s="5">
        <f>414.798186+67.543813</f>
        <v>482.34199899999999</v>
      </c>
      <c r="H13" s="5">
        <f>168.177235+12.057254</f>
        <v>180.234489</v>
      </c>
      <c r="I13" s="5">
        <f>235.371775+23.697674</f>
        <v>259.06944900000002</v>
      </c>
      <c r="J13" s="5">
        <v>134.76476199999999</v>
      </c>
      <c r="K13" s="5">
        <f>23.859+13.052+76.751</f>
        <v>113.66200000000001</v>
      </c>
      <c r="L13" s="44">
        <f>100*(K13-J13)/J13</f>
        <v>-15.65896135371054</v>
      </c>
      <c r="N13" s="5"/>
      <c r="O13" s="18"/>
    </row>
    <row r="14" spans="1:15" ht="10.5">
      <c r="A14" s="30" t="s">
        <v>19</v>
      </c>
      <c r="B14" s="5">
        <f>123.253844+22.609781</f>
        <v>145.86362500000001</v>
      </c>
      <c r="C14" s="5">
        <f>104.497378+13.782045</f>
        <v>118.27942299999999</v>
      </c>
      <c r="D14" s="5">
        <f>99.450017+58.880121+564.831342</f>
        <v>723.16147999999998</v>
      </c>
      <c r="E14" s="5">
        <f>111.335345+540.413</f>
        <v>651.74834499999997</v>
      </c>
      <c r="F14" s="5">
        <f>114.409751+429.014182</f>
        <v>543.42393300000003</v>
      </c>
      <c r="G14" s="5">
        <f>104.402257+398.113073</f>
        <v>502.51533000000001</v>
      </c>
      <c r="H14" s="5">
        <f>73.40089+343.768329</f>
        <v>417.169219</v>
      </c>
      <c r="I14" s="5">
        <f>83.401544+329.127079</f>
        <v>412.52862299999998</v>
      </c>
      <c r="J14" s="5">
        <v>412.28494799999999</v>
      </c>
      <c r="K14" s="5">
        <f>12.765+164.846+80.559</f>
        <v>258.16999999999996</v>
      </c>
      <c r="L14" s="44">
        <f t="shared" ref="L14:L19" si="3">100*(K14-J14)/J14</f>
        <v>-37.38068749480518</v>
      </c>
      <c r="N14" s="5"/>
      <c r="O14" s="18"/>
    </row>
    <row r="15" spans="1:15">
      <c r="A15" s="30" t="s">
        <v>4</v>
      </c>
      <c r="B15" s="5">
        <v>121.955752</v>
      </c>
      <c r="C15" s="5">
        <v>110.186075</v>
      </c>
      <c r="D15" s="5">
        <v>98.428296000000003</v>
      </c>
      <c r="E15" s="5">
        <v>95.248824999999997</v>
      </c>
      <c r="F15" s="5">
        <v>94.723658</v>
      </c>
      <c r="G15" s="5">
        <v>85.253859000000006</v>
      </c>
      <c r="H15" s="5">
        <v>65.872451999999996</v>
      </c>
      <c r="I15" s="5">
        <v>79.149803000000006</v>
      </c>
      <c r="J15" s="5">
        <v>75.629344000000003</v>
      </c>
      <c r="K15" s="5">
        <v>21.896000000000001</v>
      </c>
      <c r="L15" s="44">
        <f t="shared" si="3"/>
        <v>-71.048274595638432</v>
      </c>
      <c r="N15" s="5"/>
    </row>
    <row r="16" spans="1:15" ht="10.5">
      <c r="A16" s="30" t="s">
        <v>20</v>
      </c>
      <c r="B16" s="45">
        <v>1167.609911</v>
      </c>
      <c r="C16" s="45">
        <v>1044.2640779999999</v>
      </c>
      <c r="D16" s="45">
        <f>1191.1445</f>
        <v>1191.1445000000001</v>
      </c>
      <c r="E16" s="45">
        <v>1197.1184209999999</v>
      </c>
      <c r="F16" s="45">
        <v>1157.67922</v>
      </c>
      <c r="G16" s="45">
        <v>1165.9443120000001</v>
      </c>
      <c r="H16" s="45">
        <v>970.00803299999995</v>
      </c>
      <c r="I16" s="45">
        <v>1179.594171</v>
      </c>
      <c r="J16" s="45">
        <v>586.11595599999998</v>
      </c>
      <c r="K16" s="45">
        <v>576.65499999999997</v>
      </c>
      <c r="L16" s="44">
        <f t="shared" si="3"/>
        <v>-1.6141782019665765</v>
      </c>
      <c r="N16" s="5"/>
    </row>
    <row r="17" spans="1:15">
      <c r="A17" s="30" t="s">
        <v>5</v>
      </c>
      <c r="B17" s="5">
        <v>222.42866699999999</v>
      </c>
      <c r="C17" s="5">
        <v>221.52729600000001</v>
      </c>
      <c r="D17" s="5">
        <f>227.068867</f>
        <v>227.06886700000001</v>
      </c>
      <c r="E17" s="5">
        <v>227.221148</v>
      </c>
      <c r="F17" s="5">
        <v>226.50786199999999</v>
      </c>
      <c r="G17" s="5">
        <v>198.3604</v>
      </c>
      <c r="H17" s="5">
        <v>169.69412800000001</v>
      </c>
      <c r="I17" s="5">
        <v>213.27125599999999</v>
      </c>
      <c r="J17" s="5">
        <v>235.42500000000001</v>
      </c>
      <c r="K17" s="5">
        <f>7.2+185.42</f>
        <v>192.61999999999998</v>
      </c>
      <c r="L17" s="44">
        <f t="shared" si="3"/>
        <v>-18.182011256238731</v>
      </c>
      <c r="N17" s="5"/>
    </row>
    <row r="18" spans="1:15" ht="10.5">
      <c r="A18" s="30" t="s">
        <v>21</v>
      </c>
      <c r="B18" s="5">
        <f>103.02498+405.051</f>
        <v>508.07597999999996</v>
      </c>
      <c r="C18" s="5">
        <f>100.341966+456.61</f>
        <v>556.95196599999997</v>
      </c>
      <c r="D18" s="5">
        <f>100.372699+470.737342</f>
        <v>571.11004100000002</v>
      </c>
      <c r="E18" s="5">
        <f>91.729319+470.737</f>
        <v>562.466319</v>
      </c>
      <c r="F18" s="5">
        <v>488.81078200000002</v>
      </c>
      <c r="G18" s="5">
        <f>122.723308+33.890618</f>
        <v>156.61392599999999</v>
      </c>
      <c r="H18" s="5">
        <f>84.032817+210</f>
        <v>294.03281700000002</v>
      </c>
      <c r="I18" s="5">
        <f>675.072911+755.915</f>
        <v>1430.9879109999999</v>
      </c>
      <c r="J18" s="5">
        <v>528.17784500000005</v>
      </c>
      <c r="K18" s="5">
        <f>45.946+192.238</f>
        <v>238.184</v>
      </c>
      <c r="L18" s="44">
        <f t="shared" si="3"/>
        <v>-54.904583322687465</v>
      </c>
      <c r="N18" s="5"/>
      <c r="O18" s="18"/>
    </row>
    <row r="19" spans="1:15" ht="10.5">
      <c r="A19" s="30" t="s">
        <v>22</v>
      </c>
      <c r="B19" s="5">
        <f>1420.367821+472.778+397.594548</f>
        <v>2290.7403690000001</v>
      </c>
      <c r="C19" s="5">
        <f>1405.781909+429.277+435.118545</f>
        <v>2270.1774540000001</v>
      </c>
      <c r="D19" s="5">
        <f>1229.029236+509.150787+598.544376</f>
        <v>2336.7243990000002</v>
      </c>
      <c r="E19" s="5">
        <f>1303.893818+453.424+402.559+195.985</f>
        <v>2355.8618180000003</v>
      </c>
      <c r="F19" s="5">
        <f>1374.943099+426.019232+566.249606</f>
        <v>2367.211937</v>
      </c>
      <c r="G19" s="5">
        <f>1329.737841+75.969379+426.806515</f>
        <v>1832.5137349999998</v>
      </c>
      <c r="H19" s="5">
        <f>1168.085638+344.483652+1.218317</f>
        <v>1513.787607</v>
      </c>
      <c r="I19" s="5">
        <f>1267.43908+382.858859+15.822208</f>
        <v>1666.1201470000001</v>
      </c>
      <c r="J19" s="5">
        <f>1097.786318+381.516458+151.387841</f>
        <v>1630.690617</v>
      </c>
      <c r="K19" s="5">
        <f>415.509+208.154+1077.158</f>
        <v>1700.8209999999999</v>
      </c>
      <c r="L19" s="44">
        <f t="shared" si="3"/>
        <v>4.3006553339357287</v>
      </c>
      <c r="N19" s="5"/>
      <c r="O19" s="18"/>
    </row>
    <row r="20" spans="1:15">
      <c r="A20" s="30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1"/>
      <c r="N20" s="5"/>
    </row>
    <row r="21" spans="1:15">
      <c r="A21" s="28" t="s">
        <v>6</v>
      </c>
      <c r="B21" s="38">
        <f t="shared" ref="B21:J21" si="4">SUM(B22:B25)</f>
        <v>19208.648981999999</v>
      </c>
      <c r="C21" s="38">
        <f t="shared" si="4"/>
        <v>19036.729403999998</v>
      </c>
      <c r="D21" s="38">
        <f t="shared" si="4"/>
        <v>16085.558117999999</v>
      </c>
      <c r="E21" s="38">
        <f t="shared" si="4"/>
        <v>16222.576385999999</v>
      </c>
      <c r="F21" s="38">
        <f t="shared" si="4"/>
        <v>15389.340598999548</v>
      </c>
      <c r="G21" s="38">
        <f t="shared" si="4"/>
        <v>15285.208749452398</v>
      </c>
      <c r="H21" s="38">
        <f t="shared" si="4"/>
        <v>12772.314983</v>
      </c>
      <c r="I21" s="38">
        <f t="shared" si="4"/>
        <v>17736.250431</v>
      </c>
      <c r="J21" s="38">
        <f t="shared" si="4"/>
        <v>14008.920758</v>
      </c>
      <c r="K21" s="38">
        <f>SUM(K22:K25)</f>
        <v>12766.330539999999</v>
      </c>
      <c r="L21" s="39">
        <f>100*(K21-J21)/J21</f>
        <v>-8.8699924816863689</v>
      </c>
      <c r="N21" s="22"/>
    </row>
    <row r="22" spans="1:15">
      <c r="A22" s="30" t="s">
        <v>7</v>
      </c>
      <c r="B22" s="5">
        <v>1527.7942539999999</v>
      </c>
      <c r="C22" s="5">
        <v>1401.825317</v>
      </c>
      <c r="D22" s="5">
        <f>1079.030202+226.254711</f>
        <v>1305.284913</v>
      </c>
      <c r="E22" s="5">
        <f>1272.94499</f>
        <v>1272.94499</v>
      </c>
      <c r="F22" s="5">
        <f>1093.655707</f>
        <v>1093.6557069999999</v>
      </c>
      <c r="G22" s="5">
        <v>1127.336953</v>
      </c>
      <c r="H22" s="5">
        <f>935.825408+140.467121</f>
        <v>1076.2925290000001</v>
      </c>
      <c r="I22" s="5">
        <v>1372.281643</v>
      </c>
      <c r="J22" s="5">
        <v>1001.204667</v>
      </c>
      <c r="K22" s="5">
        <f>819.354+0.98354</f>
        <v>820.33753999999999</v>
      </c>
      <c r="L22" s="47">
        <f>100*(K22-J22)/J22</f>
        <v>-18.064950450335843</v>
      </c>
      <c r="N22" s="5"/>
    </row>
    <row r="23" spans="1:15">
      <c r="A23" s="30" t="s">
        <v>8</v>
      </c>
      <c r="B23" s="5">
        <v>1294.5133639999999</v>
      </c>
      <c r="C23" s="5">
        <v>1207.1700129999999</v>
      </c>
      <c r="D23" s="5">
        <f>959.815983</f>
        <v>959.81598299999996</v>
      </c>
      <c r="E23" s="5">
        <v>990.89249900000004</v>
      </c>
      <c r="F23" s="5">
        <v>996.96334400000001</v>
      </c>
      <c r="G23" s="5">
        <v>911.37277200000005</v>
      </c>
      <c r="H23" s="5">
        <v>843.52205500000002</v>
      </c>
      <c r="I23" s="5">
        <v>990.59161099999994</v>
      </c>
      <c r="J23" s="5">
        <v>786.46986700000002</v>
      </c>
      <c r="K23" s="5">
        <f>640.786+65.769</f>
        <v>706.55499999999995</v>
      </c>
      <c r="L23" s="47">
        <f>100*(K23-J23)/J23</f>
        <v>-10.161211554720643</v>
      </c>
      <c r="N23" s="5"/>
    </row>
    <row r="24" spans="1:15" ht="10.5">
      <c r="A24" s="30" t="s">
        <v>23</v>
      </c>
      <c r="B24" s="5">
        <f>8630.375862+F23</f>
        <v>9627.3392060000006</v>
      </c>
      <c r="C24" s="5">
        <f>8879.295667+687.716746</f>
        <v>9567.0124130000004</v>
      </c>
      <c r="D24" s="5">
        <f>5865.81697+2219.154912</f>
        <v>8084.9718819999998</v>
      </c>
      <c r="E24" s="5">
        <f>7051.529968+1279.155</f>
        <v>8330.6849679999996</v>
      </c>
      <c r="F24" s="5">
        <f>5895.557862+2122.16259224955</f>
        <v>8017.7204542495492</v>
      </c>
      <c r="G24" s="5">
        <f>5792.967114+1837.9071174524</f>
        <v>7630.8742314523997</v>
      </c>
      <c r="H24" s="5">
        <f>3571.927622+1892.520343</f>
        <v>5464.4479650000003</v>
      </c>
      <c r="I24" s="5">
        <f>4317.95085+3949.849818+335.8</f>
        <v>8603.6006679999991</v>
      </c>
      <c r="J24" s="5">
        <f>4660.629341+1098.695136</f>
        <v>5759.3244770000001</v>
      </c>
      <c r="K24" s="5">
        <f>2674.715+679.963+2470.491+23.834+116.88</f>
        <v>5965.8829999999998</v>
      </c>
      <c r="L24" s="44">
        <f>100*(K24-J24)/J24</f>
        <v>3.5865060880819635</v>
      </c>
      <c r="N24" s="5"/>
      <c r="O24" s="18"/>
    </row>
    <row r="25" spans="1:15" ht="10.5">
      <c r="A25" s="30" t="s">
        <v>24</v>
      </c>
      <c r="B25" s="45">
        <f>6308.438806+450.563352</f>
        <v>6759.0021580000002</v>
      </c>
      <c r="C25" s="45">
        <f>6392.934122+467.787539</f>
        <v>6860.7216609999996</v>
      </c>
      <c r="D25" s="45">
        <f>5081.624819+653.860521</f>
        <v>5735.4853399999993</v>
      </c>
      <c r="E25" s="45">
        <f>4974.192929+202.152+451.709</f>
        <v>5628.0539289999997</v>
      </c>
      <c r="F25" s="45">
        <f>5281.00109375</f>
        <v>5281.0010937500001</v>
      </c>
      <c r="G25" s="45">
        <v>5615.624793</v>
      </c>
      <c r="H25" s="45">
        <f>4763.864886+624.187548</f>
        <v>5388.0524340000002</v>
      </c>
      <c r="I25" s="45">
        <f>5588.788771+1180.987738</f>
        <v>6769.7765090000003</v>
      </c>
      <c r="J25" s="45">
        <f>6147.156586+314.765161</f>
        <v>6461.9217470000003</v>
      </c>
      <c r="K25" s="45">
        <f>4914.062+359.493</f>
        <v>5273.5550000000003</v>
      </c>
      <c r="L25" s="44">
        <f>100*(K25-J25)/J25</f>
        <v>-18.390299256590488</v>
      </c>
      <c r="N25" s="5"/>
      <c r="O25" s="18"/>
    </row>
    <row r="26" spans="1:15">
      <c r="A26" s="30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9"/>
      <c r="N26" s="5"/>
    </row>
    <row r="27" spans="1:15">
      <c r="A27" s="28" t="s">
        <v>9</v>
      </c>
      <c r="B27" s="38">
        <f t="shared" ref="B27:I27" si="5">SUM(B28:B30)</f>
        <v>2663.7606989999999</v>
      </c>
      <c r="C27" s="38">
        <f t="shared" si="5"/>
        <v>2488.0929059999999</v>
      </c>
      <c r="D27" s="38">
        <f t="shared" si="5"/>
        <v>1612.3307709999999</v>
      </c>
      <c r="E27" s="38">
        <f t="shared" si="5"/>
        <v>1640.068415</v>
      </c>
      <c r="F27" s="38">
        <f t="shared" si="5"/>
        <v>1766.5813579999999</v>
      </c>
      <c r="G27" s="38">
        <f t="shared" si="5"/>
        <v>1894.1891930000002</v>
      </c>
      <c r="H27" s="38">
        <f t="shared" si="5"/>
        <v>1829.113513</v>
      </c>
      <c r="I27" s="38">
        <f t="shared" si="5"/>
        <v>2204.8247739999997</v>
      </c>
      <c r="J27" s="38">
        <f>SUM(J28:J30)</f>
        <v>1719.048415</v>
      </c>
      <c r="K27" s="38">
        <f>SUM(K28:K30)</f>
        <v>1323.491</v>
      </c>
      <c r="L27" s="39">
        <f>100*(K27-J27)/J27</f>
        <v>-23.010254484310146</v>
      </c>
      <c r="N27" s="5"/>
    </row>
    <row r="28" spans="1:15" ht="9" customHeight="1">
      <c r="A28" s="30" t="s">
        <v>25</v>
      </c>
      <c r="B28" s="48">
        <f>1016.488753+211.6156</f>
        <v>1228.1043529999999</v>
      </c>
      <c r="C28" s="48">
        <f>990.402903+72.585626</f>
        <v>1062.988529</v>
      </c>
      <c r="D28" s="48">
        <f>468.824718</f>
        <v>468.82471800000002</v>
      </c>
      <c r="E28" s="48">
        <v>449.72023899999999</v>
      </c>
      <c r="F28" s="48">
        <v>426.750608</v>
      </c>
      <c r="G28" s="48">
        <v>519.67582100000004</v>
      </c>
      <c r="H28" s="48">
        <v>569.38232100000005</v>
      </c>
      <c r="I28" s="48">
        <v>770.85569099999998</v>
      </c>
      <c r="J28" s="48">
        <f>394.455769+34.357079</f>
        <v>428.81284799999997</v>
      </c>
      <c r="K28" s="48">
        <v>299.74799999999999</v>
      </c>
      <c r="L28" s="44">
        <f>100*(K28-J28)/J28</f>
        <v>-30.098176535979164</v>
      </c>
      <c r="N28" s="5"/>
      <c r="O28" s="18"/>
    </row>
    <row r="29" spans="1:15">
      <c r="A29" s="30" t="s">
        <v>10</v>
      </c>
      <c r="B29" s="48">
        <f>666.625692+52.3399</f>
        <v>718.96559200000002</v>
      </c>
      <c r="C29" s="48">
        <v>635.66662499999995</v>
      </c>
      <c r="D29" s="48">
        <v>619.86875199999997</v>
      </c>
      <c r="E29" s="48">
        <v>659.03948700000001</v>
      </c>
      <c r="F29" s="48">
        <v>711.46735100000001</v>
      </c>
      <c r="G29" s="48">
        <v>725.48268199999995</v>
      </c>
      <c r="H29" s="48">
        <v>681.70398799999998</v>
      </c>
      <c r="I29" s="48">
        <v>811.43610100000001</v>
      </c>
      <c r="J29" s="48">
        <v>711.64914099999999</v>
      </c>
      <c r="K29" s="48">
        <v>571.42899999999997</v>
      </c>
      <c r="L29" s="44">
        <f>100*(K29-J29)/J29</f>
        <v>-19.703549533266422</v>
      </c>
      <c r="N29" s="5"/>
    </row>
    <row r="30" spans="1:15" ht="9" customHeight="1">
      <c r="A30" s="30" t="s">
        <v>26</v>
      </c>
      <c r="B30" s="48">
        <f>649.456586+67.234168</f>
        <v>716.69075399999997</v>
      </c>
      <c r="C30" s="48">
        <f>707.438585+81.999167</f>
        <v>789.43775200000005</v>
      </c>
      <c r="D30" s="48">
        <f>522.180081+1.45722</f>
        <v>523.63730099999998</v>
      </c>
      <c r="E30" s="48">
        <v>531.30868899999996</v>
      </c>
      <c r="F30" s="48">
        <f>627.69373+0.669669</f>
        <v>628.36339899999996</v>
      </c>
      <c r="G30" s="48">
        <f>648.929641+0.101049</f>
        <v>649.03068999999994</v>
      </c>
      <c r="H30" s="48">
        <f>552.136276+25.890928</f>
        <v>578.02720399999998</v>
      </c>
      <c r="I30" s="48">
        <f>555.002935+0.014763+67.515284</f>
        <v>622.53298199999995</v>
      </c>
      <c r="J30" s="48">
        <f>559.188426+19.398</f>
        <v>578.58642600000007</v>
      </c>
      <c r="K30" s="48">
        <v>452.31400000000002</v>
      </c>
      <c r="L30" s="44">
        <f>100*(K30-J30)/J30</f>
        <v>-21.824298034949067</v>
      </c>
      <c r="N30" s="5"/>
      <c r="O30" s="18"/>
    </row>
    <row r="31" spans="1:15">
      <c r="A31" s="3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49"/>
      <c r="N31" s="5"/>
    </row>
    <row r="32" spans="1:15">
      <c r="A32" s="28" t="s">
        <v>11</v>
      </c>
      <c r="B32" s="51">
        <f t="shared" ref="B32:J32" si="6">B33+B34</f>
        <v>1346.2915600000001</v>
      </c>
      <c r="C32" s="51">
        <f t="shared" si="6"/>
        <v>2470.3469869999999</v>
      </c>
      <c r="D32" s="51">
        <f t="shared" si="6"/>
        <v>430.40520200000003</v>
      </c>
      <c r="E32" s="51">
        <f t="shared" si="6"/>
        <v>586.54929399999992</v>
      </c>
      <c r="F32" s="51">
        <f t="shared" si="6"/>
        <v>441.32494443750005</v>
      </c>
      <c r="G32" s="51">
        <f t="shared" si="6"/>
        <v>532.14653576110004</v>
      </c>
      <c r="H32" s="51">
        <f t="shared" si="6"/>
        <v>670.23643799999991</v>
      </c>
      <c r="I32" s="51">
        <f t="shared" si="6"/>
        <v>898.12762699999996</v>
      </c>
      <c r="J32" s="51">
        <f t="shared" si="6"/>
        <v>550.062141</v>
      </c>
      <c r="K32" s="51">
        <f>K33+K34</f>
        <v>244.78199999999998</v>
      </c>
      <c r="L32" s="39">
        <f>100*(K32-J32)/J32</f>
        <v>-55.499209679293308</v>
      </c>
      <c r="N32" s="5"/>
    </row>
    <row r="33" spans="1:16" ht="10.5">
      <c r="A33" s="30" t="s">
        <v>27</v>
      </c>
      <c r="B33" s="50">
        <f>505.702202+263.219711</f>
        <v>768.92191300000002</v>
      </c>
      <c r="C33" s="50">
        <f>457.502649+554.848147+660.480657</f>
        <v>1672.831453</v>
      </c>
      <c r="D33" s="50">
        <f>156.527005+245.649233</f>
        <v>402.17623800000001</v>
      </c>
      <c r="E33" s="50">
        <f>171.088926+354.593</f>
        <v>525.68192599999998</v>
      </c>
      <c r="F33" s="50">
        <f>211.453727+222.4811644375</f>
        <v>433.93489143750003</v>
      </c>
      <c r="G33" s="50">
        <f>211.727442+309.6288217611</f>
        <v>521.35626376110008</v>
      </c>
      <c r="H33" s="50">
        <f>201.282907+211.527852</f>
        <v>412.81075899999996</v>
      </c>
      <c r="I33" s="50">
        <f>249.876677+375.631524</f>
        <v>625.50820099999999</v>
      </c>
      <c r="J33" s="50">
        <f>199.941892+87.293269</f>
        <v>287.23516100000001</v>
      </c>
      <c r="K33" s="50">
        <f>179.631+30.285+15.825</f>
        <v>225.74099999999999</v>
      </c>
      <c r="L33" s="44">
        <f>100*(K33-J33)/J33</f>
        <v>-21.408994910619601</v>
      </c>
      <c r="N33" s="5"/>
      <c r="O33" s="18"/>
    </row>
    <row r="34" spans="1:16" ht="10.5">
      <c r="A34" s="30" t="s">
        <v>28</v>
      </c>
      <c r="B34" s="50">
        <f>2.916781+574.452866</f>
        <v>577.36964699999999</v>
      </c>
      <c r="C34" s="50">
        <f>135.514877+1.52+660.480657</f>
        <v>797.515534</v>
      </c>
      <c r="D34" s="50">
        <f>27.221432+1.007532</f>
        <v>28.228964000000001</v>
      </c>
      <c r="E34" s="50">
        <v>60.867367999999999</v>
      </c>
      <c r="F34" s="50">
        <v>7.390053</v>
      </c>
      <c r="G34" s="50">
        <v>10.790272</v>
      </c>
      <c r="H34" s="50">
        <f>51.1722+206.253479</f>
        <v>257.425679</v>
      </c>
      <c r="I34" s="50">
        <f>54.126738+218.492688</f>
        <v>272.61942599999998</v>
      </c>
      <c r="J34" s="50">
        <f>51.340199+211.486781</f>
        <v>262.82697999999999</v>
      </c>
      <c r="K34" s="50">
        <f>0.708+18.333</f>
        <v>19.040999999999997</v>
      </c>
      <c r="L34" s="44">
        <f>100*(K34-J34)/J34</f>
        <v>-92.755309976167581</v>
      </c>
      <c r="N34" s="5"/>
      <c r="O34" s="18"/>
      <c r="P34" s="18"/>
    </row>
    <row r="35" spans="1:16">
      <c r="A35" s="31"/>
      <c r="B35" s="32"/>
      <c r="C35" s="32"/>
      <c r="D35" s="33"/>
      <c r="E35" s="33"/>
      <c r="F35" s="33"/>
      <c r="G35" s="33"/>
      <c r="H35" s="33"/>
      <c r="I35" s="33"/>
      <c r="J35" s="33"/>
      <c r="K35" s="33"/>
      <c r="L35" s="33"/>
      <c r="N35" s="5"/>
      <c r="O35" s="18"/>
      <c r="P35" s="18"/>
    </row>
    <row r="36" spans="1:16" ht="10.5" customHeight="1">
      <c r="A36" s="26" t="s">
        <v>12</v>
      </c>
      <c r="B36" s="34"/>
      <c r="C36" s="34"/>
      <c r="D36" s="35"/>
      <c r="E36" s="35"/>
      <c r="F36" s="35"/>
      <c r="G36" s="35"/>
      <c r="H36" s="35"/>
      <c r="I36" s="35"/>
      <c r="J36" s="35"/>
      <c r="K36" s="35"/>
      <c r="L36" s="35"/>
    </row>
    <row r="37" spans="1:16" ht="10.5" customHeight="1">
      <c r="A37" s="30" t="s">
        <v>14</v>
      </c>
      <c r="B37" s="34"/>
      <c r="C37" s="34"/>
      <c r="D37" s="35"/>
      <c r="E37" s="35"/>
      <c r="F37" s="35"/>
      <c r="G37" s="35"/>
      <c r="H37" s="35"/>
      <c r="I37" s="35"/>
      <c r="J37" s="35"/>
      <c r="K37" s="35"/>
      <c r="L37" s="35"/>
      <c r="P37" s="18"/>
    </row>
    <row r="38" spans="1:16" ht="10.5" customHeight="1">
      <c r="A38" s="36"/>
      <c r="B38" s="35"/>
      <c r="C38" s="29"/>
      <c r="D38" s="29"/>
      <c r="E38" s="29"/>
      <c r="F38" s="29"/>
      <c r="G38" s="29"/>
      <c r="H38" s="29"/>
      <c r="I38" s="29"/>
      <c r="J38" s="29"/>
      <c r="K38" s="37"/>
      <c r="L38" s="29"/>
      <c r="P38" s="18"/>
    </row>
    <row r="39" spans="1:16" ht="10.5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6">
      <c r="B40" s="6"/>
      <c r="C40" s="6"/>
      <c r="D40" s="6"/>
      <c r="E40" s="6"/>
      <c r="F40" s="6"/>
      <c r="G40" s="6"/>
      <c r="H40" s="6"/>
      <c r="I40" s="6"/>
      <c r="J40" s="6"/>
      <c r="K40" s="5"/>
    </row>
    <row r="41" spans="1:16">
      <c r="A41" s="8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6"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6">
      <c r="B43" s="6"/>
      <c r="C43" s="6"/>
      <c r="D43" s="6"/>
      <c r="E43" s="6"/>
      <c r="F43" s="6"/>
      <c r="G43" s="6"/>
      <c r="H43" s="6"/>
      <c r="I43" s="6"/>
      <c r="J43" s="6"/>
      <c r="K43" s="6"/>
      <c r="L43" s="5"/>
    </row>
    <row r="44" spans="1:16"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6">
      <c r="K45" s="18"/>
    </row>
    <row r="46" spans="1:16"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6">
      <c r="A47" s="3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6"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7">
      <c r="A49" s="10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7">
      <c r="A50" s="10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7">
      <c r="A51" s="10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7">
      <c r="A52" s="10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7">
      <c r="A53" s="10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7">
      <c r="A54" s="10"/>
      <c r="F54" s="9"/>
    </row>
    <row r="55" spans="1:17">
      <c r="A55" s="10"/>
    </row>
    <row r="56" spans="1:17">
      <c r="A56" s="10"/>
    </row>
    <row r="62" spans="1:17">
      <c r="L62" s="4"/>
    </row>
    <row r="63" spans="1:17">
      <c r="L63" s="4"/>
    </row>
    <row r="64" spans="1:17">
      <c r="Q64" s="4"/>
    </row>
    <row r="66" spans="12:43">
      <c r="R66" s="4"/>
    </row>
    <row r="68" spans="12:43">
      <c r="R68" s="4"/>
    </row>
    <row r="70" spans="12:43">
      <c r="L70" s="11"/>
      <c r="M70" s="2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2:43">
      <c r="L71" s="4"/>
      <c r="M71" s="21"/>
      <c r="R71" s="4"/>
      <c r="AA71" s="13"/>
    </row>
    <row r="72" spans="12:43">
      <c r="L72" s="4"/>
      <c r="M72" s="2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D72" s="11"/>
      <c r="AE72" s="11"/>
      <c r="AF72" s="11"/>
      <c r="AG72" s="11"/>
      <c r="AI72" s="11"/>
      <c r="AJ72" s="11"/>
      <c r="AK72" s="11"/>
      <c r="AL72" s="11"/>
      <c r="AN72" s="11"/>
      <c r="AO72" s="11"/>
      <c r="AP72" s="11"/>
      <c r="AQ72" s="11"/>
    </row>
    <row r="73" spans="12:43">
      <c r="L73" s="4"/>
      <c r="M73" s="21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D73" s="4"/>
      <c r="AE73" s="4"/>
      <c r="AF73" s="4"/>
      <c r="AG73" s="4"/>
      <c r="AI73" s="4"/>
      <c r="AJ73" s="4"/>
      <c r="AK73" s="4"/>
      <c r="AL73" s="4"/>
      <c r="AN73" s="4"/>
      <c r="AO73" s="4"/>
      <c r="AP73" s="4"/>
      <c r="AQ73" s="4"/>
    </row>
    <row r="74" spans="12:43">
      <c r="L74" s="11"/>
      <c r="M74" s="2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2:43">
      <c r="L75" s="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5"/>
      <c r="AD75" s="14"/>
      <c r="AE75" s="14"/>
      <c r="AF75" s="14"/>
      <c r="AI75" s="14"/>
      <c r="AJ75" s="14"/>
      <c r="AK75" s="14"/>
    </row>
    <row r="76" spans="12:43">
      <c r="L76" s="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  <c r="AD76" s="14"/>
      <c r="AE76" s="14"/>
      <c r="AF76" s="14"/>
      <c r="AI76" s="14"/>
      <c r="AJ76" s="14"/>
      <c r="AK76" s="14"/>
    </row>
    <row r="77" spans="12:43">
      <c r="L77" s="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5"/>
      <c r="AD77" s="14"/>
      <c r="AE77" s="14"/>
      <c r="AF77" s="14"/>
      <c r="AI77" s="14"/>
      <c r="AJ77" s="14"/>
      <c r="AK77" s="14"/>
    </row>
    <row r="78" spans="12:43">
      <c r="L78" s="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  <c r="AD78" s="14"/>
      <c r="AE78" s="14"/>
      <c r="AF78" s="14"/>
      <c r="AI78" s="14"/>
      <c r="AJ78" s="14"/>
      <c r="AK78" s="14"/>
    </row>
    <row r="79" spans="12:43">
      <c r="L79" s="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5"/>
      <c r="AD79" s="14"/>
      <c r="AE79" s="14"/>
      <c r="AF79" s="14"/>
      <c r="AI79" s="14"/>
      <c r="AJ79" s="14"/>
      <c r="AK79" s="14"/>
    </row>
    <row r="80" spans="12:43">
      <c r="L80" s="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5"/>
      <c r="AD80" s="14"/>
      <c r="AE80" s="14"/>
      <c r="AF80" s="14"/>
      <c r="AI80" s="14"/>
      <c r="AJ80" s="14"/>
      <c r="AK80" s="14"/>
    </row>
    <row r="81" spans="12:38">
      <c r="L81" s="4"/>
      <c r="Y81" s="14"/>
      <c r="Z81" s="14"/>
      <c r="AA81" s="15"/>
      <c r="AD81" s="14"/>
      <c r="AE81" s="14"/>
      <c r="AF81" s="14"/>
      <c r="AI81" s="14"/>
      <c r="AJ81" s="14"/>
      <c r="AK81" s="14"/>
    </row>
    <row r="82" spans="12:38">
      <c r="L82" s="12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15"/>
      <c r="AD82" s="14"/>
      <c r="AE82" s="14"/>
      <c r="AF82" s="14"/>
      <c r="AG82" s="14"/>
      <c r="AI82" s="14"/>
      <c r="AJ82" s="14"/>
      <c r="AK82" s="14"/>
      <c r="AL82" s="14"/>
    </row>
    <row r="84" spans="12:38">
      <c r="L84" s="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5"/>
      <c r="AD84" s="14"/>
      <c r="AE84" s="14"/>
      <c r="AF84" s="14"/>
      <c r="AI84" s="14"/>
      <c r="AJ84" s="14"/>
      <c r="AK84" s="14"/>
    </row>
    <row r="85" spans="12:38">
      <c r="L85" s="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5"/>
      <c r="AD85" s="14"/>
      <c r="AE85" s="14"/>
      <c r="AF85" s="14"/>
      <c r="AI85" s="14"/>
      <c r="AJ85" s="14"/>
      <c r="AK85" s="14"/>
    </row>
    <row r="86" spans="12:38">
      <c r="L86" s="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  <c r="AD86" s="14"/>
      <c r="AE86" s="14"/>
      <c r="AF86" s="14"/>
      <c r="AI86" s="14"/>
      <c r="AJ86" s="14"/>
      <c r="AK86" s="14"/>
    </row>
    <row r="87" spans="12:38">
      <c r="L87" s="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5"/>
      <c r="AD87" s="14"/>
      <c r="AE87" s="14"/>
      <c r="AF87" s="14"/>
      <c r="AI87" s="14"/>
      <c r="AJ87" s="14"/>
      <c r="AK87" s="14"/>
    </row>
    <row r="88" spans="12:38">
      <c r="L88" s="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  <c r="AD88" s="14"/>
      <c r="AE88" s="14"/>
      <c r="AF88" s="14"/>
      <c r="AI88" s="14"/>
      <c r="AJ88" s="14"/>
      <c r="AK88" s="14"/>
    </row>
    <row r="89" spans="12:38">
      <c r="L89" s="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5"/>
      <c r="AD89" s="14"/>
      <c r="AE89" s="14"/>
      <c r="AF89" s="14"/>
      <c r="AI89" s="14"/>
      <c r="AJ89" s="14"/>
      <c r="AK89" s="14"/>
    </row>
    <row r="90" spans="12:38">
      <c r="L90" s="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  <c r="AD90" s="14"/>
      <c r="AE90" s="14"/>
      <c r="AF90" s="14"/>
      <c r="AI90" s="14"/>
      <c r="AJ90" s="14"/>
      <c r="AK90" s="14"/>
    </row>
    <row r="91" spans="12:38">
      <c r="L91" s="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5"/>
      <c r="AD91" s="14"/>
      <c r="AE91" s="14"/>
      <c r="AF91" s="14"/>
      <c r="AI91" s="14"/>
      <c r="AJ91" s="14"/>
      <c r="AK91" s="14"/>
    </row>
    <row r="92" spans="12:38">
      <c r="L92" s="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5"/>
      <c r="AD92" s="14"/>
      <c r="AE92" s="14"/>
      <c r="AF92" s="14"/>
      <c r="AI92" s="14"/>
      <c r="AJ92" s="14"/>
      <c r="AK92" s="14"/>
    </row>
    <row r="93" spans="12:38">
      <c r="L93" s="12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15"/>
      <c r="AD93" s="14"/>
      <c r="AE93" s="14"/>
      <c r="AF93" s="14"/>
      <c r="AG93" s="14"/>
      <c r="AI93" s="14"/>
      <c r="AJ93" s="14"/>
      <c r="AK93" s="14"/>
      <c r="AL93" s="14"/>
    </row>
    <row r="95" spans="12:38">
      <c r="L95" s="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5"/>
      <c r="AD95" s="14"/>
      <c r="AE95" s="14"/>
      <c r="AF95" s="14"/>
      <c r="AI95" s="14"/>
      <c r="AJ95" s="14"/>
      <c r="AK95" s="14"/>
    </row>
    <row r="96" spans="12:38">
      <c r="L96" s="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5"/>
      <c r="AD96" s="14"/>
      <c r="AE96" s="14"/>
      <c r="AF96" s="14"/>
      <c r="AI96" s="14"/>
      <c r="AJ96" s="14"/>
      <c r="AK96" s="14"/>
    </row>
    <row r="97" spans="12:38">
      <c r="L97" s="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  <c r="AD97" s="14"/>
      <c r="AE97" s="14"/>
      <c r="AF97" s="14"/>
      <c r="AI97" s="14"/>
      <c r="AJ97" s="14"/>
      <c r="AK97" s="14"/>
    </row>
    <row r="98" spans="12:38">
      <c r="L98" s="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  <c r="AD98" s="14"/>
      <c r="AE98" s="14"/>
      <c r="AF98" s="14"/>
      <c r="AI98" s="14"/>
      <c r="AJ98" s="14"/>
      <c r="AK98" s="14"/>
    </row>
    <row r="99" spans="12:38">
      <c r="L99" s="12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15"/>
      <c r="AD99" s="14"/>
      <c r="AE99" s="14"/>
      <c r="AF99" s="14"/>
      <c r="AG99" s="14"/>
      <c r="AI99" s="14"/>
      <c r="AJ99" s="14"/>
      <c r="AK99" s="14"/>
      <c r="AL99" s="14"/>
    </row>
    <row r="101" spans="12:38">
      <c r="L101" s="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5"/>
      <c r="AD101" s="14"/>
      <c r="AE101" s="14"/>
      <c r="AF101" s="14"/>
      <c r="AI101" s="14"/>
      <c r="AJ101" s="14"/>
      <c r="AK101" s="14"/>
    </row>
    <row r="102" spans="12:38">
      <c r="L102" s="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  <c r="AD102" s="14"/>
      <c r="AE102" s="14"/>
      <c r="AF102" s="14"/>
      <c r="AI102" s="14"/>
      <c r="AJ102" s="14"/>
      <c r="AK102" s="14"/>
    </row>
    <row r="103" spans="12:38">
      <c r="L103" s="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5"/>
      <c r="AD103" s="14"/>
      <c r="AE103" s="14"/>
      <c r="AF103" s="14"/>
      <c r="AI103" s="14"/>
      <c r="AJ103" s="14"/>
      <c r="AK103" s="14"/>
    </row>
    <row r="104" spans="12:38">
      <c r="L104" s="12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15"/>
      <c r="AD104" s="14"/>
      <c r="AE104" s="14"/>
      <c r="AF104" s="14"/>
      <c r="AG104" s="14"/>
      <c r="AI104" s="14"/>
      <c r="AJ104" s="14"/>
      <c r="AK104" s="14"/>
      <c r="AL104" s="14"/>
    </row>
    <row r="106" spans="12:38">
      <c r="L106" s="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  <c r="AD106" s="14"/>
      <c r="AE106" s="14"/>
      <c r="AF106" s="14"/>
      <c r="AI106" s="14"/>
      <c r="AJ106" s="14"/>
      <c r="AK106" s="14"/>
    </row>
    <row r="107" spans="12:38">
      <c r="L107" s="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5"/>
      <c r="AD107" s="14"/>
      <c r="AE107" s="14"/>
      <c r="AF107" s="14"/>
      <c r="AI107" s="14"/>
      <c r="AJ107" s="14"/>
      <c r="AK107" s="14"/>
    </row>
    <row r="108" spans="12:38">
      <c r="L108" s="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5"/>
      <c r="AD108" s="14"/>
      <c r="AE108" s="14"/>
      <c r="AF108" s="14"/>
      <c r="AI108" s="14"/>
      <c r="AJ108" s="14"/>
      <c r="AK108" s="14"/>
    </row>
    <row r="109" spans="12:38">
      <c r="L109" s="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5"/>
      <c r="AD109" s="14"/>
      <c r="AE109" s="14"/>
      <c r="AF109" s="14"/>
      <c r="AI109" s="14"/>
      <c r="AJ109" s="14"/>
      <c r="AK109" s="14"/>
    </row>
    <row r="110" spans="12:38">
      <c r="L110" s="12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15"/>
      <c r="AD110" s="14"/>
      <c r="AE110" s="14"/>
      <c r="AF110" s="14"/>
      <c r="AG110" s="14"/>
      <c r="AI110" s="14"/>
      <c r="AJ110" s="14"/>
      <c r="AK110" s="14"/>
      <c r="AL110" s="14"/>
    </row>
    <row r="111" spans="12:38">
      <c r="L111" s="11"/>
      <c r="M111" s="21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7"/>
    </row>
    <row r="112" spans="12:38">
      <c r="L112" s="4"/>
      <c r="M112" s="21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15"/>
      <c r="AD112" s="6"/>
      <c r="AE112" s="6"/>
      <c r="AF112" s="6"/>
      <c r="AG112" s="6"/>
      <c r="AI112" s="6"/>
      <c r="AJ112" s="6"/>
      <c r="AK112" s="6"/>
      <c r="AL112" s="6"/>
    </row>
    <row r="113" spans="12:27">
      <c r="L113" s="11"/>
      <c r="M113" s="21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</row>
    <row r="114" spans="12:27">
      <c r="L114" s="4"/>
    </row>
    <row r="115" spans="12:27">
      <c r="L115" s="4"/>
    </row>
    <row r="116" spans="12:27">
      <c r="L116" s="4"/>
    </row>
    <row r="117" spans="12:27">
      <c r="L117" s="4"/>
    </row>
    <row r="118" spans="12:27">
      <c r="L118" s="4"/>
    </row>
  </sheetData>
  <mergeCells count="3">
    <mergeCell ref="A3:A4"/>
    <mergeCell ref="L3:L4"/>
    <mergeCell ref="B3:K3"/>
  </mergeCells>
  <phoneticPr fontId="0" type="noConversion"/>
  <printOptions horizontalCentered="1" gridLinesSet="0"/>
  <pageMargins left="0.59055118110236227" right="0.78740157480314965" top="0.78740157480314965" bottom="0.78740157480314965" header="0" footer="0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T1.25</vt:lpstr>
      <vt:lpstr>T1.25!Area_de_impressao</vt:lpstr>
      <vt:lpstr>T1.25!Titulos_de_impressao</vt:lpstr>
      <vt:lpstr>T1.25!Títulos_impressão_IM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anuario</dc:title>
  <dc:subject/>
  <dc:creator>Jose Lopes de Souza</dc:creator>
  <cp:keywords/>
  <dc:description/>
  <cp:lastModifiedBy>Jose Lopes de Souza</cp:lastModifiedBy>
  <cp:revision/>
  <dcterms:created xsi:type="dcterms:W3CDTF">1998-04-06T18:41:05Z</dcterms:created>
  <dcterms:modified xsi:type="dcterms:W3CDTF">2024-08-26T01:14:38Z</dcterms:modified>
  <cp:category/>
  <cp:contentStatus/>
</cp:coreProperties>
</file>