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CPL 2016\EDITAIS\TOMADA DE PREÇO\Reforma dos Banheiros\"/>
    </mc:Choice>
  </mc:AlternateContent>
  <bookViews>
    <workbookView xWindow="360" yWindow="135" windowWidth="11340" windowHeight="6030"/>
  </bookViews>
  <sheets>
    <sheet name="FISICO-FINANCEIRO" sheetId="11" r:id="rId1"/>
    <sheet name="RESUMO" sheetId="13" r:id="rId2"/>
    <sheet name="BDI" sheetId="14" r:id="rId3"/>
  </sheets>
  <definedNames>
    <definedName name="_xlnm.Print_Area" localSheetId="0">'FISICO-FINANCEIRO'!$A$4:$O$26</definedName>
    <definedName name="_xlnm.Print_Titles" localSheetId="0">'FISICO-FINANCEIRO'!$4:$7</definedName>
  </definedNames>
  <calcPr calcId="152511"/>
</workbook>
</file>

<file path=xl/calcChain.xml><?xml version="1.0" encoding="utf-8"?>
<calcChain xmlns="http://schemas.openxmlformats.org/spreadsheetml/2006/main">
  <c r="G114" i="13" l="1"/>
  <c r="G42" i="14"/>
  <c r="G29" i="14"/>
  <c r="G37" i="14"/>
  <c r="E11" i="14"/>
  <c r="Q16" i="11" l="1"/>
  <c r="G103" i="13" l="1"/>
  <c r="G15" i="13" l="1"/>
  <c r="G34" i="13"/>
  <c r="G42" i="13"/>
  <c r="G48" i="13"/>
  <c r="G55" i="13"/>
  <c r="G69" i="13"/>
  <c r="G71" i="13"/>
  <c r="G77" i="13"/>
  <c r="G78" i="13"/>
  <c r="G101" i="13"/>
  <c r="G104" i="13"/>
  <c r="G105" i="13"/>
  <c r="G110" i="13"/>
  <c r="H104" i="13" l="1"/>
  <c r="H34" i="13"/>
  <c r="H42" i="13"/>
  <c r="H40" i="13"/>
  <c r="H15" i="13"/>
  <c r="H14" i="13"/>
  <c r="H16" i="13"/>
  <c r="H17" i="13"/>
  <c r="H18" i="13"/>
  <c r="H19" i="13"/>
  <c r="H20" i="13"/>
  <c r="H21" i="13"/>
  <c r="H24" i="13"/>
  <c r="H27" i="13"/>
  <c r="H28" i="13"/>
  <c r="H29" i="13"/>
  <c r="H30" i="13"/>
  <c r="H31" i="13"/>
  <c r="H32" i="13"/>
  <c r="H35" i="13"/>
  <c r="H36" i="13"/>
  <c r="H37" i="13"/>
  <c r="H38" i="13"/>
  <c r="H39" i="13"/>
  <c r="H41" i="13"/>
  <c r="H43" i="13"/>
  <c r="H44" i="13"/>
  <c r="H45" i="13"/>
  <c r="H46" i="13"/>
  <c r="H47" i="13"/>
  <c r="H48" i="13"/>
  <c r="H51" i="13"/>
  <c r="H52" i="13"/>
  <c r="H53" i="13"/>
  <c r="H54" i="13"/>
  <c r="H103" i="13"/>
  <c r="H105" i="13"/>
  <c r="H106" i="13"/>
  <c r="H107" i="13"/>
  <c r="H108" i="13"/>
  <c r="H109" i="13"/>
  <c r="H110" i="13"/>
  <c r="H112" i="13"/>
  <c r="H111" i="13" s="1"/>
  <c r="O13" i="11" s="1"/>
  <c r="J13" i="11" s="1"/>
  <c r="H102" i="13" l="1"/>
  <c r="O12" i="11" s="1"/>
  <c r="H12" i="11" s="1"/>
  <c r="H26" i="13"/>
  <c r="N13" i="11"/>
  <c r="H13" i="11"/>
  <c r="F11" i="13"/>
  <c r="F10" i="13"/>
  <c r="D12" i="11" l="1"/>
  <c r="L12" i="11"/>
  <c r="N12" i="11"/>
  <c r="F12" i="11"/>
  <c r="J12" i="11"/>
  <c r="H10" i="13"/>
  <c r="H11" i="13"/>
  <c r="F101" i="13"/>
  <c r="F100" i="13"/>
  <c r="F99" i="13"/>
  <c r="F98" i="13"/>
  <c r="F97" i="13"/>
  <c r="F96" i="13"/>
  <c r="F95" i="13"/>
  <c r="F94" i="13"/>
  <c r="F93" i="13"/>
  <c r="F92" i="13"/>
  <c r="F91" i="13"/>
  <c r="F90" i="13"/>
  <c r="F89" i="13"/>
  <c r="F88" i="13"/>
  <c r="F87" i="13"/>
  <c r="F86" i="13"/>
  <c r="F85" i="13"/>
  <c r="F84" i="13"/>
  <c r="F83" i="13"/>
  <c r="F82" i="13"/>
  <c r="F81" i="13"/>
  <c r="F80" i="13"/>
  <c r="F78" i="13"/>
  <c r="F77" i="13"/>
  <c r="F76" i="13"/>
  <c r="F75" i="13"/>
  <c r="F74" i="13"/>
  <c r="F73" i="13"/>
  <c r="F72" i="13"/>
  <c r="F71" i="13"/>
  <c r="F70" i="13"/>
  <c r="F69" i="13"/>
  <c r="F68" i="13"/>
  <c r="F67" i="13"/>
  <c r="F66" i="13"/>
  <c r="F65" i="13"/>
  <c r="F64" i="13"/>
  <c r="F63" i="13"/>
  <c r="F62" i="13"/>
  <c r="F61" i="13"/>
  <c r="F60" i="13"/>
  <c r="F59" i="13"/>
  <c r="F58" i="13"/>
  <c r="F57" i="13"/>
  <c r="F56" i="13"/>
  <c r="F55" i="13"/>
  <c r="H33" i="13" l="1"/>
  <c r="H25" i="13" s="1"/>
  <c r="O10" i="11" s="1"/>
  <c r="J10" i="11" s="1"/>
  <c r="H58" i="13"/>
  <c r="H62" i="13"/>
  <c r="H66" i="13"/>
  <c r="H70" i="13"/>
  <c r="H74" i="13"/>
  <c r="H78" i="13"/>
  <c r="H83" i="13"/>
  <c r="H87" i="13"/>
  <c r="H91" i="13"/>
  <c r="H95" i="13"/>
  <c r="H99" i="13"/>
  <c r="H55" i="13"/>
  <c r="H59" i="13"/>
  <c r="H63" i="13"/>
  <c r="H67" i="13"/>
  <c r="H71" i="13"/>
  <c r="H75" i="13"/>
  <c r="H80" i="13"/>
  <c r="H84" i="13"/>
  <c r="H88" i="13"/>
  <c r="H92" i="13"/>
  <c r="H96" i="13"/>
  <c r="H100" i="13"/>
  <c r="H56" i="13"/>
  <c r="H60" i="13"/>
  <c r="H64" i="13"/>
  <c r="H68" i="13"/>
  <c r="H72" i="13"/>
  <c r="H76" i="13"/>
  <c r="H81" i="13"/>
  <c r="H85" i="13"/>
  <c r="H89" i="13"/>
  <c r="H93" i="13"/>
  <c r="H97" i="13"/>
  <c r="H101" i="13"/>
  <c r="H9" i="13"/>
  <c r="O8" i="11" s="1"/>
  <c r="H57" i="13"/>
  <c r="H61" i="13"/>
  <c r="H65" i="13"/>
  <c r="H69" i="13"/>
  <c r="H73" i="13"/>
  <c r="H77" i="13"/>
  <c r="H82" i="13"/>
  <c r="H86" i="13"/>
  <c r="H90" i="13"/>
  <c r="H94" i="13"/>
  <c r="H98" i="13"/>
  <c r="F23" i="13"/>
  <c r="F22" i="13"/>
  <c r="H10" i="11" l="1"/>
  <c r="F10" i="11"/>
  <c r="N10" i="11"/>
  <c r="L10" i="11"/>
  <c r="H50" i="13"/>
  <c r="H79" i="13"/>
  <c r="D10" i="11"/>
  <c r="H23" i="13"/>
  <c r="H22" i="13"/>
  <c r="H13" i="13" s="1"/>
  <c r="H12" i="13" s="1"/>
  <c r="O9" i="11" s="1"/>
  <c r="D8" i="11"/>
  <c r="J8" i="11"/>
  <c r="F8" i="11"/>
  <c r="H8" i="11"/>
  <c r="L8" i="11"/>
  <c r="N8" i="11"/>
  <c r="H49" i="13" l="1"/>
  <c r="O11" i="11" s="1"/>
  <c r="H11" i="11" s="1"/>
  <c r="H18" i="11" s="1"/>
  <c r="L9" i="11"/>
  <c r="F9" i="11"/>
  <c r="J9" i="11"/>
  <c r="H9" i="11"/>
  <c r="D9" i="11"/>
  <c r="N9" i="11"/>
  <c r="O15" i="11"/>
  <c r="O16" i="11" s="1"/>
  <c r="F11" i="11" l="1"/>
  <c r="F18" i="11" s="1"/>
  <c r="F20" i="11" s="1"/>
  <c r="L11" i="11"/>
  <c r="N11" i="11"/>
  <c r="N18" i="11" s="1"/>
  <c r="N20" i="11" s="1"/>
  <c r="D11" i="11"/>
  <c r="H113" i="13"/>
  <c r="H114" i="13" s="1"/>
  <c r="J11" i="11"/>
  <c r="D18" i="11"/>
  <c r="D20" i="11" s="1"/>
  <c r="H20" i="11"/>
  <c r="L18" i="11"/>
  <c r="D23" i="11" l="1"/>
  <c r="C23" i="11" s="1"/>
  <c r="D19" i="11"/>
  <c r="F19" i="11" s="1"/>
  <c r="G23" i="11" s="1"/>
  <c r="L20" i="11"/>
  <c r="D25" i="11" s="1"/>
  <c r="C25" i="11" s="1"/>
  <c r="J18" i="11"/>
  <c r="E23" i="11" l="1"/>
  <c r="J20" i="11"/>
  <c r="D24" i="11" s="1"/>
  <c r="F23" i="11"/>
  <c r="H19" i="11"/>
  <c r="J19" i="11" s="1"/>
  <c r="G24" i="11" s="1"/>
  <c r="C24" i="11" l="1"/>
  <c r="E25" i="11"/>
  <c r="E24" i="11"/>
  <c r="L19" i="11"/>
  <c r="K19" i="11" s="1"/>
  <c r="E19" i="11"/>
  <c r="I18" i="11"/>
  <c r="K18" i="11"/>
  <c r="M18" i="11"/>
  <c r="C18" i="11"/>
  <c r="E18" i="11"/>
  <c r="G18" i="11"/>
  <c r="C19" i="11"/>
  <c r="I19" i="11"/>
  <c r="G19" i="11"/>
  <c r="D26" i="11"/>
  <c r="C26" i="11" s="1"/>
  <c r="D27" i="11" l="1"/>
  <c r="C27" i="11"/>
  <c r="N19" i="11"/>
  <c r="G25" i="11" s="1"/>
  <c r="F24" i="11"/>
  <c r="F25" i="11"/>
  <c r="F26" i="11" s="1"/>
  <c r="E26" i="11"/>
  <c r="M19" i="11" l="1"/>
</calcChain>
</file>

<file path=xl/sharedStrings.xml><?xml version="1.0" encoding="utf-8"?>
<sst xmlns="http://schemas.openxmlformats.org/spreadsheetml/2006/main" count="363" uniqueCount="228">
  <si>
    <t>SERVIÇOS PRELIMINARES</t>
  </si>
  <si>
    <t>LIMPEZA DA OBRA</t>
  </si>
  <si>
    <t>ITEM</t>
  </si>
  <si>
    <t>DEMOLIÇÕES E RETIRADAS</t>
  </si>
  <si>
    <t>TOTAL</t>
  </si>
  <si>
    <t/>
  </si>
  <si>
    <t>SERVIÇOS TÉCNICOS PROFISSIONAIS</t>
  </si>
  <si>
    <t>DGADM - DIRETORIA DE GESTÃO ADMINISTRATIVA</t>
  </si>
  <si>
    <t>2.1</t>
  </si>
  <si>
    <t>DIVISÓRIAS, BANCADAS E ESQUADRIAS</t>
  </si>
  <si>
    <t>INSTALAÇÕES ELÉTRICAS</t>
  </si>
  <si>
    <t>TOTAL GERAL SEM BDI</t>
  </si>
  <si>
    <t>TOTAL GERAL COM BDI</t>
  </si>
  <si>
    <t>3.0</t>
  </si>
  <si>
    <t>3.1</t>
  </si>
  <si>
    <t>4.0</t>
  </si>
  <si>
    <t>FÍSICO</t>
  </si>
  <si>
    <t>FINANC.</t>
  </si>
  <si>
    <t xml:space="preserve">DESCRIÇÃO: </t>
  </si>
  <si>
    <t>PROJETO BÁSICO 001/DENGE-DGADM/2015 -  REFORMA DOS SANITÁRIOS DO EDIFÍCIO SEDE DO DNPM, EM BRASÍLIA-DF</t>
  </si>
  <si>
    <t>PISOS E REVESTIMENTOS</t>
  </si>
  <si>
    <t>INSTALAÇÕES HIDRÁULICAS - ÁGUA FRIA</t>
  </si>
  <si>
    <t>INSTALAÇÕES HIDRÁULICAS</t>
  </si>
  <si>
    <t>INSTALAÇÕES HIDRÁULICAS - ESGOTO</t>
  </si>
  <si>
    <t>2.0</t>
  </si>
  <si>
    <t>1.0</t>
  </si>
  <si>
    <t>5.0</t>
  </si>
  <si>
    <t>6.0</t>
  </si>
  <si>
    <t>7.0</t>
  </si>
  <si>
    <t>PLANILHA ORÇAMENTÁRIA N°01 DENGE-DGADM/2015</t>
  </si>
  <si>
    <t>DNPM - DEPARTAMENTO NACIONAL DE PRODUÇÃO MINERAL</t>
  </si>
  <si>
    <t>Item</t>
  </si>
  <si>
    <t>Cod. SINAPI</t>
  </si>
  <si>
    <r>
      <t xml:space="preserve">DESCRIÇÃO: </t>
    </r>
    <r>
      <rPr>
        <sz val="10"/>
        <rFont val="Arial"/>
        <family val="2"/>
      </rPr>
      <t>SERVIÇO PARA A READEQUAÇÃO DOS SANITÁRIOS DO EDIFÍCIO SEDE DO DNPM, EM BRASÍLIA-DF</t>
    </r>
  </si>
  <si>
    <t>Unidade</t>
  </si>
  <si>
    <t>Quant.</t>
  </si>
  <si>
    <t>73802/001</t>
  </si>
  <si>
    <t>RETIRADA MANUAL DE PISO EM PLACAS TIPO "PAVIFLEX"</t>
  </si>
  <si>
    <t>M²</t>
  </si>
  <si>
    <t>DEMOLICAO MANUAL DE REVESTIMENTOS DE PAREDES EM CHAPAS DE REVESTIMENTO MELAMÍNICO SEM REAPROVEITAMENTO, INCLUINDO RESQUÍCIOS DE COLAGEM</t>
  </si>
  <si>
    <t>DEMOLICAO DE FORRO DE GESSO</t>
  </si>
  <si>
    <t>REMOÇÃO DE DIVISÓRIAS DE MÁRMORE PARA POLIMENTO</t>
  </si>
  <si>
    <t>RETIRADA DE APARELHOS SANITÁRIOS</t>
  </si>
  <si>
    <t>UNID.</t>
  </si>
  <si>
    <t xml:space="preserve">REMOÇÃO DE CUBAS CERÂMICAS E BANCADA DE MÁRMORE </t>
  </si>
  <si>
    <t>RETIRADA DE FOLHAS DE PORTA</t>
  </si>
  <si>
    <t>RETIRADA DE ENTULHOS COM BOTA-FORA</t>
  </si>
  <si>
    <t>M3</t>
  </si>
  <si>
    <t>PISO EM CERAMICA ESMALTADA 1A PEI-V, 35X35CM PADRAO MEDIO, ASSENTADA COM ARGAMASSA DE CIMENTO E AREIA PREPARO MANUAL, REJUNTE C/ CIMENTO BRANCO, COR BRANCA.</t>
  </si>
  <si>
    <t>M2</t>
  </si>
  <si>
    <t>RODAPÉ CERÂMICO 7 CM. COR BRANCA, COM PLACAS 35X35CM</t>
  </si>
  <si>
    <t>M</t>
  </si>
  <si>
    <t>73986/001</t>
  </si>
  <si>
    <t>FORRO DE GESSO EM PLACAS 60X60CM, ESPESSURA 1,2CM, INCLUSIVE FIXACAO COM ARAME</t>
  </si>
  <si>
    <t>74133/001</t>
  </si>
  <si>
    <t>EMASSAMENTO COM MASSA LATEX PVA PARA AMBIENTES INTERNOS, UMA DEMAO NO FORRO</t>
  </si>
  <si>
    <t>PINTURA LATEX PVA AMBIENTES INTERNOS, DUAS DEMAOS - NO FORRO</t>
  </si>
  <si>
    <t>mercado</t>
  </si>
  <si>
    <t>LIMPEZA E POLIMENTO DE DIVISORIA EM MARMORE, POR ESPECIALISTA EM POLIMENTO E LIMPEZA DE MÁRMORE</t>
  </si>
  <si>
    <t>FORNECIMENTO DE GANCHOS CROMADOS PARA PAREDE DOS BANHEIROS FEMININOS</t>
  </si>
  <si>
    <t>74046/002</t>
  </si>
  <si>
    <t>TARJETA TIPO LIVRE/OCUPADO PARA PORTA DE BANHEIRO</t>
  </si>
  <si>
    <t>74070/004</t>
  </si>
  <si>
    <t>FORNECIMENTO DE FECHADURA DE EMBUTIR COMPLETA, PARA PORTAS INTERNAS, MAÇANETA ARREDONDADA COM PINO DE TRAVAMENTO INTERNO - PADRAO DE ACABAMENTO SUPERIOR  - "LA FONTE 030/70 ou SIMILAR</t>
  </si>
  <si>
    <t>REVESTIMENTO DE PORTA INTERNAMENTE COM CHAPA LAMINADO MELAMINICO LISO BRILHANTE E = 1,3MM (1,25X3,08M)</t>
  </si>
  <si>
    <t>FORNECIMENTO E INSTALAÇÃO DE CUBA DE EMBUTIR OVAL DE LOUÇA, COR BRANCA, INCLUINDO VÁLVULAS E ACESSÓRIOS</t>
  </si>
  <si>
    <t>FORNECIMENTO E INSTALAÇÃO DE ESPELHO CRISTAL E = 4 MM, FIXADOR TIPO "CHAPÉU CHINÊS"</t>
  </si>
  <si>
    <t xml:space="preserve">FORNECIMENTO E INSTALAÇÃO DISPENSER PARA PAPEL DE ASSENTO SANITÁRIO
 OU SIMILAR </t>
  </si>
  <si>
    <t>FORNECIMENTO E INSTALAÇÃO DISPENSER PARA PAPEL TOALHA AÇO INOX ESCOVADO</t>
  </si>
  <si>
    <t>FORNECIMENTO E INSTALAÇÃO DE SUPORTE PARA PAPEL HIGIÊNICO EM AÇO INOX</t>
  </si>
  <si>
    <t>FORNECIMENTO E INSTALAÇÃO SABONETEIRA DE PAREDE PARA SABÃO LÍQUIDO / GEL EM AÇO INOX ESCOVADO, 800ML</t>
  </si>
  <si>
    <t>FORNECIMENTO E INSTALAÇÃO DE EXAUSTOR Ø 15 CM - BRANCO</t>
  </si>
  <si>
    <t>FORNECIMENTO E INSTALAÇÃO DE TORNEIRA DE FECHAMENTO AUTOMÁTICO - CROMADA</t>
  </si>
  <si>
    <t>74234/001</t>
  </si>
  <si>
    <t>MICTORIO DE LOUCA BRANCA C/SIFAO INTEGRADO E MED 33X28X53CM FERRAGENS EM METAL CROMADO REGISTRO DE PRESSAO 1416 DE 1/2" E TUBO DE LIGACAO DE 1/2" - FORNECIMENTO E INSTALAÇÃO</t>
  </si>
  <si>
    <t>FORNECIMENTO E INSTALAÇÃO DE DUCHAS HIGIÊNICA CROMADA</t>
  </si>
  <si>
    <t>UNID</t>
  </si>
  <si>
    <t>9844 +30%</t>
  </si>
  <si>
    <t>TUBO DE PVC SOLDÁVEL DE 50MM - FORNECIMENTO E INSTALAÇÃO</t>
  </si>
  <si>
    <t>ADAPTADOR DE PVC SOLDÁVEL DE 50MM X 1.1/2"  FORNECIMENTO E INSTALAÇÃO</t>
  </si>
  <si>
    <t>JOELHOS DE PVC SOLDÁVEL 50MM - 45º  FORNECIMENTO E INSTALAÇÃO</t>
  </si>
  <si>
    <t>JOELHOS DE PVC SOLDÁVEL 50MM - 90º  FORNECIMENTO E INSTALAÇÃO</t>
  </si>
  <si>
    <t>73797/001</t>
  </si>
  <si>
    <t>REGISTROS DE GAVETA DE 1.1/2" COM CANOPLA - DECA, DOCOL OU SIMILAR FORNECIMENTO E INSTALAÇÃO</t>
  </si>
  <si>
    <t>REGISTRO DE GAVETA DE 1.1/4" COM CANOPLA - DECA, DOCOL OU SIMILAR FORNECIMENTO E INSTALAÇÃO</t>
  </si>
  <si>
    <t>TUBO DE PVC SOLDAVEL, SEM CONEXOES 25MM - FORNECIMENTO E INSTALACAO</t>
  </si>
  <si>
    <t>TE DE PVC SOLDAVEL AGUA FRIA 50MM - FORNECIMENTO E INSTALACAO</t>
  </si>
  <si>
    <t>TE DE PVC SOLDAVEL AGUA FRIA 25MM - FORNECIMENTO E INSTALACAO</t>
  </si>
  <si>
    <t>REDUCAO DE PVC SOLDAVEL AGUA FRIA 50X25MM - FORNECIMENTO E INSTALACAO</t>
  </si>
  <si>
    <t>JOELHOS DE PVC SOLDÁVEL 25MM  FORNECIMENTO E INSTALAÇÃO</t>
  </si>
  <si>
    <t>JOELHO DE REDUÇÃO PVC SOLDÁVEL LR 3/4" (R) X 25MM (L)  FORNECIMENTO E INSTALAÇÃO</t>
  </si>
  <si>
    <t>JOELHOS DE PVC SOLDÁVEL DE 25MMX1/2"  FORNECIMENTO E INSTALAÇÃO</t>
  </si>
  <si>
    <t>ENGATE CROMADO FLEXIVEL DE 30CM FORNECIMENTO E INSTALAÇÃO</t>
  </si>
  <si>
    <t>6145 + 30%</t>
  </si>
  <si>
    <t>SIFÕES PLÁSTICO CROMADO C/ SAIDA DE 40MM</t>
  </si>
  <si>
    <t>TUBO DE PVC SOLDAVEL, SEM CONEXOES 40MM - FORNECIMENTO E INSTALACAO</t>
  </si>
  <si>
    <t>109+30%</t>
  </si>
  <si>
    <t>ADAPTADOR DE PVC SOLDAVEL DE 40X1.1/4"</t>
  </si>
  <si>
    <t>JOELHOS DE PVC SOLDÁVEL DE 40MM  FORNECIMENTO E INSTALAÇÃO</t>
  </si>
  <si>
    <t>TE DE PVC SOLDAVEL AGUA FRIA 40MM - FORNECIMENTO E INSTALACAO</t>
  </si>
  <si>
    <t>TE REDUÇÃO PVC SOLDAVEL AGUA FRIA 40X25MM - FORNECIMENTO E INSTALACAO</t>
  </si>
  <si>
    <t>REDUCAO DE PVC SOLDAVEL AGUA FRIA 40X25MM - FORNECIMENTO E INSTALACAO</t>
  </si>
  <si>
    <t>CONJUNTO VÁLVULA PARA CUBA CERÂMICA - PLASTICO CROMADO 1" S/UNHO C/LADRAO P/LAVATORIO FORNECIMENTO E INSTALAÇÃO</t>
  </si>
  <si>
    <t>1031 + 30%</t>
  </si>
  <si>
    <t>TUBO DE DESCIDA PARA VÁLVULA DE DESCARGA C/ JOELHO AZUL 1.1/2"  FORNECIMENTO E INSTALAÇÃO</t>
  </si>
  <si>
    <t>6138 + 30%</t>
  </si>
  <si>
    <t>BOLSA PRETA PARA VASO SANITÁRIO 100MM  FORNECIMENTO E INSTALAÇÃO</t>
  </si>
  <si>
    <t>3.2</t>
  </si>
  <si>
    <t>CAIXA SIFONADA EM PVC 150X185X75MM SIMPLES - FORNECIMENTO E INSTALAÇÃO</t>
  </si>
  <si>
    <t>GRELHA PVC CROMADA 150MM FORNECIMENTO E INSTALAÇÃO</t>
  </si>
  <si>
    <t>JOELHOS DE PVC 40X90º FORNECIMENTO E INSTALAÇÃO</t>
  </si>
  <si>
    <t>JOELHOS DE PVC 40X45º FORNECIMENTO E INSTALAÇÃO</t>
  </si>
  <si>
    <t>JOELHOS DE PVC 40X90º COM ANEL FORNECIMENTO E INSTALAÇÃO</t>
  </si>
  <si>
    <t>TUBO PARA ESGOTO DE PVC 40MM  FORNECIMENTO E INSTALAÇÃO</t>
  </si>
  <si>
    <t>LUVA PVC ESGOTO 75MM - FORNECIMENTO E INSTALACAO</t>
  </si>
  <si>
    <t>JOELHO DE PVC PARA ESGOTO 75 MM - 45º FORNECIMENTO E INSTALAÇÃO</t>
  </si>
  <si>
    <t>JOELHO DE PVC PARA ESGOTO 75 MM - 90º  FORNECIMENTO E INSTALAÇÃO</t>
  </si>
  <si>
    <t>TUBO PARA ESGOTO DE PVC 75MM</t>
  </si>
  <si>
    <t>JOELHO DE PVC PARA ESGOTO 100 MM - 90º  FORNECIMENTO E INSTALAÇÃO</t>
  </si>
  <si>
    <t>TUBO PARA ESGOTO DE PVC 100 MM</t>
  </si>
  <si>
    <t>JUNCAO PVC ESGOTO 100X75MM - FORNECIMENTO E INSTALACAO</t>
  </si>
  <si>
    <t>JUNCAO PVC ESGOTO 100X100MM - FORNECIMENTO E INSTALACAO</t>
  </si>
  <si>
    <t>ADAPTADOR PVC PBA JE BOLSA / ROSCA DN 100 / DE 110MM</t>
  </si>
  <si>
    <t>JOELHO 45º PVC ESGOTO 75MM  FORNECIMENTO E INSTALAÇÃO</t>
  </si>
  <si>
    <t>JOELHO 45º PVC ESGOTO 100MM  FORNECIMENTO E INSTALAÇÃO</t>
  </si>
  <si>
    <t>TE SANITARIO 100X75MM, COM ANÉIS - FORNECIMENTO E INSTALACAO</t>
  </si>
  <si>
    <t>TUBO PARA VENTILAÇÃO 75MM FORNECIMENTO E INSTALAÇÃO</t>
  </si>
  <si>
    <t>ADAPTADOR PVC PBA JE BOLSA / ROSCA DN 75 / DE 85MM</t>
  </si>
  <si>
    <t>LUVA PVC ESGOTO 100MM - FORNECIMENTO E INSTALACAO</t>
  </si>
  <si>
    <t>11737+30%</t>
  </si>
  <si>
    <t>PROLONGAMENTO DE RALO SIFONADO 150MM X 15MM</t>
  </si>
  <si>
    <t>CONJUNTO CONDULETE PVC TIPO "C" C/ 2 INTERRUPTORES SIMPLES + TAMPA FORNECIMENTO E INSTALAÇÃO</t>
  </si>
  <si>
    <t>TOMADA DE EMBUTIR 2P+T 10A/250V C/ PLACA, TIPO SILENTOQUE PIAL OU EQUIVALENTE, INCLUINDO ESPELHO - FORNECIMENTO E INSTALAÇÃO</t>
  </si>
  <si>
    <t>CABO DE COBRE ISOLADO PVC 450/750V 2,5MM2 RESISTENTE A CHAMA - FORNECIMENTO E INSTALAÇÃO - VERDE</t>
  </si>
  <si>
    <t>CABO DE COBRE ISOLADO PVC 450/750V 2,5MM2 RESISTENTE A CHAMA - FORNECIMENTO E INSTALAÇÃO - PRETO</t>
  </si>
  <si>
    <t>CABO DE COBRE ISOLADO PVC 450/750V 2,5MM2 RESISTENTE A CHAMA - FORNECIMENTO E INSTALAÇÃO - AZUL</t>
  </si>
  <si>
    <t>ELETRODUTO DE PVC FLEXIVEL CORRUGADO DN 20MM (3/4") FORNECIMENTO E INSTALAÇÃO</t>
  </si>
  <si>
    <t>CONDULETE 4"X2" PVC COM TAMPA FORNECIMENTO E INSTALAÇÃO</t>
  </si>
  <si>
    <t>LIMPEZA GERAL PARA ENTREGA DA OBRA</t>
  </si>
  <si>
    <t>PERÍODO</t>
  </si>
  <si>
    <t>0 - 30 DIAS</t>
  </si>
  <si>
    <t>30 - 60 DIAS</t>
  </si>
  <si>
    <t>60 - 90 DIAS</t>
  </si>
  <si>
    <t>90 - 120 DIAS</t>
  </si>
  <si>
    <t>120 - 150 DIAS</t>
  </si>
  <si>
    <t>150 - 180 DIAS</t>
  </si>
  <si>
    <t>1ª Medição - 60 Dias</t>
  </si>
  <si>
    <t>2ª Medição - 120 Dias</t>
  </si>
  <si>
    <t xml:space="preserve"> </t>
  </si>
  <si>
    <t>3ª Medição - 180 Dias (Termo de recebimento provisório)</t>
  </si>
  <si>
    <t>BDI</t>
  </si>
  <si>
    <t>ACUMULADO (COM BDI)</t>
  </si>
  <si>
    <t>Valor Acumulado</t>
  </si>
  <si>
    <t>APÓS EMISSÃO DE TERMO DE RECEBIMENTO DEFINITIVO</t>
  </si>
  <si>
    <t>POR MÊS (COM BDI)</t>
  </si>
  <si>
    <t>Valor a Faturar por medição</t>
  </si>
  <si>
    <t>Porcentagem do valor por Medição</t>
  </si>
  <si>
    <t>Porcentagem do valor Acumulada</t>
  </si>
  <si>
    <t>RETIRADA DE TUBULAÇÃO HIDROSSANITÁRIA EMBUTIDA COM CONEXÕES 1/2" A 2"</t>
  </si>
  <si>
    <t xml:space="preserve">M </t>
  </si>
  <si>
    <t>RETIRADA DE TUBULAÇÃO HIDROSSANITÁRIA EMBUTIDA COM CONEXÕES 2 1/2" A 4"</t>
  </si>
  <si>
    <t>VASO SANITÁRIO SIFONADO COM CAIXA ACOPLADA LOUÇA BRANCA - PADRÃO MÉDIO, INCLUSO ENGATE FLEXÍVEL EM METAL CROMADO, 1/2" X 40CM - FORNECIMENTO E INSTALAÇÃO</t>
  </si>
  <si>
    <t>TOTAL GERAL COM BDI (24,72%)</t>
  </si>
  <si>
    <t>74209/001</t>
  </si>
  <si>
    <t>PLACA DE OBRA</t>
  </si>
  <si>
    <t>ENGENHEIRO CIVIL DE OBRA PLENO</t>
  </si>
  <si>
    <t>H</t>
  </si>
  <si>
    <t>ENCARREGADO GERAL</t>
  </si>
  <si>
    <t>ADMINISTRAÇÃO DA OBRA</t>
  </si>
  <si>
    <t>4.1</t>
  </si>
  <si>
    <t>4.2</t>
  </si>
  <si>
    <t>6.1</t>
  </si>
  <si>
    <t>8.0</t>
  </si>
  <si>
    <t>ANEXO - I</t>
  </si>
  <si>
    <t>ANEXO - V</t>
  </si>
  <si>
    <t>tcpo 2225.8.7.1</t>
  </si>
  <si>
    <t>11186+ 30% de 4750</t>
  </si>
  <si>
    <t>FORNECIMENTO E INSTALAÇÃO DE ASSENTO ALMOFADADO (COM TAMPA) VASO SANITÁRIO EM POLIÉSTER</t>
  </si>
  <si>
    <t>mercado+ 247</t>
  </si>
  <si>
    <t>4755+242+3291+produto</t>
  </si>
  <si>
    <t>12005+30%</t>
  </si>
  <si>
    <t>83457+7549</t>
  </si>
  <si>
    <t>Data base: SINAPI Maio 2016</t>
  </si>
  <si>
    <t>unitário</t>
  </si>
  <si>
    <t>total</t>
  </si>
  <si>
    <t>custo</t>
  </si>
  <si>
    <t>Campo Grande, 18/07/2016</t>
  </si>
  <si>
    <t>VALOR RETIDO A SER PAGO APÓS O TERMO DE RECEBIMENTO DEFINITIVO</t>
  </si>
  <si>
    <t>executado acumulado (%)</t>
  </si>
  <si>
    <t>74139/002</t>
  </si>
  <si>
    <t>FORNECIMENTO E INSTALAÇÃO DE PORTA DE MADEIRA 0,60m x 1,60m, REVESTIMENTO COM LAMINADO TEXTURIZADO INCLUINDO REVESTIMENTO FORMICADO BRANCO E ENCABEÇAMENTO</t>
  </si>
  <si>
    <t>BANCADA (TAMPO) MARMORE BRANCO NACIONAL E = 3CM, 55X150CM, POLIDO COM FURO PARA CUBA - FORNECIMENTO E INSTALACAO (engastado em parede + mãos francesas) , INCLUINDO  RODABANCA 15 cm</t>
  </si>
  <si>
    <r>
      <t xml:space="preserve">86899        </t>
    </r>
    <r>
      <rPr>
        <sz val="8"/>
        <rFont val="Arial"/>
        <family val="2"/>
      </rPr>
      <t>(R$ 511,77/m²)</t>
    </r>
  </si>
  <si>
    <t>LUMINARIA EMBUTIDA TUBULAR ALETADA 2X32W - EM ALUMÍNIO COMPLETA (INCLUINDO REATOR E LÂMPADA) COMPLETA, FORNECIMENTO E INSTALACAO</t>
  </si>
  <si>
    <t>mercado+2436</t>
  </si>
  <si>
    <t>REVESTIMENTO EM CERAMICA BRILHANTE PARA PAREDE, 20x20 PADRAO MEDIO, ASSENTADA COM ARGAMASSA DE CIMENTO E AREIA PREPARO MANUAL, REJUNTE C/ CIMENTO BRANCO. COR BRANCA</t>
  </si>
  <si>
    <t xml:space="preserve">LDI = </t>
  </si>
  <si>
    <t>onde,</t>
  </si>
  <si>
    <t>AC</t>
  </si>
  <si>
    <t>taxa de rateio da administração central</t>
  </si>
  <si>
    <t>DF</t>
  </si>
  <si>
    <t>taxas de despesas financeiras</t>
  </si>
  <si>
    <t>R</t>
  </si>
  <si>
    <t>taxa de risco, seguro e garantia do empreendimento</t>
  </si>
  <si>
    <t>L</t>
  </si>
  <si>
    <t>taxa de lucro</t>
  </si>
  <si>
    <t>I</t>
  </si>
  <si>
    <t>taxa de tributos (COFINS, PIS, ISS)</t>
  </si>
  <si>
    <t>B D I</t>
  </si>
  <si>
    <t>BENEFÍCIOS E DESPESAS INDIRETAS</t>
  </si>
  <si>
    <t>COMPONENTE</t>
  </si>
  <si>
    <t>INCIDÊNCIA</t>
  </si>
  <si>
    <t>A</t>
  </si>
  <si>
    <t>DESPESAS INDIRETAS</t>
  </si>
  <si>
    <t>Administração Central</t>
  </si>
  <si>
    <t>Seguros + Garantias</t>
  </si>
  <si>
    <t>Riscos</t>
  </si>
  <si>
    <t>Despesas Financeiras</t>
  </si>
  <si>
    <t>B</t>
  </si>
  <si>
    <t>TRIBUTOS</t>
  </si>
  <si>
    <t>COFINS - Contribuição financiamento seguridade social</t>
  </si>
  <si>
    <t>PIS - Programa de Integração Social</t>
  </si>
  <si>
    <t>ISS - Imposto sobre serviço de qualquer natureza</t>
  </si>
  <si>
    <t>Contribuição Previdenciária sobre Receita Bruta</t>
  </si>
  <si>
    <t>Inserido por força da Lei 12.546, 14/12/2011</t>
  </si>
  <si>
    <t>C</t>
  </si>
  <si>
    <t>BONIFICAÇÃO</t>
  </si>
  <si>
    <t>Lucro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</si>
</sst>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(* #,##0.00_);_(* \(#,##0.00\);_(* &quot;-&quot;??_);_(@_)"/>
    <numFmt numFmtId="164" formatCode="_-&quot;R$&quot;\ * #,##0.00_-;\-&quot;R$&quot;\ * #,##0.00_-;_-&quot;R$&quot;\ * &quot;-&quot;??_-;_-@_-"/>
    <numFmt numFmtId="165" formatCode="[$-416]d\ \ mmmm\,\ yyyy;@"/>
    <numFmt numFmtId="166" formatCode="&quot;R$&quot;\ #,##0.00"/>
    <numFmt numFmtId="167" formatCode="0.0000"/>
  </numFmts>
  <fonts count="21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b/>
      <sz val="14"/>
      <name val="Arial"/>
      <family val="2"/>
    </font>
    <font>
      <sz val="2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i/>
      <sz val="11"/>
      <color rgb="FFFF0000"/>
      <name val="Calibri"/>
      <family val="2"/>
      <scheme val="minor"/>
    </font>
    <font>
      <b/>
      <sz val="12"/>
      <color theme="1" tint="0.34998626667073579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 tint="0.249977111117893"/>
      <name val="Arial"/>
      <family val="2"/>
    </font>
    <font>
      <b/>
      <sz val="11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164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2" fillId="0" borderId="0"/>
  </cellStyleXfs>
  <cellXfs count="302">
    <xf numFmtId="0" fontId="0" fillId="0" borderId="0" xfId="0"/>
    <xf numFmtId="0" fontId="3" fillId="0" borderId="0" xfId="0" applyFont="1" applyBorder="1"/>
    <xf numFmtId="0" fontId="4" fillId="0" borderId="0" xfId="0" applyFont="1" applyBorder="1"/>
    <xf numFmtId="0" fontId="3" fillId="0" borderId="0" xfId="0" applyFont="1" applyBorder="1" applyAlignment="1">
      <alignment horizontal="center"/>
    </xf>
    <xf numFmtId="0" fontId="3" fillId="0" borderId="0" xfId="0" applyFont="1" applyFill="1" applyBorder="1"/>
    <xf numFmtId="0" fontId="4" fillId="0" borderId="0" xfId="0" applyFont="1" applyFill="1" applyBorder="1"/>
    <xf numFmtId="4" fontId="3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left" vertical="distributed"/>
    </xf>
    <xf numFmtId="0" fontId="3" fillId="3" borderId="0" xfId="0" applyFont="1" applyFill="1" applyBorder="1" applyAlignment="1">
      <alignment horizontal="left"/>
    </xf>
    <xf numFmtId="0" fontId="3" fillId="3" borderId="0" xfId="0" applyFont="1" applyFill="1" applyBorder="1" applyAlignment="1">
      <alignment horizontal="left" vertical="distributed"/>
    </xf>
    <xf numFmtId="43" fontId="3" fillId="0" borderId="0" xfId="1" applyFont="1" applyBorder="1" applyAlignment="1">
      <alignment horizontal="center" vertical="distributed"/>
    </xf>
    <xf numFmtId="4" fontId="3" fillId="0" borderId="0" xfId="1" applyNumberFormat="1" applyFont="1" applyBorder="1" applyAlignment="1">
      <alignment horizontal="center" vertical="distributed"/>
    </xf>
    <xf numFmtId="43" fontId="3" fillId="0" borderId="0" xfId="1" applyFont="1" applyBorder="1" applyAlignment="1">
      <alignment horizontal="center"/>
    </xf>
    <xf numFmtId="0" fontId="3" fillId="0" borderId="0" xfId="0" applyFont="1" applyBorder="1" applyAlignment="1">
      <alignment horizontal="center" vertical="distributed"/>
    </xf>
    <xf numFmtId="0" fontId="3" fillId="0" borderId="1" xfId="1" applyNumberFormat="1" applyFont="1" applyFill="1" applyBorder="1" applyAlignment="1">
      <alignment horizontal="center" vertical="distributed"/>
    </xf>
    <xf numFmtId="0" fontId="3" fillId="0" borderId="27" xfId="0" applyFont="1" applyFill="1" applyBorder="1" applyAlignment="1">
      <alignment horizontal="center" vertical="distributed" wrapText="1"/>
    </xf>
    <xf numFmtId="0" fontId="3" fillId="0" borderId="27" xfId="0" applyFont="1" applyFill="1" applyBorder="1" applyAlignment="1">
      <alignment horizontal="left" vertical="distributed"/>
    </xf>
    <xf numFmtId="0" fontId="3" fillId="0" borderId="28" xfId="0" applyFont="1" applyFill="1" applyBorder="1" applyAlignment="1">
      <alignment horizontal="left" vertical="distributed"/>
    </xf>
    <xf numFmtId="0" fontId="3" fillId="0" borderId="27" xfId="0" applyFont="1" applyFill="1" applyBorder="1" applyAlignment="1">
      <alignment horizontal="center" vertical="distributed"/>
    </xf>
    <xf numFmtId="10" fontId="3" fillId="0" borderId="0" xfId="1" applyNumberFormat="1" applyFont="1" applyFill="1" applyBorder="1" applyAlignment="1">
      <alignment horizontal="center" vertical="distributed"/>
    </xf>
    <xf numFmtId="0" fontId="4" fillId="5" borderId="25" xfId="0" applyFont="1" applyFill="1" applyBorder="1" applyAlignment="1">
      <alignment horizontal="left"/>
    </xf>
    <xf numFmtId="0" fontId="4" fillId="5" borderId="15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1" applyNumberFormat="1" applyFont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 wrapText="1"/>
    </xf>
    <xf numFmtId="0" fontId="3" fillId="3" borderId="27" xfId="0" applyFont="1" applyFill="1" applyBorder="1" applyAlignment="1">
      <alignment horizontal="center" vertical="distributed"/>
    </xf>
    <xf numFmtId="0" fontId="3" fillId="0" borderId="1" xfId="0" applyFont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distributed"/>
    </xf>
    <xf numFmtId="0" fontId="3" fillId="0" borderId="1" xfId="0" applyFont="1" applyFill="1" applyBorder="1" applyAlignment="1">
      <alignment horizontal="left" vertical="distributed"/>
    </xf>
    <xf numFmtId="0" fontId="3" fillId="0" borderId="1" xfId="0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3" fillId="3" borderId="27" xfId="0" applyFont="1" applyFill="1" applyBorder="1" applyAlignment="1">
      <alignment horizontal="center"/>
    </xf>
    <xf numFmtId="0" fontId="3" fillId="0" borderId="27" xfId="0" applyFont="1" applyFill="1" applyBorder="1" applyAlignment="1">
      <alignment horizontal="center"/>
    </xf>
    <xf numFmtId="0" fontId="3" fillId="3" borderId="27" xfId="0" applyFont="1" applyFill="1" applyBorder="1" applyAlignment="1">
      <alignment horizontal="left" vertical="distributed"/>
    </xf>
    <xf numFmtId="0" fontId="3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3" borderId="27" xfId="0" applyFont="1" applyFill="1" applyBorder="1" applyAlignment="1">
      <alignment horizontal="center" vertical="distributed"/>
    </xf>
    <xf numFmtId="0" fontId="4" fillId="2" borderId="1" xfId="0" applyFont="1" applyFill="1" applyBorder="1" applyAlignment="1">
      <alignment vertical="distributed"/>
    </xf>
    <xf numFmtId="0" fontId="4" fillId="2" borderId="3" xfId="0" applyFont="1" applyFill="1" applyBorder="1" applyAlignment="1">
      <alignment vertical="distributed"/>
    </xf>
    <xf numFmtId="10" fontId="3" fillId="0" borderId="27" xfId="0" applyNumberFormat="1" applyFont="1" applyFill="1" applyBorder="1" applyAlignment="1">
      <alignment horizontal="center" vertical="distributed"/>
    </xf>
    <xf numFmtId="10" fontId="3" fillId="0" borderId="12" xfId="0" applyNumberFormat="1" applyFont="1" applyFill="1" applyBorder="1" applyAlignment="1">
      <alignment horizontal="center" vertical="distributed"/>
    </xf>
    <xf numFmtId="10" fontId="3" fillId="0" borderId="20" xfId="0" applyNumberFormat="1" applyFont="1" applyFill="1" applyBorder="1" applyAlignment="1">
      <alignment horizontal="center" vertical="distributed"/>
    </xf>
    <xf numFmtId="166" fontId="3" fillId="0" borderId="16" xfId="1" applyNumberFormat="1" applyFont="1" applyFill="1" applyBorder="1" applyAlignment="1">
      <alignment horizontal="center" vertical="distributed"/>
    </xf>
    <xf numFmtId="10" fontId="3" fillId="0" borderId="27" xfId="1" applyNumberFormat="1" applyFont="1" applyFill="1" applyBorder="1" applyAlignment="1">
      <alignment horizontal="center" vertical="distributed"/>
    </xf>
    <xf numFmtId="10" fontId="3" fillId="0" borderId="27" xfId="0" applyNumberFormat="1" applyFont="1" applyFill="1" applyBorder="1" applyAlignment="1">
      <alignment horizontal="center" vertical="distributed" wrapText="1"/>
    </xf>
    <xf numFmtId="0" fontId="3" fillId="0" borderId="0" xfId="0" applyFont="1" applyFill="1" applyBorder="1" applyAlignment="1">
      <alignment horizontal="left" vertical="distributed"/>
    </xf>
    <xf numFmtId="10" fontId="3" fillId="0" borderId="0" xfId="0" applyNumberFormat="1" applyFont="1" applyFill="1" applyBorder="1" applyAlignment="1">
      <alignment horizontal="center" vertical="distributed"/>
    </xf>
    <xf numFmtId="166" fontId="3" fillId="0" borderId="0" xfId="1" applyNumberFormat="1" applyFont="1" applyFill="1" applyBorder="1" applyAlignment="1">
      <alignment horizontal="center" vertical="distributed"/>
    </xf>
    <xf numFmtId="166" fontId="3" fillId="0" borderId="0" xfId="1" applyNumberFormat="1" applyFont="1" applyFill="1" applyBorder="1" applyAlignment="1">
      <alignment horizontal="center" vertical="distributed" wrapText="1"/>
    </xf>
    <xf numFmtId="0" fontId="3" fillId="5" borderId="33" xfId="0" applyFont="1" applyFill="1" applyBorder="1" applyAlignment="1">
      <alignment horizontal="left" vertical="distributed"/>
    </xf>
    <xf numFmtId="10" fontId="3" fillId="5" borderId="33" xfId="0" applyNumberFormat="1" applyFont="1" applyFill="1" applyBorder="1" applyAlignment="1">
      <alignment horizontal="center" vertical="distributed"/>
    </xf>
    <xf numFmtId="166" fontId="3" fillId="5" borderId="40" xfId="1" applyNumberFormat="1" applyFont="1" applyFill="1" applyBorder="1" applyAlignment="1">
      <alignment horizontal="center" vertical="distributed"/>
    </xf>
    <xf numFmtId="10" fontId="3" fillId="5" borderId="40" xfId="0" applyNumberFormat="1" applyFont="1" applyFill="1" applyBorder="1" applyAlignment="1">
      <alignment horizontal="center" vertical="distributed"/>
    </xf>
    <xf numFmtId="10" fontId="3" fillId="5" borderId="40" xfId="1" applyNumberFormat="1" applyFont="1" applyFill="1" applyBorder="1" applyAlignment="1">
      <alignment horizontal="center" vertical="distributed"/>
    </xf>
    <xf numFmtId="166" fontId="3" fillId="5" borderId="36" xfId="1" applyNumberFormat="1" applyFont="1" applyFill="1" applyBorder="1" applyAlignment="1">
      <alignment horizontal="center" vertical="distributed"/>
    </xf>
    <xf numFmtId="10" fontId="3" fillId="5" borderId="39" xfId="0" applyNumberFormat="1" applyFont="1" applyFill="1" applyBorder="1" applyAlignment="1">
      <alignment horizontal="center" vertical="distributed"/>
    </xf>
    <xf numFmtId="166" fontId="3" fillId="5" borderId="32" xfId="1" applyNumberFormat="1" applyFont="1" applyFill="1" applyBorder="1" applyAlignment="1">
      <alignment horizontal="center" vertical="distributed"/>
    </xf>
    <xf numFmtId="10" fontId="3" fillId="5" borderId="32" xfId="0" applyNumberFormat="1" applyFont="1" applyFill="1" applyBorder="1" applyAlignment="1">
      <alignment horizontal="center" vertical="distributed"/>
    </xf>
    <xf numFmtId="10" fontId="3" fillId="5" borderId="32" xfId="1" applyNumberFormat="1" applyFont="1" applyFill="1" applyBorder="1" applyAlignment="1">
      <alignment horizontal="center" vertical="distributed"/>
    </xf>
    <xf numFmtId="166" fontId="3" fillId="5" borderId="37" xfId="1" applyNumberFormat="1" applyFont="1" applyFill="1" applyBorder="1" applyAlignment="1">
      <alignment horizontal="center" vertical="distributed"/>
    </xf>
    <xf numFmtId="10" fontId="3" fillId="0" borderId="4" xfId="0" applyNumberFormat="1" applyFont="1" applyFill="1" applyBorder="1" applyAlignment="1">
      <alignment horizontal="center" vertical="distributed" wrapText="1"/>
    </xf>
    <xf numFmtId="0" fontId="3" fillId="0" borderId="35" xfId="0" applyFont="1" applyFill="1" applyBorder="1" applyAlignment="1">
      <alignment horizontal="left" vertical="distributed"/>
    </xf>
    <xf numFmtId="10" fontId="3" fillId="0" borderId="27" xfId="1" applyNumberFormat="1" applyFont="1" applyFill="1" applyBorder="1" applyAlignment="1">
      <alignment horizontal="center" vertical="center"/>
    </xf>
    <xf numFmtId="10" fontId="3" fillId="0" borderId="12" xfId="1" applyNumberFormat="1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left" vertical="distributed"/>
    </xf>
    <xf numFmtId="0" fontId="3" fillId="0" borderId="3" xfId="0" applyFont="1" applyFill="1" applyBorder="1" applyAlignment="1">
      <alignment horizontal="left" vertical="distributed" wrapText="1"/>
    </xf>
    <xf numFmtId="0" fontId="3" fillId="0" borderId="3" xfId="0" applyFont="1" applyBorder="1" applyAlignment="1">
      <alignment horizontal="left" vertical="distributed"/>
    </xf>
    <xf numFmtId="0" fontId="3" fillId="0" borderId="3" xfId="0" applyFont="1" applyFill="1" applyBorder="1" applyAlignment="1">
      <alignment horizontal="left" vertical="distributed"/>
    </xf>
    <xf numFmtId="0" fontId="3" fillId="0" borderId="3" xfId="0" applyFont="1" applyBorder="1" applyAlignment="1">
      <alignment horizontal="justify" vertical="top" wrapText="1"/>
    </xf>
    <xf numFmtId="0" fontId="3" fillId="0" borderId="3" xfId="0" applyFont="1" applyFill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7" fillId="0" borderId="3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4" fillId="5" borderId="18" xfId="0" applyFont="1" applyFill="1" applyBorder="1" applyAlignment="1">
      <alignment horizontal="center"/>
    </xf>
    <xf numFmtId="166" fontId="3" fillId="0" borderId="0" xfId="0" applyNumberFormat="1" applyFont="1" applyBorder="1"/>
    <xf numFmtId="10" fontId="3" fillId="0" borderId="0" xfId="0" applyNumberFormat="1" applyFont="1" applyBorder="1"/>
    <xf numFmtId="166" fontId="3" fillId="5" borderId="26" xfId="1" applyNumberFormat="1" applyFont="1" applyFill="1" applyBorder="1" applyAlignment="1">
      <alignment horizontal="center" vertical="distributed" wrapText="1"/>
    </xf>
    <xf numFmtId="166" fontId="3" fillId="5" borderId="35" xfId="1" applyNumberFormat="1" applyFont="1" applyFill="1" applyBorder="1" applyAlignment="1">
      <alignment horizontal="center" vertical="distributed" wrapText="1"/>
    </xf>
    <xf numFmtId="4" fontId="3" fillId="0" borderId="19" xfId="1" applyNumberFormat="1" applyFont="1" applyFill="1" applyBorder="1" applyAlignment="1">
      <alignment horizontal="center" vertical="distributed"/>
    </xf>
    <xf numFmtId="4" fontId="3" fillId="0" borderId="6" xfId="1" applyNumberFormat="1" applyFont="1" applyFill="1" applyBorder="1" applyAlignment="1">
      <alignment horizontal="center" vertical="distributed"/>
    </xf>
    <xf numFmtId="4" fontId="4" fillId="0" borderId="6" xfId="1" applyNumberFormat="1" applyFont="1" applyFill="1" applyBorder="1" applyAlignment="1">
      <alignment horizontal="center" vertical="distributed"/>
    </xf>
    <xf numFmtId="166" fontId="3" fillId="0" borderId="19" xfId="0" applyNumberFormat="1" applyFont="1" applyFill="1" applyBorder="1" applyAlignment="1">
      <alignment horizontal="center" vertical="distributed"/>
    </xf>
    <xf numFmtId="166" fontId="3" fillId="0" borderId="6" xfId="0" applyNumberFormat="1" applyFont="1" applyFill="1" applyBorder="1" applyAlignment="1">
      <alignment horizontal="center" vertical="distributed"/>
    </xf>
    <xf numFmtId="10" fontId="4" fillId="0" borderId="7" xfId="0" applyNumberFormat="1" applyFont="1" applyFill="1" applyBorder="1" applyAlignment="1">
      <alignment horizontal="center" vertical="distributed"/>
    </xf>
    <xf numFmtId="166" fontId="4" fillId="0" borderId="7" xfId="1" applyNumberFormat="1" applyFont="1" applyFill="1" applyBorder="1" applyAlignment="1">
      <alignment horizontal="center" vertical="distributed"/>
    </xf>
    <xf numFmtId="166" fontId="4" fillId="0" borderId="0" xfId="0" applyNumberFormat="1" applyFont="1" applyBorder="1"/>
    <xf numFmtId="0" fontId="3" fillId="0" borderId="12" xfId="0" applyFont="1" applyFill="1" applyBorder="1" applyAlignment="1">
      <alignment horizontal="center"/>
    </xf>
    <xf numFmtId="43" fontId="3" fillId="0" borderId="14" xfId="1" applyFont="1" applyFill="1" applyBorder="1" applyAlignment="1">
      <alignment horizontal="center"/>
    </xf>
    <xf numFmtId="0" fontId="8" fillId="4" borderId="25" xfId="0" applyFont="1" applyFill="1" applyBorder="1" applyAlignment="1">
      <alignment horizontal="left" vertical="distributed"/>
    </xf>
    <xf numFmtId="0" fontId="8" fillId="6" borderId="9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distributed" wrapText="1"/>
    </xf>
    <xf numFmtId="0" fontId="3" fillId="0" borderId="0" xfId="0" applyFont="1" applyBorder="1" applyAlignment="1">
      <alignment vertical="center" wrapText="1"/>
    </xf>
    <xf numFmtId="0" fontId="3" fillId="0" borderId="27" xfId="0" applyFont="1" applyFill="1" applyBorder="1" applyAlignment="1">
      <alignment vertical="center" wrapText="1"/>
    </xf>
    <xf numFmtId="10" fontId="3" fillId="7" borderId="4" xfId="0" applyNumberFormat="1" applyFont="1" applyFill="1" applyBorder="1" applyAlignment="1">
      <alignment horizontal="center" vertical="distributed"/>
    </xf>
    <xf numFmtId="10" fontId="3" fillId="7" borderId="27" xfId="0" applyNumberFormat="1" applyFont="1" applyFill="1" applyBorder="1" applyAlignment="1">
      <alignment horizontal="center" vertical="distributed"/>
    </xf>
    <xf numFmtId="10" fontId="3" fillId="7" borderId="27" xfId="1" applyNumberFormat="1" applyFont="1" applyFill="1" applyBorder="1" applyAlignment="1">
      <alignment horizontal="center" vertical="distributed"/>
    </xf>
    <xf numFmtId="10" fontId="3" fillId="7" borderId="12" xfId="1" applyNumberFormat="1" applyFont="1" applyFill="1" applyBorder="1" applyAlignment="1">
      <alignment horizontal="center" vertical="center"/>
    </xf>
    <xf numFmtId="10" fontId="3" fillId="7" borderId="27" xfId="0" applyNumberFormat="1" applyFont="1" applyFill="1" applyBorder="1" applyAlignment="1">
      <alignment horizontal="center" vertical="center"/>
    </xf>
    <xf numFmtId="10" fontId="3" fillId="7" borderId="12" xfId="1" applyNumberFormat="1" applyFont="1" applyFill="1" applyBorder="1" applyAlignment="1">
      <alignment horizontal="center" vertical="distributed"/>
    </xf>
    <xf numFmtId="0" fontId="2" fillId="5" borderId="39" xfId="0" applyFont="1" applyFill="1" applyBorder="1" applyAlignment="1">
      <alignment horizontal="left" vertical="distributed"/>
    </xf>
    <xf numFmtId="0" fontId="4" fillId="0" borderId="27" xfId="0" applyFont="1" applyFill="1" applyBorder="1" applyAlignment="1">
      <alignment horizontal="center" vertical="distributed" wrapText="1"/>
    </xf>
    <xf numFmtId="0" fontId="2" fillId="0" borderId="1" xfId="0" applyFont="1" applyFill="1" applyBorder="1" applyAlignment="1">
      <alignment horizontal="left" vertical="distributed" wrapText="1"/>
    </xf>
    <xf numFmtId="0" fontId="2" fillId="0" borderId="1" xfId="0" applyFont="1" applyFill="1" applyBorder="1" applyAlignment="1">
      <alignment horizontal="center" vertical="center" wrapText="1"/>
    </xf>
    <xf numFmtId="2" fontId="2" fillId="0" borderId="1" xfId="1" applyNumberFormat="1" applyFont="1" applyBorder="1" applyAlignment="1">
      <alignment horizontal="center" vertical="center"/>
    </xf>
    <xf numFmtId="0" fontId="4" fillId="3" borderId="27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41" xfId="0" applyFont="1" applyFill="1" applyBorder="1" applyAlignment="1">
      <alignment horizontal="left" vertical="distributed" wrapText="1"/>
    </xf>
    <xf numFmtId="10" fontId="3" fillId="7" borderId="44" xfId="0" applyNumberFormat="1" applyFont="1" applyFill="1" applyBorder="1" applyAlignment="1">
      <alignment horizontal="center" vertical="distributed" wrapText="1"/>
    </xf>
    <xf numFmtId="166" fontId="3" fillId="0" borderId="45" xfId="1" applyNumberFormat="1" applyFont="1" applyFill="1" applyBorder="1" applyAlignment="1">
      <alignment horizontal="center" vertical="distributed" wrapText="1"/>
    </xf>
    <xf numFmtId="10" fontId="3" fillId="0" borderId="42" xfId="0" applyNumberFormat="1" applyFont="1" applyFill="1" applyBorder="1" applyAlignment="1">
      <alignment horizontal="center" vertical="distributed" wrapText="1"/>
    </xf>
    <xf numFmtId="10" fontId="3" fillId="7" borderId="42" xfId="1" applyNumberFormat="1" applyFont="1" applyFill="1" applyBorder="1" applyAlignment="1">
      <alignment horizontal="center" vertical="center" wrapText="1"/>
    </xf>
    <xf numFmtId="10" fontId="3" fillId="0" borderId="42" xfId="1" applyNumberFormat="1" applyFont="1" applyFill="1" applyBorder="1" applyAlignment="1">
      <alignment horizontal="center" vertical="distributed" wrapText="1"/>
    </xf>
    <xf numFmtId="0" fontId="2" fillId="0" borderId="42" xfId="0" applyFont="1" applyFill="1" applyBorder="1" applyAlignment="1">
      <alignment horizontal="left" vertical="distributed" wrapText="1"/>
    </xf>
    <xf numFmtId="0" fontId="2" fillId="0" borderId="27" xfId="0" applyFont="1" applyFill="1" applyBorder="1" applyAlignment="1">
      <alignment horizontal="left" vertical="distributed"/>
    </xf>
    <xf numFmtId="0" fontId="2" fillId="0" borderId="12" xfId="0" applyFont="1" applyFill="1" applyBorder="1" applyAlignment="1">
      <alignment horizontal="left" vertical="distributed"/>
    </xf>
    <xf numFmtId="0" fontId="2" fillId="0" borderId="0" xfId="0" applyFont="1" applyFill="1" applyBorder="1" applyAlignment="1">
      <alignment horizontal="left" vertical="distributed"/>
    </xf>
    <xf numFmtId="0" fontId="2" fillId="5" borderId="10" xfId="0" applyFont="1" applyFill="1" applyBorder="1" applyAlignment="1">
      <alignment horizontal="left" vertical="distributed"/>
    </xf>
    <xf numFmtId="0" fontId="2" fillId="5" borderId="12" xfId="0" applyFont="1" applyFill="1" applyBorder="1" applyAlignment="1">
      <alignment horizontal="left" vertical="distributed"/>
    </xf>
    <xf numFmtId="0" fontId="2" fillId="3" borderId="46" xfId="0" applyFont="1" applyFill="1" applyBorder="1" applyAlignment="1">
      <alignment horizontal="left" vertical="center" wrapText="1"/>
    </xf>
    <xf numFmtId="0" fontId="2" fillId="0" borderId="41" xfId="0" applyFont="1" applyBorder="1" applyAlignment="1">
      <alignment horizontal="left" vertical="center" wrapText="1"/>
    </xf>
    <xf numFmtId="10" fontId="3" fillId="0" borderId="0" xfId="0" applyNumberFormat="1" applyFont="1" applyFill="1" applyBorder="1"/>
    <xf numFmtId="166" fontId="3" fillId="0" borderId="41" xfId="1" applyNumberFormat="1" applyFont="1" applyFill="1" applyBorder="1" applyAlignment="1">
      <alignment horizontal="center" vertical="distributed" wrapText="1"/>
    </xf>
    <xf numFmtId="166" fontId="3" fillId="0" borderId="28" xfId="1" applyNumberFormat="1" applyFont="1" applyFill="1" applyBorder="1" applyAlignment="1">
      <alignment horizontal="center" vertical="distributed" wrapText="1"/>
    </xf>
    <xf numFmtId="166" fontId="3" fillId="0" borderId="35" xfId="1" applyNumberFormat="1" applyFont="1" applyFill="1" applyBorder="1" applyAlignment="1">
      <alignment horizontal="center" vertical="distributed" wrapText="1"/>
    </xf>
    <xf numFmtId="166" fontId="3" fillId="0" borderId="26" xfId="1" applyNumberFormat="1" applyFont="1" applyFill="1" applyBorder="1" applyAlignment="1">
      <alignment horizontal="center" vertical="distributed" wrapText="1"/>
    </xf>
    <xf numFmtId="0" fontId="0" fillId="0" borderId="0" xfId="0" applyAlignment="1"/>
    <xf numFmtId="0" fontId="9" fillId="0" borderId="0" xfId="0" applyFont="1" applyAlignment="1">
      <alignment horizontal="center"/>
    </xf>
    <xf numFmtId="4" fontId="9" fillId="0" borderId="0" xfId="1" applyNumberFormat="1" applyFont="1" applyBorder="1" applyAlignment="1">
      <alignment horizontal="center"/>
    </xf>
    <xf numFmtId="165" fontId="3" fillId="0" borderId="8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164" fontId="0" fillId="0" borderId="0" xfId="2" applyFont="1"/>
    <xf numFmtId="164" fontId="0" fillId="0" borderId="1" xfId="2" applyFont="1" applyBorder="1"/>
    <xf numFmtId="164" fontId="0" fillId="5" borderId="1" xfId="2" applyFont="1" applyFill="1" applyBorder="1"/>
    <xf numFmtId="0" fontId="2" fillId="3" borderId="1" xfId="0" applyNumberFormat="1" applyFont="1" applyFill="1" applyBorder="1" applyAlignment="1">
      <alignment horizontal="justify" vertical="center"/>
    </xf>
    <xf numFmtId="0" fontId="0" fillId="0" borderId="0" xfId="0" applyAlignment="1">
      <alignment horizontal="justify" vertical="center"/>
    </xf>
    <xf numFmtId="0" fontId="2" fillId="3" borderId="1" xfId="0" applyNumberFormat="1" applyFont="1" applyFill="1" applyBorder="1" applyAlignment="1">
      <alignment horizontal="justify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3" fillId="0" borderId="1" xfId="0" applyNumberFormat="1" applyFont="1" applyFill="1" applyBorder="1" applyAlignment="1">
      <alignment horizontal="justify" vertical="center" wrapText="1"/>
    </xf>
    <xf numFmtId="0" fontId="3" fillId="0" borderId="1" xfId="0" applyNumberFormat="1" applyFont="1" applyFill="1" applyBorder="1" applyAlignment="1">
      <alignment horizontal="justify" vertical="center"/>
    </xf>
    <xf numFmtId="0" fontId="3" fillId="3" borderId="1" xfId="0" applyNumberFormat="1" applyFont="1" applyFill="1" applyBorder="1" applyAlignment="1">
      <alignment horizontal="justify" vertical="center"/>
    </xf>
    <xf numFmtId="0" fontId="3" fillId="2" borderId="1" xfId="0" applyNumberFormat="1" applyFont="1" applyFill="1" applyBorder="1" applyAlignment="1">
      <alignment horizontal="justify" vertical="center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Fill="1" applyBorder="1" applyAlignment="1">
      <alignment horizontal="justify"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justify" vertical="center"/>
    </xf>
    <xf numFmtId="164" fontId="0" fillId="0" borderId="22" xfId="2" applyFont="1" applyBorder="1"/>
    <xf numFmtId="164" fontId="0" fillId="0" borderId="21" xfId="2" applyFont="1" applyBorder="1"/>
    <xf numFmtId="164" fontId="0" fillId="0" borderId="24" xfId="2" applyFont="1" applyBorder="1"/>
    <xf numFmtId="164" fontId="4" fillId="0" borderId="19" xfId="2" applyFont="1" applyBorder="1"/>
    <xf numFmtId="166" fontId="3" fillId="0" borderId="16" xfId="1" applyNumberFormat="1" applyFont="1" applyFill="1" applyBorder="1" applyAlignment="1">
      <alignment horizontal="center" vertical="distributed" wrapText="1"/>
    </xf>
    <xf numFmtId="166" fontId="3" fillId="0" borderId="14" xfId="1" applyNumberFormat="1" applyFont="1" applyFill="1" applyBorder="1" applyAlignment="1">
      <alignment horizontal="center" vertical="distributed" wrapText="1"/>
    </xf>
    <xf numFmtId="0" fontId="2" fillId="0" borderId="0" xfId="0" applyFont="1" applyBorder="1" applyAlignment="1">
      <alignment horizontal="left" vertical="distributed"/>
    </xf>
    <xf numFmtId="10" fontId="3" fillId="0" borderId="19" xfId="1" applyNumberFormat="1" applyFont="1" applyFill="1" applyBorder="1" applyAlignment="1">
      <alignment horizontal="center" vertical="distributed"/>
    </xf>
    <xf numFmtId="10" fontId="3" fillId="0" borderId="19" xfId="0" applyNumberFormat="1" applyFont="1" applyBorder="1"/>
    <xf numFmtId="166" fontId="3" fillId="0" borderId="19" xfId="0" applyNumberFormat="1" applyFont="1" applyBorder="1" applyAlignment="1">
      <alignment horizontal="center" vertical="distributed"/>
    </xf>
    <xf numFmtId="4" fontId="3" fillId="0" borderId="19" xfId="1" applyNumberFormat="1" applyFont="1" applyBorder="1" applyAlignment="1">
      <alignment horizontal="center" vertical="distributed"/>
    </xf>
    <xf numFmtId="10" fontId="3" fillId="0" borderId="6" xfId="1" applyNumberFormat="1" applyFont="1" applyFill="1" applyBorder="1" applyAlignment="1">
      <alignment horizontal="center" vertical="distributed"/>
    </xf>
    <xf numFmtId="10" fontId="4" fillId="0" borderId="6" xfId="1" applyNumberFormat="1" applyFont="1" applyFill="1" applyBorder="1" applyAlignment="1">
      <alignment horizontal="center" vertical="distributed"/>
    </xf>
    <xf numFmtId="0" fontId="2" fillId="8" borderId="19" xfId="0" applyFont="1" applyFill="1" applyBorder="1" applyAlignment="1">
      <alignment horizontal="left" vertical="distributed"/>
    </xf>
    <xf numFmtId="10" fontId="3" fillId="8" borderId="19" xfId="0" applyNumberFormat="1" applyFont="1" applyFill="1" applyBorder="1" applyAlignment="1">
      <alignment horizontal="center" vertical="distributed"/>
    </xf>
    <xf numFmtId="166" fontId="3" fillId="8" borderId="19" xfId="1" applyNumberFormat="1" applyFont="1" applyFill="1" applyBorder="1" applyAlignment="1">
      <alignment horizontal="center" vertical="distributed"/>
    </xf>
    <xf numFmtId="10" fontId="3" fillId="8" borderId="19" xfId="1" applyNumberFormat="1" applyFont="1" applyFill="1" applyBorder="1" applyAlignment="1">
      <alignment horizontal="center" vertical="distributed"/>
    </xf>
    <xf numFmtId="10" fontId="3" fillId="8" borderId="19" xfId="1" applyNumberFormat="1" applyFont="1" applyFill="1" applyBorder="1" applyAlignment="1">
      <alignment horizontal="center" vertical="center"/>
    </xf>
    <xf numFmtId="0" fontId="3" fillId="9" borderId="6" xfId="0" applyFont="1" applyFill="1" applyBorder="1" applyAlignment="1">
      <alignment horizontal="left" vertical="distributed"/>
    </xf>
    <xf numFmtId="10" fontId="3" fillId="9" borderId="38" xfId="0" applyNumberFormat="1" applyFont="1" applyFill="1" applyBorder="1" applyAlignment="1">
      <alignment horizontal="center" vertical="distributed"/>
    </xf>
    <xf numFmtId="166" fontId="3" fillId="9" borderId="34" xfId="1" applyNumberFormat="1" applyFont="1" applyFill="1" applyBorder="1" applyAlignment="1">
      <alignment horizontal="center" vertical="distributed"/>
    </xf>
    <xf numFmtId="10" fontId="3" fillId="9" borderId="38" xfId="1" applyNumberFormat="1" applyFont="1" applyFill="1" applyBorder="1" applyAlignment="1">
      <alignment horizontal="center" vertical="distributed"/>
    </xf>
    <xf numFmtId="10" fontId="3" fillId="9" borderId="38" xfId="1" applyNumberFormat="1" applyFont="1" applyFill="1" applyBorder="1" applyAlignment="1">
      <alignment horizontal="center" vertical="center"/>
    </xf>
    <xf numFmtId="0" fontId="3" fillId="7" borderId="19" xfId="0" applyFont="1" applyFill="1" applyBorder="1" applyAlignment="1">
      <alignment horizontal="left" vertical="distributed"/>
    </xf>
    <xf numFmtId="10" fontId="3" fillId="7" borderId="29" xfId="0" applyNumberFormat="1" applyFont="1" applyFill="1" applyBorder="1" applyAlignment="1">
      <alignment horizontal="center" vertical="distributed"/>
    </xf>
    <xf numFmtId="166" fontId="3" fillId="7" borderId="30" xfId="1" applyNumberFormat="1" applyFont="1" applyFill="1" applyBorder="1" applyAlignment="1">
      <alignment horizontal="center" vertical="distributed"/>
    </xf>
    <xf numFmtId="10" fontId="3" fillId="0" borderId="19" xfId="3" applyNumberFormat="1" applyFont="1" applyFill="1" applyBorder="1"/>
    <xf numFmtId="10" fontId="11" fillId="0" borderId="19" xfId="0" applyNumberFormat="1" applyFont="1" applyFill="1" applyBorder="1" applyAlignment="1">
      <alignment horizontal="center" vertical="distributed"/>
    </xf>
    <xf numFmtId="10" fontId="4" fillId="0" borderId="47" xfId="3" applyNumberFormat="1" applyFont="1" applyFill="1" applyBorder="1"/>
    <xf numFmtId="9" fontId="3" fillId="0" borderId="47" xfId="3" applyFont="1" applyBorder="1" applyAlignment="1">
      <alignment horizontal="center" vertical="distributed"/>
    </xf>
    <xf numFmtId="0" fontId="4" fillId="7" borderId="42" xfId="0" applyFont="1" applyFill="1" applyBorder="1" applyAlignment="1">
      <alignment horizontal="center" vertical="distributed" wrapText="1"/>
    </xf>
    <xf numFmtId="0" fontId="2" fillId="7" borderId="43" xfId="0" applyNumberFormat="1" applyFont="1" applyFill="1" applyBorder="1" applyAlignment="1">
      <alignment horizontal="justify" vertical="center" wrapText="1"/>
    </xf>
    <xf numFmtId="0" fontId="4" fillId="7" borderId="43" xfId="0" applyFont="1" applyFill="1" applyBorder="1" applyAlignment="1">
      <alignment vertical="distributed" wrapText="1"/>
    </xf>
    <xf numFmtId="164" fontId="0" fillId="7" borderId="43" xfId="2" applyFont="1" applyFill="1" applyBorder="1"/>
    <xf numFmtId="164" fontId="4" fillId="7" borderId="43" xfId="2" applyFont="1" applyFill="1" applyBorder="1"/>
    <xf numFmtId="0" fontId="4" fillId="7" borderId="27" xfId="0" applyFont="1" applyFill="1" applyBorder="1" applyAlignment="1">
      <alignment horizontal="center" vertical="distributed" wrapText="1"/>
    </xf>
    <xf numFmtId="0" fontId="3" fillId="7" borderId="1" xfId="0" applyNumberFormat="1" applyFont="1" applyFill="1" applyBorder="1" applyAlignment="1">
      <alignment horizontal="justify" vertical="center" wrapText="1"/>
    </xf>
    <xf numFmtId="0" fontId="4" fillId="7" borderId="3" xfId="0" applyFont="1" applyFill="1" applyBorder="1" applyAlignment="1">
      <alignment vertical="distributed" wrapText="1"/>
    </xf>
    <xf numFmtId="0" fontId="4" fillId="7" borderId="1" xfId="0" applyFont="1" applyFill="1" applyBorder="1" applyAlignment="1">
      <alignment vertical="distributed" wrapText="1"/>
    </xf>
    <xf numFmtId="164" fontId="0" fillId="7" borderId="1" xfId="2" applyFont="1" applyFill="1" applyBorder="1"/>
    <xf numFmtId="164" fontId="4" fillId="7" borderId="1" xfId="2" applyFont="1" applyFill="1" applyBorder="1"/>
    <xf numFmtId="0" fontId="4" fillId="5" borderId="27" xfId="0" applyFont="1" applyFill="1" applyBorder="1" applyAlignment="1">
      <alignment horizontal="center" vertical="distributed" wrapText="1"/>
    </xf>
    <xf numFmtId="0" fontId="3" fillId="5" borderId="1" xfId="0" applyNumberFormat="1" applyFont="1" applyFill="1" applyBorder="1" applyAlignment="1">
      <alignment horizontal="justify" vertical="center" wrapText="1"/>
    </xf>
    <xf numFmtId="0" fontId="4" fillId="5" borderId="3" xfId="0" applyFont="1" applyFill="1" applyBorder="1" applyAlignment="1">
      <alignment vertical="distributed" wrapText="1"/>
    </xf>
    <xf numFmtId="0" fontId="4" fillId="5" borderId="1" xfId="0" applyFont="1" applyFill="1" applyBorder="1" applyAlignment="1">
      <alignment vertical="distributed" wrapText="1"/>
    </xf>
    <xf numFmtId="0" fontId="4" fillId="5" borderId="27" xfId="0" applyFont="1" applyFill="1" applyBorder="1" applyAlignment="1">
      <alignment horizontal="center" vertical="distributed"/>
    </xf>
    <xf numFmtId="0" fontId="3" fillId="5" borderId="1" xfId="0" applyNumberFormat="1" applyFont="1" applyFill="1" applyBorder="1" applyAlignment="1">
      <alignment horizontal="justify" vertical="center"/>
    </xf>
    <xf numFmtId="0" fontId="4" fillId="5" borderId="3" xfId="0" applyFont="1" applyFill="1" applyBorder="1" applyAlignment="1">
      <alignment vertical="distributed"/>
    </xf>
    <xf numFmtId="0" fontId="4" fillId="5" borderId="1" xfId="0" applyFont="1" applyFill="1" applyBorder="1" applyAlignment="1">
      <alignment vertical="distributed"/>
    </xf>
    <xf numFmtId="164" fontId="4" fillId="9" borderId="1" xfId="2" applyFont="1" applyFill="1" applyBorder="1"/>
    <xf numFmtId="0" fontId="4" fillId="7" borderId="27" xfId="0" applyFont="1" applyFill="1" applyBorder="1" applyAlignment="1">
      <alignment horizontal="center" vertical="distributed"/>
    </xf>
    <xf numFmtId="0" fontId="3" fillId="7" borderId="1" xfId="0" applyNumberFormat="1" applyFont="1" applyFill="1" applyBorder="1" applyAlignment="1">
      <alignment horizontal="justify" vertical="center"/>
    </xf>
    <xf numFmtId="0" fontId="4" fillId="7" borderId="3" xfId="0" applyFont="1" applyFill="1" applyBorder="1" applyAlignment="1">
      <alignment vertical="distributed"/>
    </xf>
    <xf numFmtId="0" fontId="4" fillId="7" borderId="1" xfId="0" applyFont="1" applyFill="1" applyBorder="1" applyAlignment="1">
      <alignment vertical="distributed"/>
    </xf>
    <xf numFmtId="0" fontId="4" fillId="9" borderId="12" xfId="0" applyFont="1" applyFill="1" applyBorder="1" applyAlignment="1">
      <alignment horizontal="center" vertical="distributed"/>
    </xf>
    <xf numFmtId="0" fontId="3" fillId="9" borderId="13" xfId="0" applyNumberFormat="1" applyFont="1" applyFill="1" applyBorder="1" applyAlignment="1">
      <alignment horizontal="justify" vertical="center"/>
    </xf>
    <xf numFmtId="10" fontId="0" fillId="9" borderId="1" xfId="2" applyNumberFormat="1" applyFont="1" applyFill="1" applyBorder="1"/>
    <xf numFmtId="164" fontId="2" fillId="0" borderId="5" xfId="2" applyFont="1" applyBorder="1"/>
    <xf numFmtId="164" fontId="0" fillId="0" borderId="0" xfId="2" applyFont="1" applyBorder="1"/>
    <xf numFmtId="164" fontId="2" fillId="0" borderId="2" xfId="2" applyFont="1" applyBorder="1"/>
    <xf numFmtId="43" fontId="3" fillId="0" borderId="23" xfId="1" applyFont="1" applyBorder="1" applyAlignment="1">
      <alignment horizontal="center" vertical="center"/>
    </xf>
    <xf numFmtId="4" fontId="3" fillId="0" borderId="0" xfId="1" applyNumberFormat="1" applyFont="1" applyFill="1" applyBorder="1" applyAlignment="1">
      <alignment horizontal="center" vertical="distributed"/>
    </xf>
    <xf numFmtId="0" fontId="2" fillId="0" borderId="3" xfId="0" applyFont="1" applyBorder="1" applyAlignment="1">
      <alignment horizontal="left" vertical="distributed"/>
    </xf>
    <xf numFmtId="0" fontId="2" fillId="0" borderId="3" xfId="0" applyFont="1" applyFill="1" applyBorder="1" applyAlignment="1">
      <alignment horizontal="left" vertical="distributed"/>
    </xf>
    <xf numFmtId="9" fontId="0" fillId="0" borderId="0" xfId="3" applyFont="1"/>
    <xf numFmtId="0" fontId="0" fillId="3" borderId="5" xfId="0" applyFill="1" applyBorder="1"/>
    <xf numFmtId="0" fontId="0" fillId="3" borderId="22" xfId="0" applyFill="1" applyBorder="1"/>
    <xf numFmtId="0" fontId="0" fillId="3" borderId="0" xfId="0" applyFill="1" applyBorder="1"/>
    <xf numFmtId="0" fontId="0" fillId="3" borderId="21" xfId="0" applyFill="1" applyBorder="1"/>
    <xf numFmtId="0" fontId="0" fillId="3" borderId="2" xfId="0" applyFill="1" applyBorder="1"/>
    <xf numFmtId="0" fontId="0" fillId="3" borderId="24" xfId="0" applyFill="1" applyBorder="1"/>
    <xf numFmtId="0" fontId="0" fillId="0" borderId="0" xfId="0" applyFill="1"/>
    <xf numFmtId="10" fontId="13" fillId="5" borderId="15" xfId="0" applyNumberFormat="1" applyFont="1" applyFill="1" applyBorder="1" applyAlignment="1">
      <alignment horizontal="left"/>
    </xf>
    <xf numFmtId="0" fontId="0" fillId="5" borderId="15" xfId="0" applyFill="1" applyBorder="1"/>
    <xf numFmtId="0" fontId="0" fillId="5" borderId="18" xfId="0" applyFill="1" applyBorder="1"/>
    <xf numFmtId="43" fontId="0" fillId="0" borderId="0" xfId="1" applyFont="1" applyFill="1" applyBorder="1"/>
    <xf numFmtId="0" fontId="15" fillId="3" borderId="23" xfId="0" applyFont="1" applyFill="1" applyBorder="1" applyAlignment="1">
      <alignment horizontal="center" vertical="center"/>
    </xf>
    <xf numFmtId="43" fontId="0" fillId="3" borderId="0" xfId="1" applyFont="1" applyFill="1" applyBorder="1"/>
    <xf numFmtId="0" fontId="0" fillId="0" borderId="0" xfId="0" applyFill="1" applyBorder="1"/>
    <xf numFmtId="0" fontId="15" fillId="3" borderId="9" xfId="0" applyFont="1" applyFill="1" applyBorder="1" applyAlignment="1">
      <alignment horizontal="center" vertical="center"/>
    </xf>
    <xf numFmtId="2" fontId="0" fillId="3" borderId="2" xfId="1" applyNumberFormat="1" applyFont="1" applyFill="1" applyBorder="1"/>
    <xf numFmtId="167" fontId="17" fillId="0" borderId="0" xfId="4" applyNumberFormat="1" applyFont="1" applyAlignment="1">
      <alignment horizontal="center" vertical="center"/>
    </xf>
    <xf numFmtId="0" fontId="17" fillId="0" borderId="0" xfId="4" applyFont="1" applyAlignment="1">
      <alignment vertical="center"/>
    </xf>
    <xf numFmtId="0" fontId="2" fillId="0" borderId="0" xfId="5"/>
    <xf numFmtId="0" fontId="18" fillId="0" borderId="49" xfId="4" applyFont="1" applyBorder="1" applyAlignment="1">
      <alignment vertical="center"/>
    </xf>
    <xf numFmtId="0" fontId="18" fillId="0" borderId="50" xfId="4" applyFont="1" applyBorder="1" applyAlignment="1">
      <alignment vertical="center"/>
    </xf>
    <xf numFmtId="0" fontId="1" fillId="0" borderId="0" xfId="4"/>
    <xf numFmtId="0" fontId="20" fillId="5" borderId="51" xfId="4" applyFont="1" applyFill="1" applyBorder="1" applyAlignment="1">
      <alignment horizontal="center" vertical="center"/>
    </xf>
    <xf numFmtId="167" fontId="20" fillId="0" borderId="0" xfId="4" applyNumberFormat="1" applyFont="1" applyAlignment="1">
      <alignment horizontal="center" vertical="center"/>
    </xf>
    <xf numFmtId="0" fontId="20" fillId="0" borderId="0" xfId="4" applyFont="1" applyAlignment="1">
      <alignment horizontal="center" vertical="center"/>
    </xf>
    <xf numFmtId="0" fontId="20" fillId="0" borderId="51" xfId="4" applyFont="1" applyBorder="1" applyAlignment="1">
      <alignment horizontal="center" vertical="center"/>
    </xf>
    <xf numFmtId="0" fontId="14" fillId="0" borderId="51" xfId="4" applyFont="1" applyBorder="1" applyAlignment="1">
      <alignment vertical="center"/>
    </xf>
    <xf numFmtId="10" fontId="18" fillId="0" borderId="51" xfId="4" applyNumberFormat="1" applyFont="1" applyBorder="1" applyAlignment="1">
      <alignment vertical="center"/>
    </xf>
    <xf numFmtId="167" fontId="18" fillId="0" borderId="0" xfId="4" applyNumberFormat="1" applyFont="1" applyAlignment="1">
      <alignment horizontal="center" vertical="center"/>
    </xf>
    <xf numFmtId="0" fontId="20" fillId="5" borderId="48" xfId="4" applyFont="1" applyFill="1" applyBorder="1" applyAlignment="1">
      <alignment horizontal="center" vertical="center"/>
    </xf>
    <xf numFmtId="0" fontId="20" fillId="5" borderId="49" xfId="4" applyFont="1" applyFill="1" applyBorder="1" applyAlignment="1">
      <alignment horizontal="center" vertical="center"/>
    </xf>
    <xf numFmtId="10" fontId="18" fillId="0" borderId="51" xfId="4" applyNumberFormat="1" applyFont="1" applyFill="1" applyBorder="1" applyAlignment="1">
      <alignment vertical="center"/>
    </xf>
    <xf numFmtId="0" fontId="18" fillId="0" borderId="0" xfId="4" applyFont="1" applyAlignment="1">
      <alignment vertical="center"/>
    </xf>
    <xf numFmtId="10" fontId="20" fillId="5" borderId="51" xfId="4" applyNumberFormat="1" applyFont="1" applyFill="1" applyBorder="1" applyAlignment="1">
      <alignment horizontal="center" vertical="center"/>
    </xf>
    <xf numFmtId="10" fontId="20" fillId="5" borderId="50" xfId="4" applyNumberFormat="1" applyFont="1" applyFill="1" applyBorder="1" applyAlignment="1">
      <alignment horizontal="center" vertical="center"/>
    </xf>
    <xf numFmtId="167" fontId="1" fillId="0" borderId="0" xfId="4" applyNumberFormat="1"/>
    <xf numFmtId="0" fontId="0" fillId="0" borderId="0" xfId="0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3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13" fillId="5" borderId="25" xfId="0" applyFont="1" applyFill="1" applyBorder="1" applyAlignment="1">
      <alignment horizontal="center"/>
    </xf>
    <xf numFmtId="0" fontId="16" fillId="0" borderId="48" xfId="4" applyFont="1" applyBorder="1" applyAlignment="1">
      <alignment horizontal="center" vertical="center"/>
    </xf>
    <xf numFmtId="0" fontId="18" fillId="0" borderId="48" xfId="4" applyFont="1" applyBorder="1" applyAlignment="1">
      <alignment horizontal="center" vertical="center"/>
    </xf>
    <xf numFmtId="0" fontId="18" fillId="0" borderId="51" xfId="4" applyFont="1" applyBorder="1" applyAlignment="1">
      <alignment horizontal="center" vertical="center"/>
    </xf>
    <xf numFmtId="0" fontId="18" fillId="0" borderId="0" xfId="4" applyFont="1" applyAlignment="1">
      <alignment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4" borderId="25" xfId="0" applyFont="1" applyFill="1" applyBorder="1" applyAlignment="1">
      <alignment horizontal="center" vertical="center"/>
    </xf>
    <xf numFmtId="0" fontId="4" fillId="4" borderId="15" xfId="0" applyFont="1" applyFill="1" applyBorder="1" applyAlignment="1">
      <alignment horizontal="center" vertical="center"/>
    </xf>
    <xf numFmtId="0" fontId="4" fillId="4" borderId="18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5" borderId="15" xfId="0" applyFont="1" applyFill="1" applyBorder="1" applyAlignment="1">
      <alignment horizontal="center"/>
    </xf>
    <xf numFmtId="164" fontId="4" fillId="0" borderId="25" xfId="2" applyFont="1" applyBorder="1" applyAlignment="1">
      <alignment horizontal="center"/>
    </xf>
    <xf numFmtId="164" fontId="4" fillId="0" borderId="18" xfId="2" applyFont="1" applyBorder="1" applyAlignment="1">
      <alignment horizontal="center"/>
    </xf>
    <xf numFmtId="0" fontId="3" fillId="0" borderId="8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22" xfId="0" applyFont="1" applyBorder="1" applyAlignment="1">
      <alignment horizontal="left"/>
    </xf>
    <xf numFmtId="0" fontId="3" fillId="0" borderId="23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21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24" xfId="0" applyFont="1" applyBorder="1" applyAlignment="1">
      <alignment horizontal="left"/>
    </xf>
    <xf numFmtId="0" fontId="4" fillId="0" borderId="25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7" borderId="3" xfId="0" applyFont="1" applyFill="1" applyBorder="1" applyAlignment="1">
      <alignment horizontal="left" vertical="distributed"/>
    </xf>
    <xf numFmtId="0" fontId="4" fillId="7" borderId="31" xfId="0" applyFont="1" applyFill="1" applyBorder="1" applyAlignment="1">
      <alignment horizontal="left" vertical="distributed"/>
    </xf>
    <xf numFmtId="0" fontId="4" fillId="9" borderId="16" xfId="0" applyFont="1" applyFill="1" applyBorder="1" applyAlignment="1">
      <alignment horizontal="left" vertical="distributed"/>
    </xf>
    <xf numFmtId="0" fontId="4" fillId="9" borderId="32" xfId="0" applyFont="1" applyFill="1" applyBorder="1" applyAlignment="1">
      <alignment horizontal="left" vertical="distributed"/>
    </xf>
    <xf numFmtId="0" fontId="4" fillId="9" borderId="20" xfId="0" applyFont="1" applyFill="1" applyBorder="1" applyAlignment="1">
      <alignment horizontal="left" vertical="distributed"/>
    </xf>
    <xf numFmtId="0" fontId="4" fillId="3" borderId="7" xfId="0" applyNumberFormat="1" applyFont="1" applyFill="1" applyBorder="1" applyAlignment="1">
      <alignment horizontal="justify" vertical="center" wrapText="1"/>
    </xf>
    <xf numFmtId="0" fontId="4" fillId="3" borderId="6" xfId="0" applyNumberFormat="1" applyFont="1" applyFill="1" applyBorder="1" applyAlignment="1">
      <alignment horizontal="justify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43" fontId="4" fillId="0" borderId="7" xfId="1" applyFont="1" applyBorder="1" applyAlignment="1">
      <alignment horizontal="center" vertical="center" wrapText="1"/>
    </xf>
    <xf numFmtId="43" fontId="4" fillId="0" borderId="6" xfId="1" applyFont="1" applyBorder="1" applyAlignment="1">
      <alignment horizontal="center" vertical="center" wrapText="1"/>
    </xf>
    <xf numFmtId="0" fontId="16" fillId="0" borderId="49" xfId="4" applyFont="1" applyBorder="1" applyAlignment="1">
      <alignment horizontal="center" vertical="center"/>
    </xf>
    <xf numFmtId="0" fontId="16" fillId="0" borderId="50" xfId="4" applyFont="1" applyBorder="1" applyAlignment="1">
      <alignment horizontal="center" vertical="center"/>
    </xf>
    <xf numFmtId="0" fontId="19" fillId="0" borderId="48" xfId="4" applyFont="1" applyBorder="1" applyAlignment="1">
      <alignment horizontal="center" vertical="center"/>
    </xf>
    <xf numFmtId="0" fontId="19" fillId="0" borderId="49" xfId="4" applyFont="1" applyBorder="1" applyAlignment="1">
      <alignment horizontal="center" vertical="center"/>
    </xf>
    <xf numFmtId="0" fontId="19" fillId="0" borderId="50" xfId="4" applyFont="1" applyBorder="1" applyAlignment="1">
      <alignment horizontal="center" vertical="center"/>
    </xf>
    <xf numFmtId="0" fontId="18" fillId="0" borderId="0" xfId="4" applyFont="1" applyAlignment="1">
      <alignment horizontal="center" vertical="center"/>
    </xf>
  </cellXfs>
  <cellStyles count="6">
    <cellStyle name="Moeda" xfId="2" builtinId="4"/>
    <cellStyle name="Normal" xfId="0" builtinId="0"/>
    <cellStyle name="Normal 10" xfId="5"/>
    <cellStyle name="Normal 10 2" xfId="4"/>
    <cellStyle name="Porcentagem" xfId="3" builtinId="5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190500</xdr:colOff>
      <xdr:row>5</xdr:row>
      <xdr:rowOff>47625</xdr:rowOff>
    </xdr:from>
    <xdr:to>
      <xdr:col>10</xdr:col>
      <xdr:colOff>123825</xdr:colOff>
      <xdr:row>8</xdr:row>
      <xdr:rowOff>152400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09700" y="438150"/>
          <a:ext cx="7686675" cy="676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2"/>
  <sheetViews>
    <sheetView showGridLines="0" showZeros="0" tabSelected="1" zoomScaleNormal="100" zoomScaleSheetLayoutView="70" workbookViewId="0">
      <selection activeCell="H30" sqref="H30"/>
    </sheetView>
  </sheetViews>
  <sheetFormatPr defaultRowHeight="12.75" x14ac:dyDescent="0.2"/>
  <cols>
    <col min="1" max="1" width="6.85546875" style="8" customWidth="1"/>
    <col min="2" max="2" width="46.42578125" style="1" customWidth="1"/>
    <col min="3" max="3" width="18.5703125" style="3" customWidth="1"/>
    <col min="4" max="4" width="17.5703125" style="12" customWidth="1"/>
    <col min="5" max="5" width="14.5703125" style="6" customWidth="1"/>
    <col min="6" max="6" width="18.42578125" style="6" customWidth="1"/>
    <col min="7" max="7" width="10.7109375" style="4" customWidth="1"/>
    <col min="8" max="8" width="12.85546875" style="1" customWidth="1"/>
    <col min="9" max="9" width="10.7109375" style="1" customWidth="1"/>
    <col min="10" max="10" width="13.140625" style="1" bestFit="1" customWidth="1"/>
    <col min="11" max="11" width="10.7109375" style="1" customWidth="1"/>
    <col min="12" max="12" width="14" style="1" customWidth="1"/>
    <col min="13" max="13" width="10.7109375" style="1" customWidth="1"/>
    <col min="14" max="14" width="14.140625" style="1" customWidth="1"/>
    <col min="15" max="15" width="14.5703125" style="1" customWidth="1"/>
    <col min="16" max="17" width="9.140625" style="1"/>
    <col min="18" max="18" width="13.140625" style="1" bestFit="1" customWidth="1"/>
    <col min="19" max="16384" width="9.140625" style="1"/>
  </cols>
  <sheetData>
    <row r="1" spans="1:17" ht="25.5" x14ac:dyDescent="0.35">
      <c r="F1" s="131" t="s">
        <v>174</v>
      </c>
    </row>
    <row r="3" spans="1:17" ht="13.5" thickBot="1" x14ac:dyDescent="0.25"/>
    <row r="4" spans="1:17" ht="18.75" customHeight="1" thickBot="1" x14ac:dyDescent="0.25">
      <c r="A4" s="261" t="s">
        <v>19</v>
      </c>
      <c r="B4" s="262"/>
      <c r="C4" s="262"/>
      <c r="D4" s="262"/>
      <c r="E4" s="262"/>
      <c r="F4" s="262"/>
      <c r="G4" s="262"/>
      <c r="H4" s="262"/>
      <c r="I4" s="262"/>
      <c r="J4" s="262"/>
      <c r="K4" s="262"/>
      <c r="L4" s="262"/>
      <c r="M4" s="262"/>
      <c r="N4" s="262"/>
      <c r="O4" s="263"/>
    </row>
    <row r="5" spans="1:17" ht="13.5" thickBot="1" x14ac:dyDescent="0.25">
      <c r="A5" s="20"/>
      <c r="B5" s="21"/>
      <c r="C5" s="270" t="s">
        <v>139</v>
      </c>
      <c r="D5" s="270"/>
      <c r="E5" s="270"/>
      <c r="F5" s="270"/>
      <c r="G5" s="270"/>
      <c r="H5" s="270"/>
      <c r="I5" s="270"/>
      <c r="J5" s="270"/>
      <c r="K5" s="270"/>
      <c r="L5" s="270"/>
      <c r="M5" s="270"/>
      <c r="N5" s="270"/>
      <c r="O5" s="76"/>
    </row>
    <row r="6" spans="1:17" x14ac:dyDescent="0.2">
      <c r="A6" s="259" t="s">
        <v>2</v>
      </c>
      <c r="B6" s="266" t="s">
        <v>18</v>
      </c>
      <c r="C6" s="268" t="s">
        <v>140</v>
      </c>
      <c r="D6" s="269"/>
      <c r="E6" s="268" t="s">
        <v>141</v>
      </c>
      <c r="F6" s="269"/>
      <c r="G6" s="268" t="s">
        <v>142</v>
      </c>
      <c r="H6" s="269"/>
      <c r="I6" s="268" t="s">
        <v>143</v>
      </c>
      <c r="J6" s="269"/>
      <c r="K6" s="268" t="s">
        <v>144</v>
      </c>
      <c r="L6" s="269"/>
      <c r="M6" s="268" t="s">
        <v>145</v>
      </c>
      <c r="N6" s="269"/>
      <c r="O6" s="264" t="s">
        <v>4</v>
      </c>
    </row>
    <row r="7" spans="1:17" ht="13.5" thickBot="1" x14ac:dyDescent="0.25">
      <c r="A7" s="260"/>
      <c r="B7" s="267"/>
      <c r="C7" s="89" t="s">
        <v>16</v>
      </c>
      <c r="D7" s="90" t="s">
        <v>17</v>
      </c>
      <c r="E7" s="89" t="s">
        <v>16</v>
      </c>
      <c r="F7" s="90" t="s">
        <v>17</v>
      </c>
      <c r="G7" s="89" t="s">
        <v>16</v>
      </c>
      <c r="H7" s="90" t="s">
        <v>17</v>
      </c>
      <c r="I7" s="89" t="s">
        <v>16</v>
      </c>
      <c r="J7" s="90" t="s">
        <v>17</v>
      </c>
      <c r="K7" s="89" t="s">
        <v>16</v>
      </c>
      <c r="L7" s="90" t="s">
        <v>17</v>
      </c>
      <c r="M7" s="89" t="s">
        <v>16</v>
      </c>
      <c r="N7" s="90" t="s">
        <v>17</v>
      </c>
      <c r="O7" s="265"/>
    </row>
    <row r="8" spans="1:17" x14ac:dyDescent="0.2">
      <c r="A8" s="122" t="s">
        <v>25</v>
      </c>
      <c r="B8" s="123" t="s">
        <v>168</v>
      </c>
      <c r="C8" s="111">
        <v>0.25</v>
      </c>
      <c r="D8" s="112">
        <f>C8*O8</f>
        <v>8544</v>
      </c>
      <c r="E8" s="97">
        <v>0.15</v>
      </c>
      <c r="F8" s="112">
        <f>E8*O8</f>
        <v>5126.3999999999996</v>
      </c>
      <c r="G8" s="97">
        <v>0.15</v>
      </c>
      <c r="H8" s="112">
        <f>G8*O8</f>
        <v>5126.3999999999996</v>
      </c>
      <c r="I8" s="114">
        <v>0.15</v>
      </c>
      <c r="J8" s="112">
        <f>I8*O8</f>
        <v>5126.3999999999996</v>
      </c>
      <c r="K8" s="114">
        <v>0.15</v>
      </c>
      <c r="L8" s="112">
        <f>K8*O8</f>
        <v>5126.3999999999996</v>
      </c>
      <c r="M8" s="114">
        <v>0.15</v>
      </c>
      <c r="N8" s="112">
        <f>M8*O8</f>
        <v>5126.3999999999996</v>
      </c>
      <c r="O8" s="128">
        <f>RESUMO!H9</f>
        <v>34176</v>
      </c>
    </row>
    <row r="9" spans="1:17" x14ac:dyDescent="0.2">
      <c r="A9" s="116" t="s">
        <v>24</v>
      </c>
      <c r="B9" s="110" t="s">
        <v>0</v>
      </c>
      <c r="C9" s="111">
        <v>0.5</v>
      </c>
      <c r="D9" s="112">
        <f t="shared" ref="D9:D12" si="0">C9*O9</f>
        <v>5154.713956999999</v>
      </c>
      <c r="E9" s="113"/>
      <c r="F9" s="112">
        <f t="shared" ref="F9:F12" si="1">E9*O9</f>
        <v>0</v>
      </c>
      <c r="G9" s="113"/>
      <c r="H9" s="112">
        <f t="shared" ref="H9:H13" si="2">G9*O9</f>
        <v>0</v>
      </c>
      <c r="I9" s="114">
        <v>0.5</v>
      </c>
      <c r="J9" s="112">
        <f t="shared" ref="J9:J13" si="3">I9*O9</f>
        <v>5154.713956999999</v>
      </c>
      <c r="K9" s="113"/>
      <c r="L9" s="112">
        <f t="shared" ref="L9:L12" si="4">K9*O9</f>
        <v>0</v>
      </c>
      <c r="M9" s="115"/>
      <c r="N9" s="112">
        <f t="shared" ref="N9:N13" si="5">M9*O9</f>
        <v>0</v>
      </c>
      <c r="O9" s="125">
        <f>RESUMO!H12</f>
        <v>10309.427913999998</v>
      </c>
    </row>
    <row r="10" spans="1:17" s="2" customFormat="1" x14ac:dyDescent="0.2">
      <c r="A10" s="117" t="s">
        <v>13</v>
      </c>
      <c r="B10" s="17" t="s">
        <v>6</v>
      </c>
      <c r="C10" s="62"/>
      <c r="D10" s="112">
        <f t="shared" si="0"/>
        <v>0</v>
      </c>
      <c r="E10" s="46"/>
      <c r="F10" s="112">
        <f t="shared" si="1"/>
        <v>0</v>
      </c>
      <c r="G10" s="97">
        <v>0.5</v>
      </c>
      <c r="H10" s="112">
        <f t="shared" si="2"/>
        <v>33529.262999999999</v>
      </c>
      <c r="I10" s="64"/>
      <c r="J10" s="112">
        <f t="shared" si="3"/>
        <v>0</v>
      </c>
      <c r="K10" s="41"/>
      <c r="L10" s="112">
        <f t="shared" si="4"/>
        <v>0</v>
      </c>
      <c r="M10" s="98">
        <v>0.5</v>
      </c>
      <c r="N10" s="112">
        <f t="shared" si="5"/>
        <v>33529.262999999999</v>
      </c>
      <c r="O10" s="126">
        <f>RESUMO!H25</f>
        <v>67058.525999999998</v>
      </c>
    </row>
    <row r="11" spans="1:17" s="2" customFormat="1" x14ac:dyDescent="0.2">
      <c r="A11" s="117" t="s">
        <v>15</v>
      </c>
      <c r="B11" s="17" t="s">
        <v>22</v>
      </c>
      <c r="C11" s="96">
        <v>0.2</v>
      </c>
      <c r="D11" s="112">
        <f t="shared" si="0"/>
        <v>6743.545600000004</v>
      </c>
      <c r="E11" s="97">
        <v>0.3</v>
      </c>
      <c r="F11" s="112">
        <f t="shared" si="1"/>
        <v>10115.318400000006</v>
      </c>
      <c r="G11" s="41"/>
      <c r="H11" s="112">
        <f t="shared" si="2"/>
        <v>0</v>
      </c>
      <c r="I11" s="100">
        <v>0.2</v>
      </c>
      <c r="J11" s="112">
        <f t="shared" si="3"/>
        <v>6743.545600000004</v>
      </c>
      <c r="K11" s="97">
        <v>0.3</v>
      </c>
      <c r="L11" s="112">
        <f t="shared" si="4"/>
        <v>10115.318400000006</v>
      </c>
      <c r="M11" s="45"/>
      <c r="N11" s="112">
        <f t="shared" si="5"/>
        <v>0</v>
      </c>
      <c r="O11" s="126">
        <f>RESUMO!H49</f>
        <v>33717.728000000017</v>
      </c>
    </row>
    <row r="12" spans="1:17" s="2" customFormat="1" x14ac:dyDescent="0.2">
      <c r="A12" s="117" t="s">
        <v>26</v>
      </c>
      <c r="B12" s="17" t="s">
        <v>10</v>
      </c>
      <c r="C12" s="96">
        <v>0.1</v>
      </c>
      <c r="D12" s="112">
        <f t="shared" si="0"/>
        <v>752.77800000000013</v>
      </c>
      <c r="E12" s="98">
        <v>0.4</v>
      </c>
      <c r="F12" s="112">
        <f t="shared" si="1"/>
        <v>3011.1120000000005</v>
      </c>
      <c r="G12" s="41"/>
      <c r="H12" s="112">
        <f t="shared" si="2"/>
        <v>0</v>
      </c>
      <c r="I12" s="100">
        <v>0.1</v>
      </c>
      <c r="J12" s="112">
        <f t="shared" si="3"/>
        <v>752.77800000000013</v>
      </c>
      <c r="K12" s="97">
        <v>0.4</v>
      </c>
      <c r="L12" s="112">
        <f t="shared" si="4"/>
        <v>3011.1120000000005</v>
      </c>
      <c r="M12" s="45"/>
      <c r="N12" s="112">
        <f t="shared" si="5"/>
        <v>0</v>
      </c>
      <c r="O12" s="126">
        <f>RESUMO!H102</f>
        <v>7527.7800000000007</v>
      </c>
    </row>
    <row r="13" spans="1:17" s="2" customFormat="1" ht="13.5" thickBot="1" x14ac:dyDescent="0.25">
      <c r="A13" s="118" t="s">
        <v>27</v>
      </c>
      <c r="B13" s="63" t="s">
        <v>1</v>
      </c>
      <c r="C13" s="43" t="s">
        <v>5</v>
      </c>
      <c r="D13" s="44"/>
      <c r="E13" s="42"/>
      <c r="F13" s="44"/>
      <c r="G13" s="99">
        <v>0.5</v>
      </c>
      <c r="H13" s="153">
        <f t="shared" si="2"/>
        <v>95.841899999999995</v>
      </c>
      <c r="I13" s="65"/>
      <c r="J13" s="153">
        <f t="shared" si="3"/>
        <v>0</v>
      </c>
      <c r="K13" s="42" t="s">
        <v>5</v>
      </c>
      <c r="L13" s="153"/>
      <c r="M13" s="101">
        <v>0.5</v>
      </c>
      <c r="N13" s="154">
        <f t="shared" si="5"/>
        <v>95.841899999999995</v>
      </c>
      <c r="O13" s="127">
        <f>RESUMO!H111</f>
        <v>191.68379999999999</v>
      </c>
    </row>
    <row r="14" spans="1:17" s="2" customFormat="1" ht="13.5" thickBot="1" x14ac:dyDescent="0.25">
      <c r="A14" s="119"/>
      <c r="B14" s="47"/>
      <c r="C14" s="48"/>
      <c r="D14" s="49"/>
      <c r="E14" s="48"/>
      <c r="F14" s="49"/>
      <c r="G14" s="48"/>
      <c r="H14" s="49"/>
      <c r="I14" s="19"/>
      <c r="J14" s="49"/>
      <c r="K14" s="48"/>
      <c r="L14" s="49"/>
      <c r="M14" s="19"/>
      <c r="N14" s="49"/>
      <c r="O14" s="50"/>
    </row>
    <row r="15" spans="1:17" s="2" customFormat="1" x14ac:dyDescent="0.2">
      <c r="A15" s="120" t="s">
        <v>28</v>
      </c>
      <c r="B15" s="51" t="s">
        <v>11</v>
      </c>
      <c r="C15" s="52" t="s">
        <v>5</v>
      </c>
      <c r="D15" s="53"/>
      <c r="E15" s="54"/>
      <c r="F15" s="53"/>
      <c r="G15" s="54" t="s">
        <v>5</v>
      </c>
      <c r="H15" s="53"/>
      <c r="I15" s="55"/>
      <c r="J15" s="53"/>
      <c r="K15" s="54" t="s">
        <v>5</v>
      </c>
      <c r="L15" s="53"/>
      <c r="M15" s="55"/>
      <c r="N15" s="56"/>
      <c r="O15" s="79">
        <f>SUM(O8:O13)</f>
        <v>152981.14571400001</v>
      </c>
    </row>
    <row r="16" spans="1:17" s="2" customFormat="1" ht="13.5" thickBot="1" x14ac:dyDescent="0.25">
      <c r="A16" s="121" t="s">
        <v>172</v>
      </c>
      <c r="B16" s="102" t="s">
        <v>162</v>
      </c>
      <c r="C16" s="57" t="s">
        <v>5</v>
      </c>
      <c r="D16" s="58"/>
      <c r="E16" s="59"/>
      <c r="F16" s="58"/>
      <c r="G16" s="59" t="s">
        <v>5</v>
      </c>
      <c r="H16" s="58"/>
      <c r="I16" s="60"/>
      <c r="J16" s="58"/>
      <c r="K16" s="59" t="s">
        <v>5</v>
      </c>
      <c r="L16" s="58"/>
      <c r="M16" s="60"/>
      <c r="N16" s="61"/>
      <c r="O16" s="80">
        <f>O15*(Q16+1)</f>
        <v>209918.94104152772</v>
      </c>
      <c r="P16" s="1" t="s">
        <v>150</v>
      </c>
      <c r="Q16" s="78">
        <f>RESUMO!G114</f>
        <v>0.37218831812106812</v>
      </c>
    </row>
    <row r="17" spans="1:18" s="5" customFormat="1" ht="13.5" thickBot="1" x14ac:dyDescent="0.25">
      <c r="A17" s="47"/>
      <c r="B17" s="47"/>
      <c r="C17" s="48"/>
      <c r="D17" s="49"/>
      <c r="E17" s="48"/>
      <c r="F17" s="49"/>
      <c r="G17" s="48"/>
      <c r="H17" s="49"/>
      <c r="I17" s="19"/>
      <c r="J17" s="49"/>
      <c r="K17" s="48"/>
      <c r="L17" s="49"/>
      <c r="M17" s="19"/>
      <c r="N17" s="49"/>
      <c r="O17" s="50"/>
    </row>
    <row r="18" spans="1:18" s="2" customFormat="1" ht="13.5" thickBot="1" x14ac:dyDescent="0.25">
      <c r="A18" s="47"/>
      <c r="B18" s="172" t="s">
        <v>154</v>
      </c>
      <c r="C18" s="173">
        <f>D18/$O$16</f>
        <v>0.13854673043581703</v>
      </c>
      <c r="D18" s="174">
        <f>SUM(D8:D13)*(1+$Q$16)</f>
        <v>29083.582937852709</v>
      </c>
      <c r="E18" s="173">
        <f>F18/$O$16</f>
        <v>0.11931424826771711</v>
      </c>
      <c r="F18" s="174">
        <f>SUM(F8:F13)*(1+$Q$16)</f>
        <v>25046.32064752511</v>
      </c>
      <c r="G18" s="173">
        <f>H18/$O$16</f>
        <v>0.25330902523404014</v>
      </c>
      <c r="H18" s="174">
        <f>SUM(H8:H13)*(1+$Q$16)</f>
        <v>53174.362333391327</v>
      </c>
      <c r="I18" s="173">
        <f>J18/$O$16</f>
        <v>0.1162067225606685</v>
      </c>
      <c r="J18" s="174">
        <f>SUM(J8:J13)*(1+$Q$16)</f>
        <v>24393.99214184214</v>
      </c>
      <c r="K18" s="173">
        <f>L18/$O$16</f>
        <v>0.11931424826771711</v>
      </c>
      <c r="L18" s="174">
        <f>SUM(L8:L13)*(1+$Q$16)</f>
        <v>25046.32064752511</v>
      </c>
      <c r="M18" s="173">
        <f>N18/$O$16</f>
        <v>0.25330902523404014</v>
      </c>
      <c r="N18" s="174">
        <f>SUM(N8:N13)*(1+$Q$16)</f>
        <v>53174.362333391327</v>
      </c>
      <c r="O18" s="50"/>
    </row>
    <row r="19" spans="1:18" s="2" customFormat="1" ht="13.5" thickBot="1" x14ac:dyDescent="0.25">
      <c r="A19" s="47"/>
      <c r="B19" s="167" t="s">
        <v>151</v>
      </c>
      <c r="C19" s="168">
        <f>D19/O16</f>
        <v>0.13854673043581703</v>
      </c>
      <c r="D19" s="169">
        <f>D18</f>
        <v>29083.582937852709</v>
      </c>
      <c r="E19" s="170">
        <f>F19/O16</f>
        <v>0.25786097870353414</v>
      </c>
      <c r="F19" s="169">
        <f>F18+D19</f>
        <v>54129.903585377819</v>
      </c>
      <c r="G19" s="168">
        <f>H19/O16</f>
        <v>0.51117000393757428</v>
      </c>
      <c r="H19" s="169">
        <f>H18+F19</f>
        <v>107304.26591876915</v>
      </c>
      <c r="I19" s="171">
        <f>J19/O16</f>
        <v>0.62737672649824283</v>
      </c>
      <c r="J19" s="169">
        <f>J18+H19</f>
        <v>131698.25806061129</v>
      </c>
      <c r="K19" s="168">
        <f>L19/O16</f>
        <v>0.74669097476595991</v>
      </c>
      <c r="L19" s="169">
        <f>L18+J19</f>
        <v>156744.5787081364</v>
      </c>
      <c r="M19" s="170">
        <f>N19/O16</f>
        <v>1</v>
      </c>
      <c r="N19" s="169">
        <f>N18+L19</f>
        <v>209918.94104152772</v>
      </c>
      <c r="O19" s="50"/>
      <c r="R19" s="88"/>
    </row>
    <row r="20" spans="1:18" s="2" customFormat="1" ht="26.25" thickBot="1" x14ac:dyDescent="0.25">
      <c r="A20" s="47"/>
      <c r="B20" s="162" t="s">
        <v>187</v>
      </c>
      <c r="C20" s="163">
        <v>0.1</v>
      </c>
      <c r="D20" s="164">
        <f>D18*C20</f>
        <v>2908.3582937852711</v>
      </c>
      <c r="E20" s="165">
        <v>0.1</v>
      </c>
      <c r="F20" s="164">
        <f>F18*E20</f>
        <v>2504.6320647525113</v>
      </c>
      <c r="G20" s="163">
        <v>0.1</v>
      </c>
      <c r="H20" s="164">
        <f>H18*G20</f>
        <v>5317.4362333391327</v>
      </c>
      <c r="I20" s="166">
        <v>0.1</v>
      </c>
      <c r="J20" s="164">
        <f>J18*I20</f>
        <v>2439.3992141842141</v>
      </c>
      <c r="K20" s="163">
        <v>0.1</v>
      </c>
      <c r="L20" s="164">
        <f>L18*K20</f>
        <v>2504.6320647525113</v>
      </c>
      <c r="M20" s="165">
        <v>0.1</v>
      </c>
      <c r="N20" s="164">
        <f>N18*M20</f>
        <v>5317.4362333391327</v>
      </c>
      <c r="O20" s="50"/>
      <c r="R20" s="88"/>
    </row>
    <row r="21" spans="1:18" s="5" customFormat="1" ht="13.5" thickBot="1" x14ac:dyDescent="0.25">
      <c r="A21" s="47"/>
      <c r="B21" s="47"/>
      <c r="C21" s="48"/>
      <c r="D21" s="49"/>
      <c r="E21" s="48"/>
      <c r="F21" s="49"/>
      <c r="G21" s="48"/>
      <c r="H21" s="49"/>
      <c r="I21" s="19"/>
      <c r="J21" s="49"/>
      <c r="K21" s="48"/>
      <c r="L21" s="49"/>
      <c r="M21" s="19"/>
      <c r="N21" s="49"/>
      <c r="O21" s="50"/>
    </row>
    <row r="22" spans="1:18" s="5" customFormat="1" ht="36.75" thickBot="1" x14ac:dyDescent="0.25">
      <c r="A22" s="47"/>
      <c r="B22" s="47"/>
      <c r="C22" s="86" t="s">
        <v>156</v>
      </c>
      <c r="D22" s="87" t="s">
        <v>155</v>
      </c>
      <c r="E22" s="86" t="s">
        <v>152</v>
      </c>
      <c r="F22" s="87" t="s">
        <v>157</v>
      </c>
      <c r="G22" s="176" t="s">
        <v>188</v>
      </c>
      <c r="H22" s="49"/>
      <c r="I22" s="19"/>
      <c r="J22" s="49"/>
      <c r="K22" s="48"/>
      <c r="L22" s="49"/>
      <c r="M22" s="19"/>
      <c r="N22" s="49"/>
      <c r="O22" s="50"/>
    </row>
    <row r="23" spans="1:18" ht="18.75" thickBot="1" x14ac:dyDescent="0.25">
      <c r="A23" s="9"/>
      <c r="B23" s="91" t="s">
        <v>146</v>
      </c>
      <c r="C23" s="156">
        <f>D23/$O$16</f>
        <v>0.23207488083318073</v>
      </c>
      <c r="D23" s="84">
        <f>(D18+F18)-(D20+F20)</f>
        <v>48716.913226840035</v>
      </c>
      <c r="E23" s="81">
        <f>D23</f>
        <v>48716.913226840035</v>
      </c>
      <c r="F23" s="156">
        <f>C23</f>
        <v>0.23207488083318073</v>
      </c>
      <c r="G23" s="175">
        <f>F19/O16</f>
        <v>0.25786097870353414</v>
      </c>
      <c r="H23" s="4"/>
      <c r="I23" s="4"/>
      <c r="J23" s="4"/>
      <c r="K23" s="4"/>
      <c r="L23" s="4"/>
      <c r="M23" s="4"/>
      <c r="N23" s="4"/>
      <c r="O23" s="4"/>
    </row>
    <row r="24" spans="1:18" ht="18.75" thickBot="1" x14ac:dyDescent="0.25">
      <c r="A24" s="9"/>
      <c r="B24" s="91" t="s">
        <v>147</v>
      </c>
      <c r="C24" s="156">
        <f t="shared" ref="C24:C26" si="6">D24/$O$16</f>
        <v>0.33256417301523777</v>
      </c>
      <c r="D24" s="85">
        <f>(H18+J18)-(H20+J20)</f>
        <v>69811.519027710121</v>
      </c>
      <c r="E24" s="82">
        <f>D23+D24</f>
        <v>118528.43225455016</v>
      </c>
      <c r="F24" s="160">
        <f>C23+C24</f>
        <v>0.5646390538484185</v>
      </c>
      <c r="G24" s="175">
        <f>J19/O16</f>
        <v>0.62737672649824283</v>
      </c>
      <c r="H24" s="4"/>
      <c r="I24" s="4"/>
      <c r="J24" s="4"/>
      <c r="K24" s="124"/>
      <c r="L24" s="4"/>
      <c r="M24" s="4"/>
      <c r="N24" s="4"/>
      <c r="O24" s="4"/>
    </row>
    <row r="25" spans="1:18" ht="36.75" thickBot="1" x14ac:dyDescent="0.25">
      <c r="A25" s="9"/>
      <c r="B25" s="91" t="s">
        <v>149</v>
      </c>
      <c r="C25" s="156">
        <f t="shared" si="6"/>
        <v>0.33536094615158146</v>
      </c>
      <c r="D25" s="85">
        <f>(L18+N18)-(L20+N20)</f>
        <v>70398.614682824787</v>
      </c>
      <c r="E25" s="82">
        <f>D23+D24+D25</f>
        <v>188927.04693737495</v>
      </c>
      <c r="F25" s="160">
        <f>C23+C24+C25</f>
        <v>0.89999999999999991</v>
      </c>
      <c r="G25" s="175">
        <f>N19/O16</f>
        <v>1</v>
      </c>
      <c r="H25" s="4"/>
      <c r="I25" s="4"/>
      <c r="J25" s="4"/>
      <c r="K25" s="4"/>
      <c r="L25" s="4"/>
      <c r="M25" s="4"/>
      <c r="N25" s="4"/>
      <c r="O25" s="4"/>
    </row>
    <row r="26" spans="1:18" ht="45" customHeight="1" thickBot="1" x14ac:dyDescent="0.25">
      <c r="A26" s="9"/>
      <c r="B26" s="92" t="s">
        <v>153</v>
      </c>
      <c r="C26" s="156">
        <f t="shared" si="6"/>
        <v>0.1</v>
      </c>
      <c r="D26" s="85">
        <f>O16*0.1</f>
        <v>20991.894104152772</v>
      </c>
      <c r="E26" s="83">
        <f>E25+D26</f>
        <v>209918.94104152772</v>
      </c>
      <c r="F26" s="161">
        <f>F25+C26</f>
        <v>0.99999999999999989</v>
      </c>
      <c r="G26" s="177"/>
      <c r="H26" s="5"/>
      <c r="I26" s="5"/>
      <c r="J26" s="5"/>
      <c r="K26" s="5"/>
      <c r="L26" s="5"/>
      <c r="M26" s="5"/>
      <c r="N26" s="5"/>
      <c r="O26" s="5"/>
    </row>
    <row r="27" spans="1:18" ht="13.5" thickBot="1" x14ac:dyDescent="0.25">
      <c r="A27" s="9"/>
      <c r="B27" s="155" t="s">
        <v>4</v>
      </c>
      <c r="C27" s="157">
        <f>SUM(C23:C26)</f>
        <v>0.99999999999999989</v>
      </c>
      <c r="D27" s="158">
        <f>SUM(D23:D26)</f>
        <v>209918.94104152772</v>
      </c>
      <c r="E27" s="159"/>
      <c r="F27" s="178"/>
      <c r="H27" s="4"/>
    </row>
    <row r="28" spans="1:18" x14ac:dyDescent="0.2">
      <c r="A28" s="9"/>
      <c r="B28" s="7"/>
      <c r="C28" s="13" t="s">
        <v>5</v>
      </c>
      <c r="D28" s="10"/>
      <c r="E28" s="11"/>
      <c r="F28" s="11"/>
      <c r="H28" s="4"/>
      <c r="M28" s="210"/>
    </row>
    <row r="29" spans="1:18" x14ac:dyDescent="0.2">
      <c r="A29" s="9"/>
      <c r="B29" s="7"/>
      <c r="C29" s="13" t="s">
        <v>5</v>
      </c>
      <c r="D29" s="10"/>
      <c r="E29" s="11"/>
      <c r="F29" s="11"/>
      <c r="H29" s="4"/>
      <c r="M29" s="4"/>
    </row>
    <row r="30" spans="1:18" x14ac:dyDescent="0.2">
      <c r="A30" s="9"/>
      <c r="B30" s="7"/>
      <c r="C30" s="13" t="s">
        <v>5</v>
      </c>
      <c r="D30" s="10"/>
      <c r="E30" s="11"/>
      <c r="F30" s="11"/>
      <c r="H30" s="4"/>
      <c r="J30" s="77"/>
      <c r="M30" s="4"/>
    </row>
    <row r="31" spans="1:18" x14ac:dyDescent="0.2">
      <c r="A31" s="9"/>
      <c r="B31" s="7"/>
      <c r="C31" s="13" t="s">
        <v>5</v>
      </c>
      <c r="D31" s="10"/>
      <c r="E31" s="11"/>
      <c r="F31" s="11"/>
      <c r="H31" s="4"/>
      <c r="M31" s="1" t="s">
        <v>148</v>
      </c>
    </row>
    <row r="32" spans="1:18" x14ac:dyDescent="0.2">
      <c r="A32" s="9"/>
      <c r="B32" s="7"/>
      <c r="C32" s="13" t="s">
        <v>5</v>
      </c>
      <c r="D32" s="10"/>
      <c r="E32" s="11"/>
      <c r="F32" s="11"/>
      <c r="H32" s="4"/>
    </row>
    <row r="33" spans="1:8" x14ac:dyDescent="0.2">
      <c r="A33" s="9"/>
      <c r="B33" s="7"/>
      <c r="C33" s="13" t="s">
        <v>5</v>
      </c>
      <c r="D33" s="10"/>
      <c r="E33" s="11"/>
      <c r="F33" s="11"/>
      <c r="H33" s="4"/>
    </row>
    <row r="34" spans="1:8" x14ac:dyDescent="0.2">
      <c r="A34" s="9"/>
      <c r="B34" s="7"/>
      <c r="C34" s="13" t="s">
        <v>5</v>
      </c>
      <c r="D34" s="10"/>
      <c r="E34" s="11"/>
      <c r="F34" s="11"/>
      <c r="H34" s="4"/>
    </row>
    <row r="35" spans="1:8" x14ac:dyDescent="0.2">
      <c r="A35" s="9"/>
      <c r="B35" s="7"/>
      <c r="C35" s="13" t="s">
        <v>5</v>
      </c>
      <c r="D35" s="10"/>
      <c r="E35" s="11"/>
      <c r="F35" s="11"/>
      <c r="H35" s="4"/>
    </row>
    <row r="36" spans="1:8" x14ac:dyDescent="0.2">
      <c r="A36" s="9"/>
      <c r="B36" s="7"/>
      <c r="C36" s="13" t="s">
        <v>5</v>
      </c>
      <c r="D36" s="10"/>
      <c r="E36" s="11"/>
      <c r="F36" s="11"/>
      <c r="H36" s="4"/>
    </row>
    <row r="37" spans="1:8" x14ac:dyDescent="0.2">
      <c r="A37" s="9"/>
      <c r="B37" s="7"/>
      <c r="C37" s="13" t="s">
        <v>5</v>
      </c>
      <c r="D37" s="10"/>
      <c r="E37" s="11"/>
      <c r="F37" s="11"/>
      <c r="H37" s="4"/>
    </row>
    <row r="38" spans="1:8" x14ac:dyDescent="0.2">
      <c r="A38" s="9"/>
      <c r="B38" s="7"/>
      <c r="C38" s="13" t="s">
        <v>5</v>
      </c>
      <c r="D38" s="10"/>
      <c r="E38" s="11"/>
      <c r="F38" s="11"/>
      <c r="H38" s="4"/>
    </row>
    <row r="39" spans="1:8" x14ac:dyDescent="0.2">
      <c r="A39" s="9"/>
      <c r="B39" s="7"/>
      <c r="C39" s="13"/>
      <c r="D39" s="10"/>
      <c r="E39" s="11"/>
      <c r="F39" s="11"/>
    </row>
    <row r="40" spans="1:8" x14ac:dyDescent="0.2">
      <c r="A40" s="9"/>
      <c r="B40" s="7"/>
      <c r="C40" s="13"/>
      <c r="D40" s="10"/>
      <c r="E40" s="11"/>
      <c r="F40" s="11"/>
    </row>
    <row r="41" spans="1:8" x14ac:dyDescent="0.2">
      <c r="A41" s="9"/>
      <c r="B41" s="7"/>
      <c r="C41" s="13"/>
      <c r="D41" s="10"/>
      <c r="E41" s="11"/>
      <c r="F41" s="11"/>
    </row>
    <row r="42" spans="1:8" x14ac:dyDescent="0.2">
      <c r="A42" s="9"/>
      <c r="B42" s="7"/>
      <c r="C42" s="13"/>
      <c r="D42" s="10"/>
      <c r="E42" s="11"/>
      <c r="F42" s="11"/>
    </row>
    <row r="43" spans="1:8" x14ac:dyDescent="0.2">
      <c r="A43" s="9"/>
      <c r="B43" s="7"/>
      <c r="C43" s="13"/>
      <c r="D43" s="10"/>
      <c r="E43" s="11"/>
      <c r="F43" s="11"/>
    </row>
    <row r="44" spans="1:8" x14ac:dyDescent="0.2">
      <c r="A44" s="9"/>
      <c r="B44" s="7"/>
      <c r="C44" s="13"/>
      <c r="D44" s="10"/>
      <c r="E44" s="11"/>
      <c r="F44" s="11"/>
    </row>
    <row r="45" spans="1:8" x14ac:dyDescent="0.2">
      <c r="A45" s="9"/>
      <c r="B45" s="7"/>
      <c r="C45" s="13"/>
      <c r="D45" s="10"/>
      <c r="E45" s="11"/>
      <c r="F45" s="11"/>
      <c r="G45" s="1"/>
    </row>
    <row r="46" spans="1:8" x14ac:dyDescent="0.2">
      <c r="A46" s="9"/>
      <c r="B46" s="7"/>
      <c r="C46" s="13"/>
      <c r="D46" s="10"/>
      <c r="E46" s="11"/>
      <c r="F46" s="11"/>
      <c r="G46" s="1"/>
    </row>
    <row r="47" spans="1:8" x14ac:dyDescent="0.2">
      <c r="A47" s="9"/>
      <c r="B47" s="7"/>
      <c r="C47" s="13"/>
      <c r="D47" s="10"/>
      <c r="E47" s="11"/>
      <c r="F47" s="11"/>
      <c r="G47" s="1"/>
    </row>
    <row r="48" spans="1:8" x14ac:dyDescent="0.2">
      <c r="A48" s="9"/>
      <c r="B48" s="7"/>
      <c r="C48" s="13"/>
      <c r="D48" s="10"/>
      <c r="E48" s="11"/>
      <c r="F48" s="11"/>
      <c r="G48" s="1"/>
    </row>
    <row r="49" spans="1:7" x14ac:dyDescent="0.2">
      <c r="A49" s="9"/>
      <c r="B49" s="7"/>
      <c r="C49" s="13"/>
      <c r="D49" s="10"/>
      <c r="E49" s="11"/>
      <c r="F49" s="11"/>
      <c r="G49" s="1"/>
    </row>
    <row r="50" spans="1:7" x14ac:dyDescent="0.2">
      <c r="A50" s="9"/>
      <c r="B50" s="7"/>
      <c r="C50" s="13"/>
      <c r="D50" s="10"/>
      <c r="E50" s="11"/>
      <c r="F50" s="11"/>
      <c r="G50" s="1"/>
    </row>
    <row r="51" spans="1:7" x14ac:dyDescent="0.2">
      <c r="A51" s="9"/>
      <c r="B51" s="7"/>
      <c r="C51" s="13"/>
      <c r="D51" s="10"/>
      <c r="E51" s="11"/>
      <c r="F51" s="11"/>
      <c r="G51" s="1"/>
    </row>
    <row r="52" spans="1:7" x14ac:dyDescent="0.2">
      <c r="A52" s="9"/>
      <c r="B52" s="7"/>
      <c r="C52" s="13"/>
      <c r="D52" s="10"/>
      <c r="E52" s="11"/>
      <c r="F52" s="11"/>
      <c r="G52" s="1"/>
    </row>
    <row r="53" spans="1:7" x14ac:dyDescent="0.2">
      <c r="A53" s="9"/>
      <c r="B53" s="7"/>
      <c r="C53" s="13"/>
      <c r="D53" s="10"/>
      <c r="E53" s="11"/>
      <c r="F53" s="11"/>
      <c r="G53" s="1"/>
    </row>
    <row r="54" spans="1:7" x14ac:dyDescent="0.2">
      <c r="A54" s="9"/>
      <c r="B54" s="7"/>
      <c r="C54" s="13"/>
      <c r="D54" s="10"/>
      <c r="E54" s="11"/>
      <c r="F54" s="11"/>
      <c r="G54" s="1"/>
    </row>
    <row r="55" spans="1:7" x14ac:dyDescent="0.2">
      <c r="A55" s="9"/>
      <c r="B55" s="7"/>
      <c r="C55" s="13"/>
      <c r="D55" s="10"/>
      <c r="E55" s="11"/>
      <c r="F55" s="11"/>
      <c r="G55" s="1"/>
    </row>
    <row r="56" spans="1:7" x14ac:dyDescent="0.2">
      <c r="A56" s="9"/>
      <c r="B56" s="7"/>
      <c r="C56" s="13"/>
      <c r="D56" s="10"/>
      <c r="E56" s="11"/>
      <c r="F56" s="11"/>
      <c r="G56" s="1"/>
    </row>
    <row r="57" spans="1:7" x14ac:dyDescent="0.2">
      <c r="A57" s="9"/>
      <c r="B57" s="7"/>
      <c r="C57" s="13"/>
      <c r="D57" s="10"/>
      <c r="E57" s="11"/>
      <c r="F57" s="11"/>
      <c r="G57" s="1"/>
    </row>
    <row r="58" spans="1:7" x14ac:dyDescent="0.2">
      <c r="A58" s="9"/>
      <c r="B58" s="7"/>
      <c r="C58" s="13"/>
      <c r="D58" s="10"/>
      <c r="E58" s="11"/>
      <c r="F58" s="11"/>
      <c r="G58" s="1"/>
    </row>
    <row r="59" spans="1:7" x14ac:dyDescent="0.2">
      <c r="A59" s="9"/>
      <c r="B59" s="7"/>
      <c r="C59" s="13"/>
      <c r="D59" s="10"/>
      <c r="E59" s="11"/>
      <c r="F59" s="11"/>
      <c r="G59" s="1"/>
    </row>
    <row r="60" spans="1:7" x14ac:dyDescent="0.2">
      <c r="A60" s="9"/>
      <c r="B60" s="7"/>
      <c r="C60" s="13"/>
      <c r="D60" s="10"/>
      <c r="E60" s="11"/>
      <c r="F60" s="11"/>
      <c r="G60" s="1"/>
    </row>
    <row r="61" spans="1:7" x14ac:dyDescent="0.2">
      <c r="A61" s="9"/>
      <c r="B61" s="7"/>
      <c r="C61" s="13"/>
      <c r="D61" s="10"/>
      <c r="E61" s="11"/>
      <c r="F61" s="11"/>
      <c r="G61" s="1"/>
    </row>
    <row r="62" spans="1:7" x14ac:dyDescent="0.2">
      <c r="A62" s="9"/>
      <c r="B62" s="7"/>
      <c r="C62" s="13"/>
      <c r="D62" s="10"/>
      <c r="E62" s="11"/>
      <c r="F62" s="11"/>
      <c r="G62" s="1"/>
    </row>
    <row r="63" spans="1:7" x14ac:dyDescent="0.2">
      <c r="A63" s="9"/>
      <c r="B63" s="7"/>
      <c r="C63" s="13"/>
      <c r="D63" s="10"/>
      <c r="E63" s="11"/>
      <c r="F63" s="11"/>
      <c r="G63" s="1"/>
    </row>
    <row r="64" spans="1:7" x14ac:dyDescent="0.2">
      <c r="A64" s="9"/>
      <c r="B64" s="7"/>
      <c r="C64" s="13"/>
      <c r="D64" s="10"/>
      <c r="E64" s="11"/>
      <c r="F64" s="11"/>
      <c r="G64" s="1"/>
    </row>
    <row r="65" spans="1:7" x14ac:dyDescent="0.2">
      <c r="A65" s="9"/>
      <c r="B65" s="7"/>
      <c r="C65" s="13"/>
      <c r="D65" s="10"/>
      <c r="E65" s="11"/>
      <c r="F65" s="11"/>
      <c r="G65" s="1"/>
    </row>
    <row r="66" spans="1:7" x14ac:dyDescent="0.2">
      <c r="A66" s="9"/>
      <c r="B66" s="7"/>
      <c r="C66" s="13"/>
      <c r="D66" s="10"/>
      <c r="E66" s="11"/>
      <c r="F66" s="11"/>
      <c r="G66" s="1"/>
    </row>
    <row r="67" spans="1:7" x14ac:dyDescent="0.2">
      <c r="A67" s="9"/>
      <c r="B67" s="7"/>
      <c r="C67" s="13"/>
      <c r="D67" s="10"/>
      <c r="E67" s="11"/>
      <c r="F67" s="11"/>
      <c r="G67" s="1"/>
    </row>
    <row r="68" spans="1:7" x14ac:dyDescent="0.2">
      <c r="A68" s="9"/>
      <c r="B68" s="7"/>
      <c r="C68" s="13"/>
      <c r="D68" s="10"/>
      <c r="E68" s="11"/>
      <c r="F68" s="11"/>
      <c r="G68" s="1"/>
    </row>
    <row r="69" spans="1:7" x14ac:dyDescent="0.2">
      <c r="A69" s="9"/>
      <c r="B69" s="7"/>
      <c r="C69" s="13"/>
      <c r="D69" s="10"/>
      <c r="E69" s="11"/>
      <c r="F69" s="11"/>
      <c r="G69" s="1"/>
    </row>
    <row r="70" spans="1:7" x14ac:dyDescent="0.2">
      <c r="A70" s="9"/>
      <c r="B70" s="7"/>
      <c r="C70" s="13"/>
      <c r="D70" s="10"/>
      <c r="E70" s="11"/>
      <c r="F70" s="11"/>
      <c r="G70" s="1"/>
    </row>
    <row r="71" spans="1:7" x14ac:dyDescent="0.2">
      <c r="A71" s="9"/>
      <c r="B71" s="7"/>
      <c r="C71" s="13"/>
      <c r="D71" s="10"/>
      <c r="E71" s="11"/>
      <c r="F71" s="11"/>
      <c r="G71" s="1"/>
    </row>
    <row r="72" spans="1:7" x14ac:dyDescent="0.2">
      <c r="A72" s="9"/>
      <c r="B72" s="7"/>
      <c r="C72" s="13"/>
      <c r="D72" s="10"/>
      <c r="E72" s="11"/>
      <c r="F72" s="11"/>
      <c r="G72" s="1"/>
    </row>
    <row r="73" spans="1:7" x14ac:dyDescent="0.2">
      <c r="A73" s="9"/>
      <c r="B73" s="7"/>
      <c r="C73" s="13"/>
      <c r="D73" s="10"/>
      <c r="E73" s="11"/>
      <c r="F73" s="11"/>
      <c r="G73" s="1"/>
    </row>
    <row r="74" spans="1:7" x14ac:dyDescent="0.2">
      <c r="A74" s="9"/>
      <c r="B74" s="7"/>
      <c r="C74" s="13"/>
      <c r="D74" s="10"/>
      <c r="E74" s="11"/>
      <c r="F74" s="11"/>
      <c r="G74" s="1"/>
    </row>
    <row r="75" spans="1:7" x14ac:dyDescent="0.2">
      <c r="A75" s="9"/>
      <c r="B75" s="7"/>
      <c r="C75" s="13"/>
      <c r="D75" s="10"/>
      <c r="E75" s="11"/>
      <c r="F75" s="11"/>
      <c r="G75" s="1"/>
    </row>
    <row r="76" spans="1:7" x14ac:dyDescent="0.2">
      <c r="A76" s="9"/>
      <c r="B76" s="7"/>
      <c r="C76" s="13"/>
      <c r="D76" s="10"/>
      <c r="E76" s="11"/>
      <c r="F76" s="11"/>
      <c r="G76" s="1"/>
    </row>
    <row r="77" spans="1:7" x14ac:dyDescent="0.2">
      <c r="A77" s="9"/>
      <c r="B77" s="7"/>
      <c r="C77" s="13"/>
      <c r="D77" s="10"/>
      <c r="E77" s="11"/>
      <c r="F77" s="11"/>
      <c r="G77" s="1"/>
    </row>
    <row r="78" spans="1:7" x14ac:dyDescent="0.2">
      <c r="A78" s="9"/>
      <c r="B78" s="7"/>
      <c r="C78" s="13"/>
      <c r="D78" s="10"/>
      <c r="E78" s="11"/>
      <c r="F78" s="11"/>
      <c r="G78" s="1"/>
    </row>
    <row r="79" spans="1:7" x14ac:dyDescent="0.2">
      <c r="A79" s="9"/>
      <c r="B79" s="7"/>
      <c r="C79" s="13"/>
      <c r="D79" s="10"/>
      <c r="E79" s="11"/>
      <c r="F79" s="11"/>
      <c r="G79" s="1"/>
    </row>
    <row r="80" spans="1:7" x14ac:dyDescent="0.2">
      <c r="A80" s="9"/>
      <c r="B80" s="7"/>
      <c r="C80" s="13"/>
      <c r="D80" s="10"/>
      <c r="E80" s="11"/>
      <c r="F80" s="11"/>
      <c r="G80" s="1"/>
    </row>
    <row r="81" spans="1:7" x14ac:dyDescent="0.2">
      <c r="A81" s="9"/>
      <c r="B81" s="7"/>
      <c r="C81" s="13"/>
      <c r="D81" s="10"/>
      <c r="E81" s="11"/>
      <c r="F81" s="11"/>
      <c r="G81" s="1"/>
    </row>
    <row r="82" spans="1:7" x14ac:dyDescent="0.2">
      <c r="A82" s="9"/>
      <c r="B82" s="7"/>
      <c r="C82" s="13"/>
      <c r="D82" s="10"/>
      <c r="E82" s="11"/>
      <c r="F82" s="11"/>
      <c r="G82" s="1"/>
    </row>
    <row r="83" spans="1:7" x14ac:dyDescent="0.2">
      <c r="A83" s="9"/>
      <c r="B83" s="7"/>
      <c r="C83" s="13"/>
      <c r="D83" s="10"/>
      <c r="E83" s="11"/>
      <c r="F83" s="11"/>
      <c r="G83" s="1"/>
    </row>
    <row r="84" spans="1:7" x14ac:dyDescent="0.2">
      <c r="A84" s="9"/>
      <c r="B84" s="7"/>
      <c r="C84" s="13"/>
      <c r="D84" s="10"/>
      <c r="E84" s="11"/>
      <c r="F84" s="11"/>
      <c r="G84" s="1"/>
    </row>
    <row r="85" spans="1:7" x14ac:dyDescent="0.2">
      <c r="A85" s="9"/>
      <c r="B85" s="7"/>
      <c r="C85" s="13"/>
      <c r="D85" s="10"/>
      <c r="E85" s="11"/>
      <c r="F85" s="11"/>
      <c r="G85" s="1"/>
    </row>
    <row r="86" spans="1:7" x14ac:dyDescent="0.2">
      <c r="A86" s="9"/>
      <c r="B86" s="7"/>
      <c r="C86" s="13"/>
      <c r="D86" s="10"/>
      <c r="E86" s="11"/>
      <c r="F86" s="11"/>
      <c r="G86" s="1"/>
    </row>
    <row r="87" spans="1:7" x14ac:dyDescent="0.2">
      <c r="A87" s="9"/>
      <c r="B87" s="7"/>
      <c r="C87" s="13"/>
      <c r="D87" s="10"/>
      <c r="E87" s="11"/>
      <c r="F87" s="11"/>
      <c r="G87" s="1"/>
    </row>
    <row r="88" spans="1:7" x14ac:dyDescent="0.2">
      <c r="A88" s="9"/>
      <c r="B88" s="7"/>
      <c r="C88" s="13"/>
      <c r="D88" s="10"/>
      <c r="E88" s="11"/>
      <c r="F88" s="11"/>
      <c r="G88" s="1"/>
    </row>
    <row r="89" spans="1:7" x14ac:dyDescent="0.2">
      <c r="A89" s="9"/>
      <c r="B89" s="7"/>
      <c r="C89" s="13"/>
      <c r="D89" s="10"/>
      <c r="E89" s="11"/>
      <c r="F89" s="11"/>
      <c r="G89" s="1"/>
    </row>
    <row r="90" spans="1:7" x14ac:dyDescent="0.2">
      <c r="A90" s="9"/>
      <c r="B90" s="7"/>
      <c r="C90" s="13"/>
      <c r="D90" s="10"/>
      <c r="E90" s="11"/>
      <c r="F90" s="11"/>
      <c r="G90" s="1"/>
    </row>
    <row r="91" spans="1:7" x14ac:dyDescent="0.2">
      <c r="A91" s="9"/>
      <c r="B91" s="7"/>
      <c r="C91" s="13"/>
      <c r="D91" s="10"/>
      <c r="E91" s="11"/>
      <c r="F91" s="11"/>
      <c r="G91" s="1"/>
    </row>
    <row r="92" spans="1:7" x14ac:dyDescent="0.2">
      <c r="A92" s="9"/>
      <c r="B92" s="7"/>
      <c r="C92" s="13"/>
      <c r="D92" s="10"/>
      <c r="E92" s="11"/>
      <c r="F92" s="11"/>
      <c r="G92" s="1"/>
    </row>
    <row r="93" spans="1:7" x14ac:dyDescent="0.2">
      <c r="A93" s="9"/>
      <c r="B93" s="7"/>
      <c r="C93" s="13"/>
      <c r="D93" s="10"/>
      <c r="E93" s="11"/>
      <c r="F93" s="11"/>
      <c r="G93" s="1"/>
    </row>
    <row r="94" spans="1:7" x14ac:dyDescent="0.2">
      <c r="A94" s="9"/>
      <c r="B94" s="7"/>
      <c r="C94" s="13"/>
      <c r="D94" s="10"/>
      <c r="E94" s="11"/>
      <c r="F94" s="11"/>
      <c r="G94" s="1"/>
    </row>
    <row r="95" spans="1:7" x14ac:dyDescent="0.2">
      <c r="A95" s="9"/>
      <c r="B95" s="7"/>
      <c r="C95" s="13"/>
      <c r="D95" s="10"/>
      <c r="E95" s="11"/>
      <c r="F95" s="11"/>
      <c r="G95" s="1"/>
    </row>
    <row r="96" spans="1:7" x14ac:dyDescent="0.2">
      <c r="A96" s="9"/>
      <c r="B96" s="7"/>
      <c r="C96" s="13"/>
      <c r="D96" s="10"/>
      <c r="E96" s="11"/>
      <c r="F96" s="11"/>
      <c r="G96" s="1"/>
    </row>
    <row r="97" spans="1:7" x14ac:dyDescent="0.2">
      <c r="A97" s="9"/>
      <c r="B97" s="7"/>
      <c r="C97" s="13"/>
      <c r="D97" s="10"/>
      <c r="E97" s="11"/>
      <c r="F97" s="11"/>
      <c r="G97" s="1"/>
    </row>
    <row r="98" spans="1:7" x14ac:dyDescent="0.2">
      <c r="A98" s="9"/>
      <c r="B98" s="7"/>
      <c r="C98" s="13"/>
      <c r="D98" s="10"/>
      <c r="E98" s="11"/>
      <c r="F98" s="11"/>
      <c r="G98" s="1"/>
    </row>
    <row r="99" spans="1:7" x14ac:dyDescent="0.2">
      <c r="A99" s="9"/>
      <c r="B99" s="7"/>
      <c r="C99" s="13"/>
      <c r="D99" s="10"/>
      <c r="E99" s="11"/>
      <c r="F99" s="11"/>
      <c r="G99" s="1"/>
    </row>
    <row r="100" spans="1:7" x14ac:dyDescent="0.2">
      <c r="A100" s="9"/>
      <c r="B100" s="7"/>
      <c r="C100" s="13"/>
      <c r="D100" s="10"/>
      <c r="E100" s="11"/>
      <c r="F100" s="11"/>
      <c r="G100" s="1"/>
    </row>
    <row r="101" spans="1:7" x14ac:dyDescent="0.2">
      <c r="A101" s="9"/>
      <c r="B101" s="7"/>
      <c r="C101" s="13"/>
      <c r="D101" s="10"/>
      <c r="E101" s="11"/>
      <c r="F101" s="11"/>
      <c r="G101" s="1"/>
    </row>
    <row r="102" spans="1:7" x14ac:dyDescent="0.2">
      <c r="A102" s="9"/>
      <c r="B102" s="7"/>
      <c r="C102" s="13"/>
      <c r="D102" s="10"/>
      <c r="E102" s="11"/>
      <c r="F102" s="11"/>
      <c r="G102" s="1"/>
    </row>
    <row r="103" spans="1:7" x14ac:dyDescent="0.2">
      <c r="A103" s="9"/>
      <c r="B103" s="7"/>
      <c r="C103" s="13"/>
      <c r="D103" s="10"/>
      <c r="E103" s="11"/>
      <c r="F103" s="11"/>
      <c r="G103" s="1"/>
    </row>
    <row r="104" spans="1:7" x14ac:dyDescent="0.2">
      <c r="A104" s="9"/>
      <c r="B104" s="7"/>
      <c r="C104" s="13"/>
      <c r="D104" s="10"/>
      <c r="E104" s="11"/>
      <c r="F104" s="11"/>
      <c r="G104" s="1"/>
    </row>
    <row r="105" spans="1:7" x14ac:dyDescent="0.2">
      <c r="A105" s="9"/>
      <c r="B105" s="7"/>
      <c r="C105" s="13"/>
      <c r="D105" s="10"/>
      <c r="E105" s="11"/>
      <c r="F105" s="11"/>
      <c r="G105" s="1"/>
    </row>
    <row r="106" spans="1:7" x14ac:dyDescent="0.2">
      <c r="A106" s="9"/>
      <c r="B106" s="7"/>
      <c r="C106" s="13"/>
      <c r="D106" s="10"/>
      <c r="E106" s="11"/>
      <c r="F106" s="11"/>
      <c r="G106" s="1"/>
    </row>
    <row r="107" spans="1:7" x14ac:dyDescent="0.2">
      <c r="A107" s="9"/>
      <c r="B107" s="7"/>
      <c r="C107" s="13"/>
      <c r="D107" s="10"/>
      <c r="E107" s="11"/>
      <c r="F107" s="11"/>
      <c r="G107" s="1"/>
    </row>
    <row r="108" spans="1:7" x14ac:dyDescent="0.2">
      <c r="A108" s="9"/>
      <c r="B108" s="7"/>
      <c r="C108" s="13"/>
      <c r="D108" s="10"/>
      <c r="E108" s="11"/>
      <c r="F108" s="11"/>
      <c r="G108" s="1"/>
    </row>
    <row r="109" spans="1:7" x14ac:dyDescent="0.2">
      <c r="A109" s="9"/>
      <c r="B109" s="7"/>
      <c r="C109" s="13"/>
      <c r="D109" s="10"/>
      <c r="E109" s="11"/>
      <c r="F109" s="11"/>
      <c r="G109" s="1"/>
    </row>
    <row r="110" spans="1:7" x14ac:dyDescent="0.2">
      <c r="A110" s="9"/>
      <c r="B110" s="7"/>
      <c r="C110" s="13"/>
      <c r="D110" s="10"/>
      <c r="E110" s="11"/>
      <c r="F110" s="11"/>
      <c r="G110" s="1"/>
    </row>
    <row r="111" spans="1:7" x14ac:dyDescent="0.2">
      <c r="A111" s="9"/>
      <c r="B111" s="7"/>
      <c r="C111" s="13"/>
      <c r="D111" s="10"/>
      <c r="E111" s="11"/>
      <c r="F111" s="11"/>
      <c r="G111" s="1"/>
    </row>
    <row r="112" spans="1:7" x14ac:dyDescent="0.2">
      <c r="A112" s="9"/>
      <c r="B112" s="7"/>
      <c r="C112" s="13"/>
      <c r="D112" s="10"/>
      <c r="E112" s="11"/>
      <c r="F112" s="11"/>
      <c r="G112" s="1"/>
    </row>
    <row r="113" spans="1:7" x14ac:dyDescent="0.2">
      <c r="A113" s="9"/>
      <c r="B113" s="7"/>
      <c r="C113" s="13"/>
      <c r="D113" s="10"/>
      <c r="E113" s="11"/>
      <c r="F113" s="11"/>
      <c r="G113" s="1"/>
    </row>
    <row r="114" spans="1:7" x14ac:dyDescent="0.2">
      <c r="A114" s="9"/>
      <c r="B114" s="7"/>
      <c r="C114" s="13"/>
      <c r="D114" s="10"/>
      <c r="E114" s="11"/>
      <c r="F114" s="11"/>
      <c r="G114" s="1"/>
    </row>
    <row r="115" spans="1:7" x14ac:dyDescent="0.2">
      <c r="A115" s="9"/>
      <c r="B115" s="7"/>
      <c r="C115" s="13"/>
      <c r="D115" s="10"/>
      <c r="E115" s="11"/>
      <c r="F115" s="11"/>
      <c r="G115" s="1"/>
    </row>
    <row r="116" spans="1:7" x14ac:dyDescent="0.2">
      <c r="A116" s="9"/>
      <c r="B116" s="7"/>
      <c r="C116" s="13"/>
      <c r="D116" s="10"/>
      <c r="E116" s="11"/>
      <c r="F116" s="11"/>
      <c r="G116" s="1"/>
    </row>
    <row r="117" spans="1:7" x14ac:dyDescent="0.2">
      <c r="A117" s="9"/>
      <c r="B117" s="7"/>
      <c r="C117" s="13"/>
      <c r="D117" s="10"/>
      <c r="E117" s="11"/>
      <c r="F117" s="11"/>
      <c r="G117" s="1"/>
    </row>
    <row r="118" spans="1:7" x14ac:dyDescent="0.2">
      <c r="A118" s="9"/>
      <c r="B118" s="7"/>
      <c r="C118" s="13"/>
      <c r="D118" s="10"/>
      <c r="E118" s="11"/>
      <c r="F118" s="11"/>
      <c r="G118" s="1"/>
    </row>
    <row r="119" spans="1:7" x14ac:dyDescent="0.2">
      <c r="A119" s="9"/>
      <c r="B119" s="7"/>
      <c r="C119" s="13"/>
      <c r="D119" s="10"/>
      <c r="E119" s="11"/>
      <c r="F119" s="11"/>
      <c r="G119" s="1"/>
    </row>
    <row r="120" spans="1:7" x14ac:dyDescent="0.2">
      <c r="A120" s="9"/>
      <c r="B120" s="7"/>
      <c r="C120" s="13"/>
      <c r="D120" s="10"/>
      <c r="E120" s="11"/>
      <c r="F120" s="11"/>
      <c r="G120" s="1"/>
    </row>
    <row r="121" spans="1:7" x14ac:dyDescent="0.2">
      <c r="A121" s="9"/>
      <c r="B121" s="7"/>
      <c r="C121" s="13"/>
      <c r="D121" s="10"/>
      <c r="E121" s="11"/>
      <c r="F121" s="11"/>
      <c r="G121" s="1"/>
    </row>
    <row r="122" spans="1:7" x14ac:dyDescent="0.2">
      <c r="A122" s="9"/>
      <c r="B122" s="7"/>
      <c r="C122" s="13"/>
      <c r="D122" s="10"/>
      <c r="E122" s="11"/>
      <c r="F122" s="11"/>
      <c r="G122" s="1"/>
    </row>
    <row r="123" spans="1:7" x14ac:dyDescent="0.2">
      <c r="A123" s="9"/>
      <c r="B123" s="7"/>
      <c r="C123" s="13"/>
      <c r="D123" s="10"/>
      <c r="E123" s="11"/>
      <c r="F123" s="11"/>
      <c r="G123" s="1"/>
    </row>
    <row r="124" spans="1:7" x14ac:dyDescent="0.2">
      <c r="A124" s="9"/>
      <c r="B124" s="7"/>
      <c r="C124" s="13"/>
      <c r="D124" s="10"/>
      <c r="E124" s="11"/>
      <c r="F124" s="11"/>
      <c r="G124" s="1"/>
    </row>
    <row r="125" spans="1:7" x14ac:dyDescent="0.2">
      <c r="A125" s="9"/>
      <c r="B125" s="7"/>
      <c r="C125" s="13"/>
      <c r="D125" s="10"/>
      <c r="E125" s="11"/>
      <c r="F125" s="11"/>
      <c r="G125" s="1"/>
    </row>
    <row r="126" spans="1:7" x14ac:dyDescent="0.2">
      <c r="A126" s="9"/>
      <c r="B126" s="7"/>
      <c r="C126" s="13"/>
      <c r="D126" s="10"/>
      <c r="E126" s="11"/>
      <c r="F126" s="11"/>
      <c r="G126" s="1"/>
    </row>
    <row r="127" spans="1:7" x14ac:dyDescent="0.2">
      <c r="A127" s="9"/>
      <c r="B127" s="7"/>
      <c r="C127" s="13"/>
      <c r="D127" s="10"/>
      <c r="E127" s="11"/>
      <c r="F127" s="11"/>
      <c r="G127" s="1"/>
    </row>
    <row r="128" spans="1:7" x14ac:dyDescent="0.2">
      <c r="A128" s="9"/>
      <c r="B128" s="7"/>
      <c r="C128" s="13"/>
      <c r="D128" s="10"/>
      <c r="E128" s="11"/>
      <c r="F128" s="11"/>
      <c r="G128" s="1"/>
    </row>
    <row r="129" spans="1:7" x14ac:dyDescent="0.2">
      <c r="A129" s="9"/>
      <c r="B129" s="7"/>
      <c r="C129" s="13"/>
      <c r="D129" s="10"/>
      <c r="E129" s="11"/>
      <c r="F129" s="11"/>
      <c r="G129" s="1"/>
    </row>
    <row r="130" spans="1:7" x14ac:dyDescent="0.2">
      <c r="A130" s="9"/>
      <c r="B130" s="7"/>
      <c r="C130" s="13"/>
      <c r="D130" s="10"/>
      <c r="E130" s="11"/>
      <c r="F130" s="11"/>
      <c r="G130" s="1"/>
    </row>
    <row r="131" spans="1:7" x14ac:dyDescent="0.2">
      <c r="A131" s="9"/>
      <c r="B131" s="7"/>
      <c r="C131" s="13"/>
      <c r="D131" s="10"/>
      <c r="E131" s="11"/>
      <c r="F131" s="11"/>
      <c r="G131" s="1"/>
    </row>
    <row r="132" spans="1:7" x14ac:dyDescent="0.2">
      <c r="A132" s="9"/>
      <c r="B132" s="7"/>
      <c r="C132" s="13"/>
      <c r="D132" s="10"/>
      <c r="E132" s="11"/>
      <c r="F132" s="11"/>
      <c r="G132" s="1"/>
    </row>
    <row r="133" spans="1:7" x14ac:dyDescent="0.2">
      <c r="A133" s="9"/>
      <c r="B133" s="7"/>
      <c r="C133" s="13"/>
      <c r="D133" s="10"/>
      <c r="E133" s="11"/>
      <c r="F133" s="11"/>
      <c r="G133" s="1"/>
    </row>
    <row r="134" spans="1:7" x14ac:dyDescent="0.2">
      <c r="A134" s="9"/>
      <c r="B134" s="7"/>
      <c r="C134" s="13"/>
      <c r="D134" s="10"/>
      <c r="E134" s="11"/>
      <c r="F134" s="11"/>
      <c r="G134" s="1"/>
    </row>
    <row r="135" spans="1:7" x14ac:dyDescent="0.2">
      <c r="A135" s="9"/>
      <c r="B135" s="7"/>
      <c r="C135" s="13"/>
      <c r="D135" s="10"/>
      <c r="E135" s="11"/>
      <c r="F135" s="11"/>
      <c r="G135" s="1"/>
    </row>
    <row r="136" spans="1:7" x14ac:dyDescent="0.2">
      <c r="A136" s="9"/>
      <c r="B136" s="7"/>
      <c r="C136" s="13"/>
      <c r="D136" s="10"/>
      <c r="E136" s="11"/>
      <c r="F136" s="11"/>
      <c r="G136" s="1"/>
    </row>
    <row r="137" spans="1:7" x14ac:dyDescent="0.2">
      <c r="A137" s="9"/>
      <c r="B137" s="7"/>
      <c r="C137" s="13"/>
      <c r="D137" s="10"/>
      <c r="E137" s="11"/>
      <c r="F137" s="11"/>
      <c r="G137" s="1"/>
    </row>
    <row r="138" spans="1:7" x14ac:dyDescent="0.2">
      <c r="A138" s="9"/>
      <c r="B138" s="7"/>
      <c r="C138" s="13"/>
      <c r="D138" s="10"/>
      <c r="E138" s="11"/>
      <c r="F138" s="11"/>
      <c r="G138" s="1"/>
    </row>
    <row r="139" spans="1:7" x14ac:dyDescent="0.2">
      <c r="A139" s="9"/>
      <c r="B139" s="7"/>
      <c r="C139" s="13"/>
      <c r="D139" s="10"/>
      <c r="E139" s="11"/>
      <c r="F139" s="11"/>
      <c r="G139" s="1"/>
    </row>
    <row r="140" spans="1:7" x14ac:dyDescent="0.2">
      <c r="A140" s="9"/>
      <c r="B140" s="7"/>
      <c r="C140" s="13"/>
      <c r="D140" s="10"/>
      <c r="E140" s="11"/>
      <c r="F140" s="11"/>
      <c r="G140" s="1"/>
    </row>
    <row r="141" spans="1:7" x14ac:dyDescent="0.2">
      <c r="A141" s="9"/>
      <c r="B141" s="7"/>
      <c r="C141" s="13"/>
      <c r="D141" s="10"/>
      <c r="E141" s="11"/>
      <c r="F141" s="11"/>
      <c r="G141" s="1"/>
    </row>
    <row r="142" spans="1:7" x14ac:dyDescent="0.2">
      <c r="A142" s="9"/>
      <c r="B142" s="7"/>
      <c r="C142" s="13"/>
      <c r="D142" s="10"/>
      <c r="E142" s="11"/>
      <c r="F142" s="11"/>
      <c r="G142" s="1"/>
    </row>
    <row r="143" spans="1:7" x14ac:dyDescent="0.2">
      <c r="A143" s="9"/>
      <c r="B143" s="7"/>
      <c r="C143" s="13"/>
      <c r="D143" s="10"/>
      <c r="E143" s="11"/>
      <c r="F143" s="11"/>
      <c r="G143" s="1"/>
    </row>
    <row r="144" spans="1:7" x14ac:dyDescent="0.2">
      <c r="A144" s="9"/>
      <c r="B144" s="7"/>
      <c r="C144" s="13"/>
      <c r="D144" s="10"/>
      <c r="E144" s="11"/>
      <c r="F144" s="11"/>
      <c r="G144" s="1"/>
    </row>
    <row r="145" spans="1:7" x14ac:dyDescent="0.2">
      <c r="A145" s="9"/>
      <c r="B145" s="7"/>
      <c r="C145" s="13"/>
      <c r="D145" s="10"/>
      <c r="E145" s="11"/>
      <c r="F145" s="11"/>
      <c r="G145" s="1"/>
    </row>
    <row r="146" spans="1:7" x14ac:dyDescent="0.2">
      <c r="A146" s="9"/>
      <c r="B146" s="7"/>
      <c r="C146" s="13"/>
      <c r="D146" s="10"/>
      <c r="E146" s="11"/>
      <c r="F146" s="11"/>
      <c r="G146" s="1"/>
    </row>
    <row r="147" spans="1:7" x14ac:dyDescent="0.2">
      <c r="A147" s="9"/>
      <c r="B147" s="7"/>
      <c r="C147" s="13"/>
      <c r="D147" s="10"/>
      <c r="E147" s="11"/>
      <c r="F147" s="11"/>
      <c r="G147" s="1"/>
    </row>
    <row r="148" spans="1:7" x14ac:dyDescent="0.2">
      <c r="A148" s="9"/>
      <c r="B148" s="7"/>
      <c r="C148" s="13"/>
      <c r="D148" s="10"/>
      <c r="E148" s="11"/>
      <c r="F148" s="11"/>
      <c r="G148" s="1"/>
    </row>
    <row r="149" spans="1:7" x14ac:dyDescent="0.2">
      <c r="A149" s="9"/>
      <c r="B149" s="7"/>
      <c r="C149" s="13"/>
      <c r="D149" s="10"/>
      <c r="E149" s="11"/>
      <c r="F149" s="11"/>
      <c r="G149" s="1"/>
    </row>
    <row r="150" spans="1:7" x14ac:dyDescent="0.2">
      <c r="A150" s="9"/>
      <c r="B150" s="7"/>
      <c r="C150" s="13"/>
      <c r="D150" s="10"/>
      <c r="E150" s="11"/>
      <c r="F150" s="11"/>
      <c r="G150" s="1"/>
    </row>
    <row r="151" spans="1:7" x14ac:dyDescent="0.2">
      <c r="A151" s="9"/>
      <c r="B151" s="7"/>
      <c r="C151" s="13"/>
      <c r="D151" s="10"/>
      <c r="E151" s="11"/>
      <c r="F151" s="11"/>
      <c r="G151" s="1"/>
    </row>
    <row r="152" spans="1:7" x14ac:dyDescent="0.2">
      <c r="A152" s="9"/>
      <c r="B152" s="7"/>
      <c r="C152" s="13"/>
      <c r="D152" s="10"/>
      <c r="E152" s="11"/>
      <c r="F152" s="11"/>
      <c r="G152" s="1"/>
    </row>
    <row r="153" spans="1:7" x14ac:dyDescent="0.2">
      <c r="A153" s="9"/>
      <c r="B153" s="7"/>
      <c r="C153" s="13"/>
      <c r="D153" s="10"/>
      <c r="E153" s="11"/>
      <c r="F153" s="11"/>
      <c r="G153" s="1"/>
    </row>
    <row r="154" spans="1:7" x14ac:dyDescent="0.2">
      <c r="A154" s="9"/>
      <c r="B154" s="7"/>
      <c r="C154" s="13"/>
      <c r="D154" s="10"/>
      <c r="E154" s="11"/>
      <c r="F154" s="11"/>
      <c r="G154" s="1"/>
    </row>
    <row r="155" spans="1:7" x14ac:dyDescent="0.2">
      <c r="A155" s="9"/>
      <c r="B155" s="7"/>
      <c r="C155" s="13"/>
      <c r="D155" s="10"/>
      <c r="E155" s="11"/>
      <c r="F155" s="11"/>
      <c r="G155" s="1"/>
    </row>
    <row r="156" spans="1:7" x14ac:dyDescent="0.2">
      <c r="A156" s="9"/>
      <c r="B156" s="7"/>
      <c r="C156" s="13"/>
      <c r="D156" s="10"/>
      <c r="E156" s="11"/>
      <c r="F156" s="11"/>
      <c r="G156" s="1"/>
    </row>
    <row r="157" spans="1:7" x14ac:dyDescent="0.2">
      <c r="A157" s="9"/>
      <c r="B157" s="7"/>
      <c r="C157" s="13"/>
      <c r="D157" s="10"/>
      <c r="E157" s="11"/>
      <c r="F157" s="11"/>
      <c r="G157" s="1"/>
    </row>
    <row r="158" spans="1:7" x14ac:dyDescent="0.2">
      <c r="A158" s="9"/>
      <c r="B158" s="7"/>
      <c r="C158" s="13"/>
      <c r="D158" s="10"/>
      <c r="E158" s="11"/>
      <c r="F158" s="11"/>
      <c r="G158" s="1"/>
    </row>
    <row r="159" spans="1:7" x14ac:dyDescent="0.2">
      <c r="A159" s="9"/>
      <c r="B159" s="7"/>
      <c r="C159" s="13"/>
      <c r="D159" s="10"/>
      <c r="E159" s="11"/>
      <c r="F159" s="11"/>
      <c r="G159" s="1"/>
    </row>
    <row r="160" spans="1:7" x14ac:dyDescent="0.2">
      <c r="A160" s="9"/>
      <c r="B160" s="7"/>
      <c r="C160" s="13"/>
      <c r="D160" s="10"/>
      <c r="E160" s="11"/>
      <c r="F160" s="11"/>
      <c r="G160" s="1"/>
    </row>
    <row r="161" spans="1:7" x14ac:dyDescent="0.2">
      <c r="A161" s="9"/>
      <c r="B161" s="7"/>
      <c r="C161" s="13"/>
      <c r="D161" s="10"/>
      <c r="E161" s="11"/>
      <c r="F161" s="11"/>
      <c r="G161" s="1"/>
    </row>
    <row r="162" spans="1:7" x14ac:dyDescent="0.2">
      <c r="A162" s="9"/>
      <c r="B162" s="7"/>
      <c r="C162" s="13"/>
      <c r="D162" s="10"/>
      <c r="E162" s="11"/>
      <c r="F162" s="11"/>
      <c r="G162" s="1"/>
    </row>
    <row r="163" spans="1:7" x14ac:dyDescent="0.2">
      <c r="A163" s="9"/>
      <c r="B163" s="7"/>
      <c r="C163" s="13"/>
      <c r="D163" s="10"/>
      <c r="E163" s="11"/>
      <c r="F163" s="11"/>
      <c r="G163" s="1"/>
    </row>
    <row r="164" spans="1:7" x14ac:dyDescent="0.2">
      <c r="A164" s="9"/>
      <c r="B164" s="7"/>
      <c r="C164" s="13"/>
      <c r="D164" s="10"/>
      <c r="E164" s="11"/>
      <c r="F164" s="11"/>
      <c r="G164" s="1"/>
    </row>
    <row r="165" spans="1:7" x14ac:dyDescent="0.2">
      <c r="A165" s="9"/>
      <c r="B165" s="7"/>
      <c r="C165" s="13"/>
      <c r="D165" s="10"/>
      <c r="E165" s="11"/>
      <c r="F165" s="11"/>
      <c r="G165" s="1"/>
    </row>
    <row r="166" spans="1:7" x14ac:dyDescent="0.2">
      <c r="A166" s="9"/>
      <c r="B166" s="7"/>
      <c r="C166" s="13"/>
      <c r="D166" s="10"/>
      <c r="E166" s="11"/>
      <c r="F166" s="11"/>
      <c r="G166" s="1"/>
    </row>
    <row r="167" spans="1:7" x14ac:dyDescent="0.2">
      <c r="A167" s="9"/>
      <c r="B167" s="7"/>
      <c r="C167" s="13"/>
      <c r="D167" s="10"/>
      <c r="E167" s="11"/>
      <c r="F167" s="11"/>
      <c r="G167" s="1"/>
    </row>
    <row r="168" spans="1:7" x14ac:dyDescent="0.2">
      <c r="A168" s="9"/>
      <c r="B168" s="7"/>
      <c r="C168" s="13"/>
      <c r="D168" s="10"/>
      <c r="E168" s="11"/>
      <c r="F168" s="11"/>
      <c r="G168" s="1"/>
    </row>
    <row r="169" spans="1:7" x14ac:dyDescent="0.2">
      <c r="A169" s="9"/>
      <c r="B169" s="7"/>
      <c r="C169" s="13"/>
      <c r="D169" s="10"/>
      <c r="E169" s="11"/>
      <c r="F169" s="11"/>
      <c r="G169" s="1"/>
    </row>
    <row r="170" spans="1:7" x14ac:dyDescent="0.2">
      <c r="A170" s="9"/>
      <c r="B170" s="7"/>
      <c r="C170" s="13"/>
      <c r="D170" s="10"/>
      <c r="E170" s="11"/>
      <c r="F170" s="11"/>
      <c r="G170" s="1"/>
    </row>
    <row r="171" spans="1:7" x14ac:dyDescent="0.2">
      <c r="A171" s="9"/>
      <c r="B171" s="7"/>
      <c r="C171" s="13"/>
      <c r="D171" s="10"/>
      <c r="E171" s="11"/>
      <c r="F171" s="11"/>
      <c r="G171" s="1"/>
    </row>
    <row r="172" spans="1:7" x14ac:dyDescent="0.2">
      <c r="A172" s="9"/>
      <c r="B172" s="7"/>
      <c r="C172" s="13"/>
      <c r="D172" s="10"/>
      <c r="E172" s="11"/>
      <c r="F172" s="11"/>
      <c r="G172" s="1"/>
    </row>
    <row r="173" spans="1:7" x14ac:dyDescent="0.2">
      <c r="A173" s="9"/>
      <c r="B173" s="7"/>
      <c r="C173" s="13"/>
      <c r="D173" s="10"/>
      <c r="E173" s="11"/>
      <c r="F173" s="11"/>
      <c r="G173" s="1"/>
    </row>
    <row r="174" spans="1:7" x14ac:dyDescent="0.2">
      <c r="A174" s="9"/>
      <c r="B174" s="7"/>
      <c r="C174" s="13"/>
      <c r="D174" s="10"/>
      <c r="E174" s="11"/>
      <c r="F174" s="11"/>
      <c r="G174" s="1"/>
    </row>
    <row r="175" spans="1:7" x14ac:dyDescent="0.2">
      <c r="A175" s="9"/>
      <c r="B175" s="7"/>
      <c r="C175" s="13"/>
      <c r="D175" s="10"/>
      <c r="E175" s="11"/>
      <c r="F175" s="11"/>
      <c r="G175" s="1"/>
    </row>
    <row r="176" spans="1:7" x14ac:dyDescent="0.2">
      <c r="A176" s="9"/>
      <c r="B176" s="7"/>
      <c r="C176" s="13"/>
      <c r="D176" s="10"/>
      <c r="E176" s="11"/>
      <c r="F176" s="11"/>
      <c r="G176" s="1"/>
    </row>
    <row r="177" spans="1:7" x14ac:dyDescent="0.2">
      <c r="A177" s="9"/>
      <c r="B177" s="7"/>
      <c r="C177" s="13"/>
      <c r="D177" s="10"/>
      <c r="E177" s="11"/>
      <c r="F177" s="11"/>
      <c r="G177" s="1"/>
    </row>
    <row r="178" spans="1:7" x14ac:dyDescent="0.2">
      <c r="A178" s="9"/>
      <c r="B178" s="7"/>
      <c r="C178" s="13"/>
      <c r="D178" s="10"/>
      <c r="E178" s="11"/>
      <c r="F178" s="11"/>
      <c r="G178" s="1"/>
    </row>
    <row r="179" spans="1:7" x14ac:dyDescent="0.2">
      <c r="A179" s="9"/>
      <c r="B179" s="7"/>
      <c r="C179" s="13"/>
      <c r="D179" s="10"/>
      <c r="E179" s="11"/>
      <c r="F179" s="11"/>
      <c r="G179" s="1"/>
    </row>
    <row r="180" spans="1:7" x14ac:dyDescent="0.2">
      <c r="A180" s="9"/>
      <c r="B180" s="7"/>
      <c r="C180" s="13"/>
      <c r="D180" s="10"/>
      <c r="E180" s="11"/>
      <c r="F180" s="11"/>
      <c r="G180" s="1"/>
    </row>
    <row r="181" spans="1:7" x14ac:dyDescent="0.2">
      <c r="A181" s="9"/>
      <c r="B181" s="7"/>
      <c r="C181" s="13"/>
      <c r="D181" s="10"/>
      <c r="E181" s="11"/>
      <c r="F181" s="11"/>
      <c r="G181" s="1"/>
    </row>
    <row r="182" spans="1:7" x14ac:dyDescent="0.2">
      <c r="A182" s="9"/>
      <c r="B182" s="7"/>
      <c r="C182" s="13"/>
      <c r="D182" s="10"/>
      <c r="E182" s="11"/>
      <c r="F182" s="11"/>
      <c r="G182" s="1"/>
    </row>
    <row r="183" spans="1:7" x14ac:dyDescent="0.2">
      <c r="A183" s="9"/>
      <c r="B183" s="7"/>
      <c r="C183" s="13"/>
      <c r="D183" s="10"/>
      <c r="E183" s="11"/>
      <c r="F183" s="11"/>
      <c r="G183" s="1"/>
    </row>
    <row r="184" spans="1:7" x14ac:dyDescent="0.2">
      <c r="A184" s="9"/>
      <c r="B184" s="7"/>
      <c r="C184" s="13"/>
      <c r="D184" s="10"/>
      <c r="E184" s="11"/>
      <c r="F184" s="11"/>
      <c r="G184" s="1"/>
    </row>
    <row r="185" spans="1:7" x14ac:dyDescent="0.2">
      <c r="A185" s="9"/>
      <c r="B185" s="7"/>
      <c r="C185" s="13"/>
      <c r="D185" s="10"/>
      <c r="E185" s="11"/>
      <c r="F185" s="11"/>
      <c r="G185" s="1"/>
    </row>
    <row r="186" spans="1:7" x14ac:dyDescent="0.2">
      <c r="A186" s="9"/>
      <c r="B186" s="7"/>
      <c r="C186" s="13"/>
      <c r="D186" s="10"/>
      <c r="E186" s="11"/>
      <c r="F186" s="11"/>
      <c r="G186" s="1"/>
    </row>
    <row r="187" spans="1:7" x14ac:dyDescent="0.2">
      <c r="A187" s="9"/>
      <c r="B187" s="7"/>
      <c r="C187" s="13"/>
      <c r="D187" s="10"/>
      <c r="E187" s="11"/>
      <c r="F187" s="11"/>
      <c r="G187" s="1"/>
    </row>
    <row r="188" spans="1:7" x14ac:dyDescent="0.2">
      <c r="A188" s="9"/>
      <c r="B188" s="7"/>
      <c r="C188" s="13"/>
      <c r="D188" s="10"/>
      <c r="E188" s="11"/>
      <c r="F188" s="11"/>
      <c r="G188" s="1"/>
    </row>
    <row r="189" spans="1:7" x14ac:dyDescent="0.2">
      <c r="A189" s="9"/>
      <c r="B189" s="7"/>
      <c r="C189" s="13"/>
      <c r="D189" s="10"/>
      <c r="E189" s="11"/>
      <c r="F189" s="11"/>
      <c r="G189" s="1"/>
    </row>
    <row r="190" spans="1:7" x14ac:dyDescent="0.2">
      <c r="A190" s="9"/>
      <c r="B190" s="7"/>
      <c r="C190" s="13"/>
      <c r="D190" s="10"/>
      <c r="E190" s="11"/>
      <c r="F190" s="11"/>
      <c r="G190" s="1"/>
    </row>
    <row r="191" spans="1:7" x14ac:dyDescent="0.2">
      <c r="A191" s="9"/>
      <c r="B191" s="7"/>
      <c r="C191" s="13"/>
      <c r="D191" s="10"/>
      <c r="E191" s="11"/>
      <c r="F191" s="11"/>
      <c r="G191" s="1"/>
    </row>
    <row r="192" spans="1:7" x14ac:dyDescent="0.2">
      <c r="A192" s="9"/>
      <c r="B192" s="7"/>
      <c r="C192" s="13"/>
      <c r="D192" s="10"/>
      <c r="E192" s="11"/>
      <c r="F192" s="11"/>
      <c r="G192" s="1"/>
    </row>
    <row r="193" spans="1:7" x14ac:dyDescent="0.2">
      <c r="A193" s="9"/>
      <c r="B193" s="7"/>
      <c r="C193" s="13"/>
      <c r="D193" s="10"/>
      <c r="E193" s="11"/>
      <c r="F193" s="11"/>
      <c r="G193" s="1"/>
    </row>
    <row r="194" spans="1:7" x14ac:dyDescent="0.2">
      <c r="A194" s="9"/>
      <c r="B194" s="7"/>
      <c r="C194" s="13"/>
      <c r="D194" s="10"/>
      <c r="E194" s="11"/>
      <c r="F194" s="11"/>
      <c r="G194" s="1"/>
    </row>
    <row r="195" spans="1:7" x14ac:dyDescent="0.2">
      <c r="A195" s="9"/>
      <c r="B195" s="7"/>
      <c r="C195" s="13"/>
      <c r="D195" s="10"/>
      <c r="E195" s="11"/>
      <c r="F195" s="11"/>
      <c r="G195" s="1"/>
    </row>
    <row r="196" spans="1:7" x14ac:dyDescent="0.2">
      <c r="A196" s="9"/>
      <c r="B196" s="7"/>
      <c r="C196" s="13"/>
      <c r="D196" s="10"/>
      <c r="E196" s="11"/>
      <c r="F196" s="11"/>
      <c r="G196" s="1"/>
    </row>
    <row r="197" spans="1:7" x14ac:dyDescent="0.2">
      <c r="A197" s="9"/>
      <c r="B197" s="7"/>
      <c r="C197" s="13"/>
      <c r="D197" s="10"/>
      <c r="E197" s="11"/>
      <c r="F197" s="11"/>
      <c r="G197" s="1"/>
    </row>
    <row r="198" spans="1:7" x14ac:dyDescent="0.2">
      <c r="A198" s="9"/>
      <c r="B198" s="7"/>
      <c r="C198" s="13"/>
      <c r="D198" s="10"/>
      <c r="E198" s="11"/>
      <c r="F198" s="11"/>
      <c r="G198" s="1"/>
    </row>
    <row r="199" spans="1:7" x14ac:dyDescent="0.2">
      <c r="A199" s="9"/>
      <c r="B199" s="7"/>
      <c r="C199" s="13"/>
      <c r="D199" s="10"/>
      <c r="E199" s="11"/>
      <c r="F199" s="11"/>
      <c r="G199" s="1"/>
    </row>
    <row r="200" spans="1:7" x14ac:dyDescent="0.2">
      <c r="A200" s="9"/>
      <c r="B200" s="7"/>
      <c r="C200" s="13"/>
      <c r="D200" s="10"/>
      <c r="E200" s="11"/>
      <c r="F200" s="11"/>
      <c r="G200" s="1"/>
    </row>
    <row r="201" spans="1:7" x14ac:dyDescent="0.2">
      <c r="A201" s="9"/>
      <c r="B201" s="7"/>
      <c r="C201" s="13"/>
      <c r="D201" s="10"/>
      <c r="E201" s="11"/>
      <c r="F201" s="11"/>
      <c r="G201" s="1"/>
    </row>
    <row r="202" spans="1:7" x14ac:dyDescent="0.2">
      <c r="A202" s="9"/>
      <c r="B202" s="7"/>
      <c r="C202" s="13"/>
      <c r="D202" s="10"/>
      <c r="E202" s="11"/>
      <c r="F202" s="11"/>
      <c r="G202" s="1"/>
    </row>
    <row r="203" spans="1:7" x14ac:dyDescent="0.2">
      <c r="A203" s="9"/>
      <c r="B203" s="7"/>
      <c r="C203" s="13"/>
      <c r="D203" s="10"/>
      <c r="E203" s="11"/>
      <c r="F203" s="11"/>
      <c r="G203" s="1"/>
    </row>
    <row r="204" spans="1:7" x14ac:dyDescent="0.2">
      <c r="A204" s="9"/>
      <c r="B204" s="7"/>
      <c r="C204" s="13"/>
      <c r="D204" s="10"/>
      <c r="E204" s="11"/>
      <c r="F204" s="11"/>
      <c r="G204" s="1"/>
    </row>
    <row r="205" spans="1:7" x14ac:dyDescent="0.2">
      <c r="A205" s="9"/>
      <c r="B205" s="7"/>
      <c r="C205" s="13"/>
      <c r="D205" s="10"/>
      <c r="E205" s="11"/>
      <c r="F205" s="11"/>
      <c r="G205" s="1"/>
    </row>
    <row r="206" spans="1:7" x14ac:dyDescent="0.2">
      <c r="A206" s="9"/>
      <c r="B206" s="7"/>
      <c r="C206" s="13"/>
      <c r="D206" s="10"/>
      <c r="E206" s="11"/>
      <c r="F206" s="11"/>
      <c r="G206" s="1"/>
    </row>
    <row r="207" spans="1:7" x14ac:dyDescent="0.2">
      <c r="A207" s="9"/>
      <c r="B207" s="7"/>
      <c r="C207" s="13"/>
      <c r="D207" s="10"/>
      <c r="E207" s="11"/>
      <c r="F207" s="11"/>
      <c r="G207" s="1"/>
    </row>
    <row r="208" spans="1:7" x14ac:dyDescent="0.2">
      <c r="A208" s="9"/>
      <c r="B208" s="7"/>
      <c r="C208" s="13"/>
      <c r="D208" s="10"/>
      <c r="E208" s="11"/>
      <c r="F208" s="11"/>
      <c r="G208" s="1"/>
    </row>
    <row r="209" spans="1:7" x14ac:dyDescent="0.2">
      <c r="A209" s="9"/>
      <c r="B209" s="7"/>
      <c r="C209" s="13"/>
      <c r="D209" s="10"/>
      <c r="E209" s="11"/>
      <c r="F209" s="11"/>
      <c r="G209" s="1"/>
    </row>
    <row r="210" spans="1:7" x14ac:dyDescent="0.2">
      <c r="A210" s="9"/>
      <c r="B210" s="7"/>
      <c r="C210" s="13"/>
      <c r="D210" s="10"/>
      <c r="E210" s="11"/>
      <c r="F210" s="11"/>
      <c r="G210" s="1"/>
    </row>
    <row r="211" spans="1:7" x14ac:dyDescent="0.2">
      <c r="A211" s="9"/>
      <c r="B211" s="7"/>
      <c r="C211" s="13"/>
      <c r="D211" s="10"/>
      <c r="E211" s="11"/>
      <c r="F211" s="11"/>
      <c r="G211" s="1"/>
    </row>
    <row r="212" spans="1:7" x14ac:dyDescent="0.2">
      <c r="A212" s="9"/>
      <c r="B212" s="7"/>
      <c r="C212" s="13"/>
      <c r="D212" s="10"/>
      <c r="E212" s="11"/>
      <c r="F212" s="11"/>
      <c r="G212" s="1"/>
    </row>
    <row r="213" spans="1:7" x14ac:dyDescent="0.2">
      <c r="A213" s="9"/>
      <c r="B213" s="7"/>
      <c r="C213" s="13"/>
      <c r="D213" s="10"/>
      <c r="E213" s="11"/>
      <c r="F213" s="11"/>
      <c r="G213" s="1"/>
    </row>
    <row r="214" spans="1:7" x14ac:dyDescent="0.2">
      <c r="A214" s="9"/>
      <c r="B214" s="7"/>
      <c r="C214" s="13"/>
      <c r="D214" s="10"/>
      <c r="E214" s="11"/>
      <c r="F214" s="11"/>
      <c r="G214" s="1"/>
    </row>
    <row r="215" spans="1:7" x14ac:dyDescent="0.2">
      <c r="A215" s="9"/>
      <c r="B215" s="7"/>
      <c r="C215" s="13"/>
      <c r="D215" s="10"/>
      <c r="E215" s="11"/>
      <c r="F215" s="11"/>
      <c r="G215" s="1"/>
    </row>
    <row r="216" spans="1:7" x14ac:dyDescent="0.2">
      <c r="A216" s="9"/>
      <c r="B216" s="7"/>
      <c r="C216" s="13"/>
      <c r="D216" s="10"/>
      <c r="E216" s="11"/>
      <c r="F216" s="11"/>
      <c r="G216" s="1"/>
    </row>
    <row r="217" spans="1:7" x14ac:dyDescent="0.2">
      <c r="A217" s="9"/>
      <c r="B217" s="7"/>
      <c r="C217" s="13"/>
      <c r="D217" s="10"/>
      <c r="E217" s="11"/>
      <c r="F217" s="11"/>
      <c r="G217" s="1"/>
    </row>
    <row r="218" spans="1:7" x14ac:dyDescent="0.2">
      <c r="A218" s="9"/>
      <c r="B218" s="7"/>
      <c r="C218" s="13"/>
      <c r="D218" s="10"/>
      <c r="E218" s="11"/>
      <c r="F218" s="11"/>
      <c r="G218" s="1"/>
    </row>
    <row r="219" spans="1:7" x14ac:dyDescent="0.2">
      <c r="A219" s="9"/>
      <c r="B219" s="7"/>
      <c r="C219" s="13"/>
      <c r="D219" s="10"/>
      <c r="E219" s="11"/>
      <c r="F219" s="11"/>
      <c r="G219" s="1"/>
    </row>
    <row r="220" spans="1:7" x14ac:dyDescent="0.2">
      <c r="A220" s="9"/>
      <c r="B220" s="7"/>
      <c r="C220" s="13"/>
      <c r="D220" s="10"/>
      <c r="E220" s="11"/>
      <c r="F220" s="11"/>
      <c r="G220" s="1"/>
    </row>
    <row r="221" spans="1:7" x14ac:dyDescent="0.2">
      <c r="A221" s="9"/>
      <c r="B221" s="7"/>
      <c r="C221" s="13"/>
      <c r="D221" s="10"/>
      <c r="E221" s="11"/>
      <c r="F221" s="11"/>
      <c r="G221" s="1"/>
    </row>
    <row r="222" spans="1:7" x14ac:dyDescent="0.2">
      <c r="A222" s="9"/>
      <c r="B222" s="7"/>
      <c r="C222" s="13"/>
      <c r="D222" s="10"/>
      <c r="E222" s="11"/>
      <c r="F222" s="11"/>
      <c r="G222" s="1"/>
    </row>
    <row r="223" spans="1:7" x14ac:dyDescent="0.2">
      <c r="A223" s="9"/>
      <c r="B223" s="7"/>
      <c r="C223" s="13"/>
      <c r="D223" s="10"/>
      <c r="E223" s="11"/>
      <c r="F223" s="11"/>
      <c r="G223" s="1"/>
    </row>
    <row r="224" spans="1:7" x14ac:dyDescent="0.2">
      <c r="A224" s="9"/>
      <c r="B224" s="7"/>
      <c r="C224" s="13"/>
      <c r="D224" s="10"/>
      <c r="E224" s="11"/>
      <c r="F224" s="11"/>
      <c r="G224" s="1"/>
    </row>
    <row r="225" spans="1:7" x14ac:dyDescent="0.2">
      <c r="A225" s="9"/>
      <c r="B225" s="7"/>
      <c r="C225" s="13"/>
      <c r="D225" s="10"/>
      <c r="E225" s="11"/>
      <c r="F225" s="11"/>
      <c r="G225" s="1"/>
    </row>
    <row r="226" spans="1:7" x14ac:dyDescent="0.2">
      <c r="A226" s="9"/>
      <c r="B226" s="7"/>
      <c r="C226" s="13"/>
      <c r="D226" s="10"/>
      <c r="E226" s="11"/>
      <c r="F226" s="11"/>
      <c r="G226" s="1"/>
    </row>
    <row r="227" spans="1:7" x14ac:dyDescent="0.2">
      <c r="A227" s="9"/>
      <c r="B227" s="7"/>
      <c r="C227" s="13"/>
      <c r="D227" s="10"/>
      <c r="E227" s="11"/>
      <c r="F227" s="11"/>
      <c r="G227" s="1"/>
    </row>
    <row r="228" spans="1:7" x14ac:dyDescent="0.2">
      <c r="A228" s="9"/>
      <c r="B228" s="7"/>
      <c r="C228" s="13"/>
      <c r="D228" s="10"/>
      <c r="E228" s="11"/>
      <c r="F228" s="11"/>
      <c r="G228" s="1"/>
    </row>
    <row r="229" spans="1:7" x14ac:dyDescent="0.2">
      <c r="A229" s="9"/>
      <c r="B229" s="7"/>
      <c r="C229" s="13"/>
      <c r="D229" s="10"/>
      <c r="E229" s="11"/>
      <c r="F229" s="11"/>
      <c r="G229" s="1"/>
    </row>
    <row r="230" spans="1:7" x14ac:dyDescent="0.2">
      <c r="A230" s="9"/>
      <c r="B230" s="7"/>
      <c r="C230" s="13"/>
      <c r="D230" s="10"/>
      <c r="E230" s="11"/>
      <c r="F230" s="11"/>
      <c r="G230" s="1"/>
    </row>
    <row r="231" spans="1:7" x14ac:dyDescent="0.2">
      <c r="A231" s="9"/>
      <c r="B231" s="7"/>
      <c r="C231" s="13"/>
      <c r="D231" s="10"/>
      <c r="E231" s="11"/>
      <c r="F231" s="11"/>
      <c r="G231" s="1"/>
    </row>
    <row r="232" spans="1:7" x14ac:dyDescent="0.2">
      <c r="A232" s="9"/>
      <c r="B232" s="7"/>
      <c r="C232" s="13"/>
      <c r="D232" s="10"/>
      <c r="E232" s="11"/>
      <c r="F232" s="11"/>
      <c r="G232" s="1"/>
    </row>
    <row r="233" spans="1:7" x14ac:dyDescent="0.2">
      <c r="A233" s="9"/>
      <c r="B233" s="7"/>
      <c r="C233" s="13"/>
      <c r="D233" s="10"/>
      <c r="E233" s="11"/>
      <c r="F233" s="11"/>
      <c r="G233" s="1"/>
    </row>
    <row r="234" spans="1:7" x14ac:dyDescent="0.2">
      <c r="A234" s="9"/>
      <c r="B234" s="7"/>
      <c r="C234" s="13"/>
      <c r="D234" s="10"/>
      <c r="E234" s="11"/>
      <c r="F234" s="11"/>
      <c r="G234" s="1"/>
    </row>
    <row r="235" spans="1:7" x14ac:dyDescent="0.2">
      <c r="A235" s="9"/>
      <c r="B235" s="7"/>
      <c r="C235" s="13"/>
      <c r="D235" s="10"/>
      <c r="E235" s="11"/>
      <c r="F235" s="11"/>
      <c r="G235" s="1"/>
    </row>
    <row r="236" spans="1:7" x14ac:dyDescent="0.2">
      <c r="A236" s="9"/>
      <c r="B236" s="7"/>
      <c r="C236" s="13"/>
      <c r="D236" s="10"/>
      <c r="E236" s="11"/>
      <c r="F236" s="11"/>
      <c r="G236" s="1"/>
    </row>
    <row r="237" spans="1:7" x14ac:dyDescent="0.2">
      <c r="A237" s="9"/>
      <c r="B237" s="7"/>
      <c r="C237" s="13"/>
      <c r="D237" s="10"/>
      <c r="E237" s="11"/>
      <c r="F237" s="11"/>
      <c r="G237" s="1"/>
    </row>
    <row r="238" spans="1:7" x14ac:dyDescent="0.2">
      <c r="A238" s="9"/>
      <c r="B238" s="7"/>
      <c r="C238" s="13"/>
      <c r="D238" s="10"/>
      <c r="E238" s="11"/>
      <c r="F238" s="11"/>
      <c r="G238" s="1"/>
    </row>
    <row r="239" spans="1:7" x14ac:dyDescent="0.2">
      <c r="A239" s="9"/>
      <c r="B239" s="7"/>
      <c r="C239" s="13"/>
      <c r="D239" s="10"/>
      <c r="E239" s="11"/>
      <c r="F239" s="11"/>
      <c r="G239" s="1"/>
    </row>
    <row r="240" spans="1:7" x14ac:dyDescent="0.2">
      <c r="A240" s="9"/>
      <c r="B240" s="7"/>
      <c r="C240" s="13"/>
      <c r="D240" s="10"/>
      <c r="E240" s="11"/>
      <c r="F240" s="11"/>
      <c r="G240" s="1"/>
    </row>
    <row r="241" spans="1:7" x14ac:dyDescent="0.2">
      <c r="A241" s="9"/>
      <c r="B241" s="7"/>
      <c r="C241" s="13"/>
      <c r="D241" s="10"/>
      <c r="E241" s="11"/>
      <c r="F241" s="11"/>
      <c r="G241" s="1"/>
    </row>
    <row r="242" spans="1:7" x14ac:dyDescent="0.2">
      <c r="A242" s="9"/>
      <c r="B242" s="7"/>
      <c r="C242" s="13"/>
      <c r="D242" s="10"/>
      <c r="E242" s="11"/>
      <c r="F242" s="11"/>
      <c r="G242" s="1"/>
    </row>
    <row r="243" spans="1:7" x14ac:dyDescent="0.2">
      <c r="A243" s="9"/>
      <c r="B243" s="7"/>
      <c r="C243" s="13"/>
      <c r="D243" s="10"/>
      <c r="E243" s="11"/>
      <c r="F243" s="11"/>
      <c r="G243" s="1"/>
    </row>
    <row r="244" spans="1:7" x14ac:dyDescent="0.2">
      <c r="A244" s="9"/>
      <c r="B244" s="7"/>
      <c r="C244" s="13"/>
      <c r="D244" s="10"/>
      <c r="E244" s="11"/>
      <c r="F244" s="11"/>
      <c r="G244" s="1"/>
    </row>
    <row r="245" spans="1:7" x14ac:dyDescent="0.2">
      <c r="A245" s="9"/>
      <c r="B245" s="7"/>
      <c r="C245" s="13"/>
      <c r="D245" s="10"/>
      <c r="E245" s="11"/>
      <c r="F245" s="11"/>
      <c r="G245" s="1"/>
    </row>
    <row r="246" spans="1:7" x14ac:dyDescent="0.2">
      <c r="A246" s="9"/>
      <c r="B246" s="7"/>
      <c r="C246" s="13"/>
      <c r="D246" s="10"/>
      <c r="E246" s="11"/>
      <c r="F246" s="11"/>
      <c r="G246" s="1"/>
    </row>
    <row r="247" spans="1:7" x14ac:dyDescent="0.2">
      <c r="A247" s="9"/>
      <c r="B247" s="7"/>
      <c r="C247" s="13"/>
      <c r="D247" s="10"/>
      <c r="E247" s="11"/>
      <c r="F247" s="11"/>
      <c r="G247" s="1"/>
    </row>
    <row r="248" spans="1:7" x14ac:dyDescent="0.2">
      <c r="A248" s="9"/>
      <c r="B248" s="7"/>
      <c r="C248" s="13"/>
      <c r="D248" s="10"/>
      <c r="E248" s="11"/>
      <c r="F248" s="11"/>
      <c r="G248" s="1"/>
    </row>
    <row r="249" spans="1:7" x14ac:dyDescent="0.2">
      <c r="A249" s="9"/>
      <c r="B249" s="7"/>
      <c r="C249" s="13"/>
      <c r="D249" s="10"/>
      <c r="E249" s="11"/>
      <c r="F249" s="11"/>
      <c r="G249" s="1"/>
    </row>
    <row r="250" spans="1:7" x14ac:dyDescent="0.2">
      <c r="A250" s="9"/>
      <c r="B250" s="7"/>
      <c r="C250" s="13"/>
      <c r="D250" s="10"/>
      <c r="E250" s="11"/>
      <c r="F250" s="11"/>
      <c r="G250" s="1"/>
    </row>
    <row r="251" spans="1:7" x14ac:dyDescent="0.2">
      <c r="A251" s="9"/>
      <c r="B251" s="7"/>
      <c r="C251" s="13"/>
      <c r="D251" s="10"/>
      <c r="E251" s="11"/>
      <c r="F251" s="11"/>
      <c r="G251" s="1"/>
    </row>
    <row r="252" spans="1:7" x14ac:dyDescent="0.2">
      <c r="A252" s="9"/>
      <c r="B252" s="7"/>
      <c r="C252" s="13"/>
      <c r="D252" s="10"/>
      <c r="E252" s="11"/>
      <c r="F252" s="11"/>
      <c r="G252" s="1"/>
    </row>
    <row r="253" spans="1:7" x14ac:dyDescent="0.2">
      <c r="A253" s="9"/>
      <c r="B253" s="7"/>
      <c r="C253" s="13"/>
      <c r="D253" s="10"/>
      <c r="E253" s="11"/>
      <c r="F253" s="11"/>
      <c r="G253" s="1"/>
    </row>
    <row r="254" spans="1:7" x14ac:dyDescent="0.2">
      <c r="A254" s="9"/>
      <c r="B254" s="7"/>
      <c r="C254" s="13"/>
      <c r="D254" s="10"/>
      <c r="E254" s="11"/>
      <c r="F254" s="11"/>
      <c r="G254" s="1"/>
    </row>
    <row r="255" spans="1:7" x14ac:dyDescent="0.2">
      <c r="A255" s="9"/>
      <c r="B255" s="7"/>
      <c r="C255" s="13"/>
      <c r="D255" s="10"/>
      <c r="E255" s="11"/>
      <c r="F255" s="11"/>
      <c r="G255" s="1"/>
    </row>
    <row r="256" spans="1:7" x14ac:dyDescent="0.2">
      <c r="A256" s="9"/>
      <c r="B256" s="7"/>
      <c r="C256" s="13"/>
      <c r="D256" s="10"/>
      <c r="E256" s="11"/>
      <c r="F256" s="11"/>
      <c r="G256" s="1"/>
    </row>
    <row r="257" spans="1:7" x14ac:dyDescent="0.2">
      <c r="A257" s="9"/>
      <c r="B257" s="7"/>
      <c r="C257" s="13"/>
      <c r="D257" s="10"/>
      <c r="E257" s="11"/>
      <c r="F257" s="11"/>
      <c r="G257" s="1"/>
    </row>
    <row r="258" spans="1:7" x14ac:dyDescent="0.2">
      <c r="A258" s="9"/>
      <c r="B258" s="7"/>
      <c r="C258" s="13"/>
      <c r="D258" s="10"/>
      <c r="E258" s="11"/>
      <c r="F258" s="11"/>
      <c r="G258" s="1"/>
    </row>
    <row r="259" spans="1:7" x14ac:dyDescent="0.2">
      <c r="A259" s="9"/>
      <c r="B259" s="7"/>
      <c r="C259" s="13"/>
      <c r="D259" s="10"/>
      <c r="E259" s="11"/>
      <c r="F259" s="11"/>
      <c r="G259" s="1"/>
    </row>
    <row r="260" spans="1:7" x14ac:dyDescent="0.2">
      <c r="A260" s="9"/>
      <c r="B260" s="7"/>
      <c r="C260" s="13"/>
      <c r="D260" s="10"/>
      <c r="E260" s="11"/>
      <c r="F260" s="11"/>
      <c r="G260" s="1"/>
    </row>
    <row r="261" spans="1:7" x14ac:dyDescent="0.2">
      <c r="A261" s="9"/>
      <c r="B261" s="7"/>
      <c r="C261" s="13"/>
      <c r="D261" s="10"/>
      <c r="E261" s="11"/>
      <c r="F261" s="11"/>
      <c r="G261" s="1"/>
    </row>
    <row r="262" spans="1:7" x14ac:dyDescent="0.2">
      <c r="A262" s="9"/>
      <c r="B262" s="7"/>
      <c r="C262" s="13"/>
      <c r="D262" s="10"/>
      <c r="E262" s="11"/>
      <c r="F262" s="11"/>
      <c r="G262" s="1"/>
    </row>
    <row r="263" spans="1:7" x14ac:dyDescent="0.2">
      <c r="A263" s="9"/>
      <c r="B263" s="7"/>
      <c r="C263" s="13"/>
      <c r="D263" s="10"/>
      <c r="E263" s="11"/>
      <c r="F263" s="11"/>
      <c r="G263" s="1"/>
    </row>
    <row r="264" spans="1:7" x14ac:dyDescent="0.2">
      <c r="A264" s="9"/>
      <c r="B264" s="7"/>
      <c r="C264" s="13"/>
      <c r="D264" s="10"/>
      <c r="E264" s="11"/>
      <c r="F264" s="11"/>
      <c r="G264" s="1"/>
    </row>
    <row r="265" spans="1:7" x14ac:dyDescent="0.2">
      <c r="A265" s="9"/>
      <c r="B265" s="7"/>
      <c r="C265" s="13"/>
      <c r="D265" s="10"/>
      <c r="E265" s="11"/>
      <c r="F265" s="11"/>
      <c r="G265" s="1"/>
    </row>
    <row r="266" spans="1:7" x14ac:dyDescent="0.2">
      <c r="A266" s="9"/>
      <c r="B266" s="7"/>
      <c r="C266" s="13"/>
      <c r="D266" s="10"/>
      <c r="E266" s="11"/>
      <c r="F266" s="11"/>
      <c r="G266" s="1"/>
    </row>
    <row r="267" spans="1:7" x14ac:dyDescent="0.2">
      <c r="A267" s="9"/>
      <c r="B267" s="7"/>
      <c r="C267" s="13"/>
      <c r="D267" s="10"/>
      <c r="E267" s="11"/>
      <c r="F267" s="11"/>
      <c r="G267" s="1"/>
    </row>
    <row r="268" spans="1:7" x14ac:dyDescent="0.2">
      <c r="A268" s="9"/>
      <c r="B268" s="7"/>
      <c r="C268" s="13"/>
      <c r="D268" s="10"/>
      <c r="E268" s="11"/>
      <c r="F268" s="11"/>
      <c r="G268" s="1"/>
    </row>
    <row r="269" spans="1:7" x14ac:dyDescent="0.2">
      <c r="A269" s="9"/>
      <c r="B269" s="7"/>
      <c r="C269" s="13"/>
      <c r="D269" s="10"/>
      <c r="E269" s="11"/>
      <c r="F269" s="11"/>
      <c r="G269" s="1"/>
    </row>
    <row r="270" spans="1:7" x14ac:dyDescent="0.2">
      <c r="A270" s="9"/>
      <c r="B270" s="7"/>
      <c r="C270" s="13"/>
      <c r="D270" s="10"/>
      <c r="E270" s="11"/>
      <c r="F270" s="11"/>
      <c r="G270" s="1"/>
    </row>
    <row r="271" spans="1:7" x14ac:dyDescent="0.2">
      <c r="A271" s="9"/>
      <c r="B271" s="7"/>
      <c r="C271" s="13"/>
      <c r="D271" s="10"/>
      <c r="E271" s="11"/>
      <c r="F271" s="11"/>
      <c r="G271" s="1"/>
    </row>
    <row r="272" spans="1:7" x14ac:dyDescent="0.2">
      <c r="A272" s="9"/>
      <c r="B272" s="7"/>
      <c r="C272" s="13"/>
      <c r="D272" s="10"/>
      <c r="E272" s="11"/>
      <c r="F272" s="11"/>
      <c r="G272" s="1"/>
    </row>
    <row r="273" spans="1:7" x14ac:dyDescent="0.2">
      <c r="A273" s="9"/>
      <c r="B273" s="7"/>
      <c r="C273" s="13"/>
      <c r="D273" s="10"/>
      <c r="E273" s="11"/>
      <c r="F273" s="11"/>
      <c r="G273" s="1"/>
    </row>
    <row r="274" spans="1:7" x14ac:dyDescent="0.2">
      <c r="A274" s="9"/>
      <c r="B274" s="7"/>
      <c r="C274" s="13"/>
      <c r="D274" s="10"/>
      <c r="E274" s="11"/>
      <c r="F274" s="11"/>
      <c r="G274" s="1"/>
    </row>
    <row r="275" spans="1:7" x14ac:dyDescent="0.2">
      <c r="A275" s="9"/>
      <c r="B275" s="7"/>
      <c r="C275" s="13"/>
      <c r="D275" s="10"/>
      <c r="E275" s="11"/>
      <c r="F275" s="11"/>
      <c r="G275" s="1"/>
    </row>
    <row r="276" spans="1:7" x14ac:dyDescent="0.2">
      <c r="A276" s="9"/>
      <c r="B276" s="7"/>
      <c r="C276" s="13"/>
      <c r="D276" s="10"/>
      <c r="E276" s="11"/>
      <c r="F276" s="11"/>
      <c r="G276" s="1"/>
    </row>
    <row r="277" spans="1:7" x14ac:dyDescent="0.2">
      <c r="A277" s="9"/>
      <c r="B277" s="7"/>
      <c r="C277" s="13"/>
      <c r="D277" s="10"/>
      <c r="E277" s="11"/>
      <c r="F277" s="11"/>
      <c r="G277" s="1"/>
    </row>
    <row r="278" spans="1:7" x14ac:dyDescent="0.2">
      <c r="A278" s="9"/>
      <c r="B278" s="7"/>
      <c r="C278" s="13"/>
      <c r="D278" s="10"/>
      <c r="E278" s="11"/>
      <c r="F278" s="11"/>
      <c r="G278" s="1"/>
    </row>
    <row r="279" spans="1:7" x14ac:dyDescent="0.2">
      <c r="A279" s="9"/>
      <c r="B279" s="7"/>
      <c r="C279" s="13"/>
      <c r="D279" s="10"/>
      <c r="E279" s="11"/>
      <c r="F279" s="11"/>
      <c r="G279" s="1"/>
    </row>
    <row r="280" spans="1:7" x14ac:dyDescent="0.2">
      <c r="A280" s="9"/>
      <c r="B280" s="7"/>
      <c r="C280" s="13"/>
      <c r="D280" s="10"/>
      <c r="E280" s="11"/>
      <c r="F280" s="11"/>
      <c r="G280" s="1"/>
    </row>
    <row r="281" spans="1:7" x14ac:dyDescent="0.2">
      <c r="A281" s="9"/>
      <c r="B281" s="7"/>
      <c r="C281" s="13"/>
      <c r="D281" s="10"/>
      <c r="E281" s="11"/>
      <c r="F281" s="11"/>
      <c r="G281" s="1"/>
    </row>
    <row r="282" spans="1:7" x14ac:dyDescent="0.2">
      <c r="A282" s="9"/>
      <c r="B282" s="7"/>
      <c r="C282" s="13"/>
      <c r="D282" s="10"/>
      <c r="E282" s="11"/>
      <c r="F282" s="11"/>
      <c r="G282" s="1"/>
    </row>
    <row r="283" spans="1:7" x14ac:dyDescent="0.2">
      <c r="A283" s="9"/>
      <c r="B283" s="7"/>
      <c r="C283" s="13"/>
      <c r="D283" s="10"/>
      <c r="E283" s="11"/>
      <c r="F283" s="11"/>
      <c r="G283" s="1"/>
    </row>
    <row r="284" spans="1:7" x14ac:dyDescent="0.2">
      <c r="A284" s="9"/>
      <c r="B284" s="7"/>
      <c r="C284" s="13"/>
      <c r="D284" s="10"/>
      <c r="E284" s="11"/>
      <c r="F284" s="11"/>
      <c r="G284" s="1"/>
    </row>
    <row r="285" spans="1:7" x14ac:dyDescent="0.2">
      <c r="A285" s="9"/>
      <c r="B285" s="7"/>
      <c r="C285" s="13"/>
      <c r="D285" s="10"/>
      <c r="E285" s="11"/>
      <c r="F285" s="11"/>
      <c r="G285" s="1"/>
    </row>
    <row r="286" spans="1:7" x14ac:dyDescent="0.2">
      <c r="A286" s="9"/>
      <c r="B286" s="7"/>
      <c r="C286" s="13"/>
      <c r="D286" s="10"/>
      <c r="E286" s="11"/>
      <c r="F286" s="11"/>
      <c r="G286" s="1"/>
    </row>
    <row r="287" spans="1:7" x14ac:dyDescent="0.2">
      <c r="A287" s="9"/>
      <c r="B287" s="7"/>
      <c r="C287" s="13"/>
      <c r="D287" s="10"/>
      <c r="E287" s="11"/>
      <c r="F287" s="11"/>
      <c r="G287" s="1"/>
    </row>
    <row r="288" spans="1:7" x14ac:dyDescent="0.2">
      <c r="A288" s="9"/>
      <c r="B288" s="7"/>
      <c r="C288" s="13"/>
      <c r="D288" s="10"/>
      <c r="E288" s="11"/>
      <c r="F288" s="11"/>
      <c r="G288" s="1"/>
    </row>
    <row r="289" spans="1:7" x14ac:dyDescent="0.2">
      <c r="A289" s="9"/>
      <c r="B289" s="7"/>
      <c r="C289" s="13"/>
      <c r="D289" s="10"/>
      <c r="E289" s="11"/>
      <c r="F289" s="11"/>
      <c r="G289" s="1"/>
    </row>
    <row r="290" spans="1:7" x14ac:dyDescent="0.2">
      <c r="A290" s="9"/>
      <c r="B290" s="7"/>
      <c r="C290" s="13"/>
      <c r="D290" s="10"/>
      <c r="E290" s="11"/>
      <c r="F290" s="11"/>
      <c r="G290" s="1"/>
    </row>
    <row r="291" spans="1:7" x14ac:dyDescent="0.2">
      <c r="A291" s="9"/>
      <c r="B291" s="7"/>
      <c r="C291" s="13"/>
      <c r="D291" s="10"/>
      <c r="E291" s="11"/>
      <c r="F291" s="11"/>
      <c r="G291" s="1"/>
    </row>
    <row r="292" spans="1:7" x14ac:dyDescent="0.2">
      <c r="A292" s="9"/>
      <c r="B292" s="7"/>
      <c r="C292" s="13"/>
      <c r="D292" s="10"/>
      <c r="E292" s="11"/>
      <c r="F292" s="11"/>
      <c r="G292" s="1"/>
    </row>
    <row r="293" spans="1:7" x14ac:dyDescent="0.2">
      <c r="A293" s="9"/>
      <c r="B293" s="7"/>
      <c r="C293" s="13"/>
      <c r="D293" s="10"/>
      <c r="E293" s="11"/>
      <c r="F293" s="11"/>
      <c r="G293" s="1"/>
    </row>
    <row r="294" spans="1:7" x14ac:dyDescent="0.2">
      <c r="A294" s="9"/>
      <c r="B294" s="7"/>
      <c r="C294" s="13"/>
      <c r="D294" s="10"/>
      <c r="E294" s="11"/>
      <c r="F294" s="11"/>
      <c r="G294" s="1"/>
    </row>
    <row r="295" spans="1:7" x14ac:dyDescent="0.2">
      <c r="A295" s="9"/>
      <c r="B295" s="7"/>
      <c r="C295" s="13"/>
      <c r="D295" s="10"/>
      <c r="E295" s="11"/>
      <c r="F295" s="11"/>
      <c r="G295" s="1"/>
    </row>
    <row r="296" spans="1:7" x14ac:dyDescent="0.2">
      <c r="A296" s="9"/>
      <c r="B296" s="7"/>
      <c r="C296" s="13"/>
      <c r="D296" s="10"/>
      <c r="E296" s="11"/>
      <c r="F296" s="11"/>
      <c r="G296" s="1"/>
    </row>
    <row r="297" spans="1:7" x14ac:dyDescent="0.2">
      <c r="A297" s="9"/>
      <c r="B297" s="7"/>
      <c r="C297" s="13"/>
      <c r="D297" s="10"/>
      <c r="E297" s="11"/>
      <c r="F297" s="11"/>
      <c r="G297" s="1"/>
    </row>
    <row r="298" spans="1:7" x14ac:dyDescent="0.2">
      <c r="A298" s="9"/>
      <c r="B298" s="7"/>
      <c r="C298" s="13"/>
      <c r="D298" s="10"/>
      <c r="E298" s="11"/>
      <c r="F298" s="11"/>
      <c r="G298" s="1"/>
    </row>
    <row r="299" spans="1:7" x14ac:dyDescent="0.2">
      <c r="A299" s="9"/>
      <c r="B299" s="7"/>
      <c r="C299" s="13"/>
      <c r="D299" s="10"/>
      <c r="E299" s="11"/>
      <c r="F299" s="11"/>
      <c r="G299" s="1"/>
    </row>
    <row r="300" spans="1:7" x14ac:dyDescent="0.2">
      <c r="A300" s="9"/>
      <c r="B300" s="7"/>
      <c r="C300" s="13"/>
      <c r="D300" s="10"/>
      <c r="E300" s="11"/>
      <c r="F300" s="11"/>
      <c r="G300" s="1"/>
    </row>
    <row r="301" spans="1:7" x14ac:dyDescent="0.2">
      <c r="A301" s="9"/>
      <c r="B301" s="7"/>
      <c r="C301" s="13"/>
      <c r="D301" s="10"/>
      <c r="E301" s="11"/>
      <c r="F301" s="11"/>
      <c r="G301" s="1"/>
    </row>
    <row r="302" spans="1:7" x14ac:dyDescent="0.2">
      <c r="A302" s="9"/>
      <c r="B302" s="7"/>
      <c r="C302" s="13"/>
      <c r="D302" s="10"/>
      <c r="E302" s="11"/>
      <c r="F302" s="11"/>
      <c r="G302" s="1"/>
    </row>
  </sheetData>
  <mergeCells count="11">
    <mergeCell ref="A6:A7"/>
    <mergeCell ref="A4:O4"/>
    <mergeCell ref="O6:O7"/>
    <mergeCell ref="B6:B7"/>
    <mergeCell ref="C6:D6"/>
    <mergeCell ref="G6:H6"/>
    <mergeCell ref="I6:J6"/>
    <mergeCell ref="K6:L6"/>
    <mergeCell ref="M6:N6"/>
    <mergeCell ref="C5:N5"/>
    <mergeCell ref="E6:F6"/>
  </mergeCells>
  <phoneticPr fontId="0" type="noConversion"/>
  <printOptions horizontalCentered="1"/>
  <pageMargins left="0.59055118110236227" right="0.59055118110236227" top="0.78740157480314965" bottom="0.78740157480314965" header="0.39370078740157483" footer="0.39370078740157483"/>
  <pageSetup paperSize="9" scale="59" fitToHeight="0" orientation="landscape" r:id="rId1"/>
  <headerFooter alignWithMargins="0">
    <oddFooter>&amp;LUBIRAJARA SILVA
Engº Eletricista
DENGE/DGADM&amp;CPágina &amp;P de &amp;N&amp;RRENATO BRUNO
Engº Civil
DENGE/DGADM</oddFooter>
  </headerFooter>
  <ignoredErrors>
    <ignoredError sqref="E19:N19 E18 G18 I18 K18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14"/>
  <sheetViews>
    <sheetView topLeftCell="A104" zoomScale="130" zoomScaleNormal="130" workbookViewId="0">
      <selection activeCell="J82" sqref="J82"/>
    </sheetView>
  </sheetViews>
  <sheetFormatPr defaultRowHeight="12.75" x14ac:dyDescent="0.2"/>
  <cols>
    <col min="2" max="2" width="5" bestFit="1" customWidth="1"/>
    <col min="3" max="3" width="12" style="138" bestFit="1" customWidth="1"/>
    <col min="4" max="4" width="49" customWidth="1"/>
    <col min="6" max="6" width="9.140625" customWidth="1"/>
    <col min="7" max="7" width="10.5703125" style="134" bestFit="1" customWidth="1"/>
    <col min="8" max="8" width="17.140625" style="134" customWidth="1"/>
  </cols>
  <sheetData>
    <row r="1" spans="2:8" ht="25.5" x14ac:dyDescent="0.35">
      <c r="B1" s="129"/>
      <c r="D1" s="130" t="s">
        <v>173</v>
      </c>
    </row>
    <row r="2" spans="2:8" ht="13.5" thickBot="1" x14ac:dyDescent="0.25"/>
    <row r="3" spans="2:8" ht="13.5" thickBot="1" x14ac:dyDescent="0.25">
      <c r="B3" s="282" t="s">
        <v>29</v>
      </c>
      <c r="C3" s="283"/>
      <c r="D3" s="283"/>
      <c r="E3" s="283"/>
      <c r="F3" s="283"/>
      <c r="G3" s="283"/>
      <c r="H3" s="284"/>
    </row>
    <row r="4" spans="2:8" x14ac:dyDescent="0.2">
      <c r="B4" s="273" t="s">
        <v>30</v>
      </c>
      <c r="C4" s="274"/>
      <c r="D4" s="274"/>
      <c r="E4" s="275"/>
      <c r="F4" s="132"/>
      <c r="G4" s="206" t="s">
        <v>186</v>
      </c>
      <c r="H4" s="149"/>
    </row>
    <row r="5" spans="2:8" x14ac:dyDescent="0.2">
      <c r="B5" s="276" t="s">
        <v>7</v>
      </c>
      <c r="C5" s="277"/>
      <c r="D5" s="277"/>
      <c r="E5" s="278"/>
      <c r="F5" s="209"/>
      <c r="G5" s="207"/>
      <c r="H5" s="150"/>
    </row>
    <row r="6" spans="2:8" ht="13.5" thickBot="1" x14ac:dyDescent="0.25">
      <c r="B6" s="279"/>
      <c r="C6" s="280"/>
      <c r="D6" s="280"/>
      <c r="E6" s="281"/>
      <c r="F6" s="133"/>
      <c r="G6" s="208" t="s">
        <v>182</v>
      </c>
      <c r="H6" s="151"/>
    </row>
    <row r="7" spans="2:8" ht="13.5" thickBot="1" x14ac:dyDescent="0.25">
      <c r="B7" s="259" t="s">
        <v>31</v>
      </c>
      <c r="C7" s="290" t="s">
        <v>32</v>
      </c>
      <c r="D7" s="266" t="s">
        <v>33</v>
      </c>
      <c r="E7" s="292" t="s">
        <v>34</v>
      </c>
      <c r="F7" s="294" t="s">
        <v>35</v>
      </c>
      <c r="G7" s="271" t="s">
        <v>185</v>
      </c>
      <c r="H7" s="272"/>
    </row>
    <row r="8" spans="2:8" ht="32.25" customHeight="1" thickBot="1" x14ac:dyDescent="0.25">
      <c r="B8" s="260"/>
      <c r="C8" s="291"/>
      <c r="D8" s="267"/>
      <c r="E8" s="293"/>
      <c r="F8" s="295"/>
      <c r="G8" s="152" t="s">
        <v>183</v>
      </c>
      <c r="H8" s="152" t="s">
        <v>184</v>
      </c>
    </row>
    <row r="9" spans="2:8" x14ac:dyDescent="0.2">
      <c r="B9" s="179" t="s">
        <v>25</v>
      </c>
      <c r="C9" s="180"/>
      <c r="D9" s="181" t="s">
        <v>168</v>
      </c>
      <c r="E9" s="181"/>
      <c r="F9" s="181"/>
      <c r="G9" s="182"/>
      <c r="H9" s="183">
        <f>SUM(H10:H11)</f>
        <v>34176</v>
      </c>
    </row>
    <row r="10" spans="2:8" x14ac:dyDescent="0.2">
      <c r="B10" s="107"/>
      <c r="C10" s="139">
        <v>90778</v>
      </c>
      <c r="D10" s="108" t="s">
        <v>165</v>
      </c>
      <c r="E10" s="109" t="s">
        <v>166</v>
      </c>
      <c r="F10" s="106">
        <f>40*6</f>
        <v>240</v>
      </c>
      <c r="G10" s="135">
        <v>79.680000000000007</v>
      </c>
      <c r="H10" s="135">
        <f>G10*F10</f>
        <v>19123.2</v>
      </c>
    </row>
    <row r="11" spans="2:8" x14ac:dyDescent="0.2">
      <c r="B11" s="107"/>
      <c r="C11" s="139">
        <v>90776</v>
      </c>
      <c r="D11" s="108" t="s">
        <v>167</v>
      </c>
      <c r="E11" s="109" t="s">
        <v>166</v>
      </c>
      <c r="F11" s="106">
        <f>160*6</f>
        <v>960</v>
      </c>
      <c r="G11" s="135">
        <v>15.68</v>
      </c>
      <c r="H11" s="135">
        <f>G11*F11</f>
        <v>15052.8</v>
      </c>
    </row>
    <row r="12" spans="2:8" x14ac:dyDescent="0.2">
      <c r="B12" s="184" t="s">
        <v>24</v>
      </c>
      <c r="C12" s="185"/>
      <c r="D12" s="186" t="s">
        <v>0</v>
      </c>
      <c r="E12" s="187"/>
      <c r="F12" s="187"/>
      <c r="G12" s="188"/>
      <c r="H12" s="189">
        <f>H13</f>
        <v>10309.427913999998</v>
      </c>
    </row>
    <row r="13" spans="2:8" x14ac:dyDescent="0.2">
      <c r="B13" s="190" t="s">
        <v>8</v>
      </c>
      <c r="C13" s="191"/>
      <c r="D13" s="192" t="s">
        <v>3</v>
      </c>
      <c r="E13" s="193"/>
      <c r="F13" s="193"/>
      <c r="G13" s="136"/>
      <c r="H13" s="136">
        <f>SUM(H14:H24)</f>
        <v>10309.427913999998</v>
      </c>
    </row>
    <row r="14" spans="2:8" x14ac:dyDescent="0.2">
      <c r="B14" s="103"/>
      <c r="C14" s="140" t="s">
        <v>163</v>
      </c>
      <c r="D14" s="104" t="s">
        <v>164</v>
      </c>
      <c r="E14" s="105" t="s">
        <v>38</v>
      </c>
      <c r="F14" s="106">
        <v>8</v>
      </c>
      <c r="G14" s="135">
        <v>298.19</v>
      </c>
      <c r="H14" s="135">
        <f t="shared" ref="H14:H24" si="0">G14*F14</f>
        <v>2385.52</v>
      </c>
    </row>
    <row r="15" spans="2:8" ht="25.5" x14ac:dyDescent="0.2">
      <c r="B15" s="15"/>
      <c r="C15" s="137" t="s">
        <v>175</v>
      </c>
      <c r="D15" s="66" t="s">
        <v>37</v>
      </c>
      <c r="E15" s="22" t="s">
        <v>38</v>
      </c>
      <c r="F15" s="23">
        <v>101.42</v>
      </c>
      <c r="G15" s="135">
        <f>(7.55*0.9)+(0.09*11.63)</f>
        <v>7.8416999999999994</v>
      </c>
      <c r="H15" s="135">
        <f t="shared" si="0"/>
        <v>795.30521399999998</v>
      </c>
    </row>
    <row r="16" spans="2:8" ht="51" x14ac:dyDescent="0.2">
      <c r="B16" s="15"/>
      <c r="C16" s="141" t="s">
        <v>36</v>
      </c>
      <c r="D16" s="67" t="s">
        <v>39</v>
      </c>
      <c r="E16" s="22" t="s">
        <v>38</v>
      </c>
      <c r="F16" s="24">
        <v>333.5</v>
      </c>
      <c r="G16" s="135">
        <v>6.02</v>
      </c>
      <c r="H16" s="135">
        <f t="shared" si="0"/>
        <v>2007.6699999999998</v>
      </c>
    </row>
    <row r="17" spans="2:8" x14ac:dyDescent="0.2">
      <c r="B17" s="15"/>
      <c r="C17" s="141">
        <v>85372</v>
      </c>
      <c r="D17" s="67" t="s">
        <v>40</v>
      </c>
      <c r="E17" s="22" t="s">
        <v>38</v>
      </c>
      <c r="F17" s="24">
        <v>101.42</v>
      </c>
      <c r="G17" s="135">
        <v>1.8</v>
      </c>
      <c r="H17" s="135">
        <f t="shared" si="0"/>
        <v>182.55600000000001</v>
      </c>
    </row>
    <row r="18" spans="2:8" ht="25.5" x14ac:dyDescent="0.2">
      <c r="B18" s="15"/>
      <c r="C18" s="142">
        <v>85377</v>
      </c>
      <c r="D18" s="67" t="s">
        <v>41</v>
      </c>
      <c r="E18" s="22" t="s">
        <v>38</v>
      </c>
      <c r="F18" s="24">
        <v>54.1</v>
      </c>
      <c r="G18" s="135">
        <v>30.71</v>
      </c>
      <c r="H18" s="135">
        <f t="shared" si="0"/>
        <v>1661.4110000000001</v>
      </c>
    </row>
    <row r="19" spans="2:8" x14ac:dyDescent="0.2">
      <c r="B19" s="15"/>
      <c r="C19" s="142">
        <v>85333</v>
      </c>
      <c r="D19" s="67" t="s">
        <v>42</v>
      </c>
      <c r="E19" s="22" t="s">
        <v>43</v>
      </c>
      <c r="F19" s="24">
        <v>26</v>
      </c>
      <c r="G19" s="135">
        <v>14.07</v>
      </c>
      <c r="H19" s="135">
        <f t="shared" si="0"/>
        <v>365.82</v>
      </c>
    </row>
    <row r="20" spans="2:8" ht="25.5" x14ac:dyDescent="0.2">
      <c r="B20" s="15"/>
      <c r="C20" s="142">
        <v>85333</v>
      </c>
      <c r="D20" s="67" t="s">
        <v>44</v>
      </c>
      <c r="E20" s="22" t="s">
        <v>43</v>
      </c>
      <c r="F20" s="24">
        <v>26</v>
      </c>
      <c r="G20" s="135">
        <v>14.07</v>
      </c>
      <c r="H20" s="135">
        <f t="shared" si="0"/>
        <v>365.82</v>
      </c>
    </row>
    <row r="21" spans="2:8" x14ac:dyDescent="0.2">
      <c r="B21" s="15"/>
      <c r="C21" s="141">
        <v>72142</v>
      </c>
      <c r="D21" s="67" t="s">
        <v>45</v>
      </c>
      <c r="E21" s="22" t="s">
        <v>43</v>
      </c>
      <c r="F21" s="24">
        <v>26</v>
      </c>
      <c r="G21" s="135">
        <v>7.97</v>
      </c>
      <c r="H21" s="135">
        <f t="shared" si="0"/>
        <v>207.22</v>
      </c>
    </row>
    <row r="22" spans="2:8" ht="26.25" customHeight="1" x14ac:dyDescent="0.2">
      <c r="B22" s="15"/>
      <c r="C22" s="141">
        <v>85418</v>
      </c>
      <c r="D22" s="93" t="s">
        <v>158</v>
      </c>
      <c r="E22" s="22" t="s">
        <v>159</v>
      </c>
      <c r="F22" s="24">
        <f>F55+F61+F70+F77</f>
        <v>254</v>
      </c>
      <c r="G22" s="135">
        <v>5.86</v>
      </c>
      <c r="H22" s="135">
        <f t="shared" si="0"/>
        <v>1488.44</v>
      </c>
    </row>
    <row r="23" spans="2:8" ht="26.25" customHeight="1" x14ac:dyDescent="0.2">
      <c r="B23" s="15"/>
      <c r="C23" s="141">
        <v>85419</v>
      </c>
      <c r="D23" s="93" t="s">
        <v>160</v>
      </c>
      <c r="E23" s="22" t="s">
        <v>159</v>
      </c>
      <c r="F23" s="24">
        <f>F89+F91+F98</f>
        <v>156</v>
      </c>
      <c r="G23" s="135">
        <v>3.66</v>
      </c>
      <c r="H23" s="135">
        <f t="shared" si="0"/>
        <v>570.96</v>
      </c>
    </row>
    <row r="24" spans="2:8" x14ac:dyDescent="0.2">
      <c r="B24" s="25"/>
      <c r="C24" s="143">
        <v>72897</v>
      </c>
      <c r="D24" s="66" t="s">
        <v>46</v>
      </c>
      <c r="E24" s="26" t="s">
        <v>47</v>
      </c>
      <c r="F24" s="23">
        <v>17.43</v>
      </c>
      <c r="G24" s="135">
        <v>15.99</v>
      </c>
      <c r="H24" s="135">
        <f t="shared" si="0"/>
        <v>278.70569999999998</v>
      </c>
    </row>
    <row r="25" spans="2:8" x14ac:dyDescent="0.2">
      <c r="B25" s="199" t="s">
        <v>13</v>
      </c>
      <c r="C25" s="200"/>
      <c r="D25" s="201" t="s">
        <v>6</v>
      </c>
      <c r="E25" s="202"/>
      <c r="F25" s="202"/>
      <c r="G25" s="188"/>
      <c r="H25" s="189">
        <f>H26+H33</f>
        <v>67058.525999999998</v>
      </c>
    </row>
    <row r="26" spans="2:8" x14ac:dyDescent="0.2">
      <c r="B26" s="194" t="s">
        <v>14</v>
      </c>
      <c r="C26" s="195"/>
      <c r="D26" s="196" t="s">
        <v>20</v>
      </c>
      <c r="E26" s="197"/>
      <c r="F26" s="197"/>
      <c r="G26" s="136"/>
      <c r="H26" s="136">
        <f>SUM(H27:H32)</f>
        <v>24794.223999999998</v>
      </c>
    </row>
    <row r="27" spans="2:8" ht="63.75" x14ac:dyDescent="0.2">
      <c r="B27" s="25"/>
      <c r="C27" s="143">
        <v>87246</v>
      </c>
      <c r="D27" s="68" t="s">
        <v>48</v>
      </c>
      <c r="E27" s="26" t="s">
        <v>49</v>
      </c>
      <c r="F27" s="23">
        <v>101.42</v>
      </c>
      <c r="G27" s="135">
        <v>42.82</v>
      </c>
      <c r="H27" s="135">
        <f t="shared" ref="H27:H32" si="1">G27*F27</f>
        <v>4342.8044</v>
      </c>
    </row>
    <row r="28" spans="2:8" ht="25.5" x14ac:dyDescent="0.2">
      <c r="B28" s="25"/>
      <c r="C28" s="143">
        <v>88649</v>
      </c>
      <c r="D28" s="68" t="s">
        <v>50</v>
      </c>
      <c r="E28" s="26" t="s">
        <v>51</v>
      </c>
      <c r="F28" s="23">
        <v>136.69999999999999</v>
      </c>
      <c r="G28" s="135">
        <v>5.76</v>
      </c>
      <c r="H28" s="135">
        <f t="shared" si="1"/>
        <v>787.39199999999994</v>
      </c>
    </row>
    <row r="29" spans="2:8" ht="38.25" x14ac:dyDescent="0.2">
      <c r="B29" s="18"/>
      <c r="C29" s="142" t="s">
        <v>52</v>
      </c>
      <c r="D29" s="69" t="s">
        <v>53</v>
      </c>
      <c r="E29" s="29" t="s">
        <v>49</v>
      </c>
      <c r="F29" s="30">
        <v>101.42</v>
      </c>
      <c r="G29" s="135">
        <v>26.22</v>
      </c>
      <c r="H29" s="135">
        <f t="shared" si="1"/>
        <v>2659.2323999999999</v>
      </c>
    </row>
    <row r="30" spans="2:8" ht="63.75" x14ac:dyDescent="0.2">
      <c r="B30" s="18"/>
      <c r="C30" s="142">
        <v>87265</v>
      </c>
      <c r="D30" s="212" t="s">
        <v>195</v>
      </c>
      <c r="E30" s="29" t="s">
        <v>49</v>
      </c>
      <c r="F30" s="30">
        <v>333.5</v>
      </c>
      <c r="G30" s="135">
        <v>43.52</v>
      </c>
      <c r="H30" s="135">
        <f t="shared" si="1"/>
        <v>14513.920000000002</v>
      </c>
    </row>
    <row r="31" spans="2:8" ht="25.5" x14ac:dyDescent="0.2">
      <c r="B31" s="25"/>
      <c r="C31" s="143" t="s">
        <v>54</v>
      </c>
      <c r="D31" s="68" t="s">
        <v>55</v>
      </c>
      <c r="E31" s="26" t="s">
        <v>49</v>
      </c>
      <c r="F31" s="23">
        <v>101.42</v>
      </c>
      <c r="G31" s="135">
        <v>14.24</v>
      </c>
      <c r="H31" s="135">
        <f t="shared" si="1"/>
        <v>1444.2208000000001</v>
      </c>
    </row>
    <row r="32" spans="2:8" ht="25.5" x14ac:dyDescent="0.2">
      <c r="B32" s="25"/>
      <c r="C32" s="143">
        <v>88488</v>
      </c>
      <c r="D32" s="68" t="s">
        <v>56</v>
      </c>
      <c r="E32" s="26" t="s">
        <v>49</v>
      </c>
      <c r="F32" s="23">
        <v>101.42</v>
      </c>
      <c r="G32" s="135">
        <v>10.32</v>
      </c>
      <c r="H32" s="135">
        <f t="shared" si="1"/>
        <v>1046.6544000000001</v>
      </c>
    </row>
    <row r="33" spans="2:14" x14ac:dyDescent="0.2">
      <c r="B33" s="27" t="s">
        <v>107</v>
      </c>
      <c r="C33" s="144"/>
      <c r="D33" s="40" t="s">
        <v>9</v>
      </c>
      <c r="E33" s="39"/>
      <c r="F33" s="39"/>
      <c r="G33" s="136"/>
      <c r="H33" s="136">
        <f>SUM(H34:H48)</f>
        <v>42264.302000000003</v>
      </c>
    </row>
    <row r="34" spans="2:14" ht="38.25" x14ac:dyDescent="0.2">
      <c r="B34" s="25"/>
      <c r="C34" s="137" t="s">
        <v>179</v>
      </c>
      <c r="D34" s="68" t="s">
        <v>58</v>
      </c>
      <c r="E34" s="26" t="s">
        <v>43</v>
      </c>
      <c r="F34" s="23">
        <v>32</v>
      </c>
      <c r="G34" s="135">
        <f>(10.94*4)+(8.22*4)+(33.25*2)+(1.35*3)</f>
        <v>147.19</v>
      </c>
      <c r="H34" s="135">
        <f t="shared" ref="H34:H48" si="2">G34*F34</f>
        <v>4710.08</v>
      </c>
    </row>
    <row r="35" spans="2:14" ht="25.5" x14ac:dyDescent="0.2">
      <c r="B35" s="25"/>
      <c r="C35" s="143">
        <v>37399</v>
      </c>
      <c r="D35" s="68" t="s">
        <v>59</v>
      </c>
      <c r="E35" s="26" t="s">
        <v>43</v>
      </c>
      <c r="F35" s="23">
        <v>13</v>
      </c>
      <c r="G35" s="135">
        <v>16.47</v>
      </c>
      <c r="H35" s="135">
        <f t="shared" si="2"/>
        <v>214.10999999999999</v>
      </c>
    </row>
    <row r="36" spans="2:14" ht="63.75" x14ac:dyDescent="0.2">
      <c r="B36" s="25"/>
      <c r="C36" s="137" t="s">
        <v>189</v>
      </c>
      <c r="D36" s="211" t="s">
        <v>190</v>
      </c>
      <c r="E36" s="26" t="s">
        <v>43</v>
      </c>
      <c r="F36" s="23">
        <v>26</v>
      </c>
      <c r="G36" s="135">
        <v>231.7</v>
      </c>
      <c r="H36" s="135">
        <f t="shared" si="2"/>
        <v>6024.2</v>
      </c>
    </row>
    <row r="37" spans="2:14" ht="25.5" x14ac:dyDescent="0.2">
      <c r="B37" s="18"/>
      <c r="C37" s="142" t="s">
        <v>60</v>
      </c>
      <c r="D37" s="69" t="s">
        <v>61</v>
      </c>
      <c r="E37" s="29" t="s">
        <v>43</v>
      </c>
      <c r="F37" s="30">
        <v>26</v>
      </c>
      <c r="G37" s="135">
        <v>34.799999999999997</v>
      </c>
      <c r="H37" s="135">
        <f t="shared" si="2"/>
        <v>904.8</v>
      </c>
    </row>
    <row r="38" spans="2:14" ht="63.75" x14ac:dyDescent="0.2">
      <c r="B38" s="25"/>
      <c r="C38" s="145" t="s">
        <v>62</v>
      </c>
      <c r="D38" s="70" t="s">
        <v>63</v>
      </c>
      <c r="E38" s="26" t="s">
        <v>43</v>
      </c>
      <c r="F38" s="23">
        <v>10</v>
      </c>
      <c r="G38" s="135">
        <v>190.74</v>
      </c>
      <c r="H38" s="135">
        <f t="shared" si="2"/>
        <v>1907.4</v>
      </c>
    </row>
    <row r="39" spans="2:14" ht="38.25" x14ac:dyDescent="0.2">
      <c r="B39" s="25"/>
      <c r="C39" s="145">
        <v>7101</v>
      </c>
      <c r="D39" s="70" t="s">
        <v>64</v>
      </c>
      <c r="E39" s="26" t="s">
        <v>49</v>
      </c>
      <c r="F39" s="23">
        <v>16.8</v>
      </c>
      <c r="G39" s="135">
        <v>36.97</v>
      </c>
      <c r="H39" s="135">
        <f t="shared" si="2"/>
        <v>621.096</v>
      </c>
    </row>
    <row r="40" spans="2:14" ht="63.75" x14ac:dyDescent="0.2">
      <c r="B40" s="18"/>
      <c r="C40" s="148" t="s">
        <v>192</v>
      </c>
      <c r="D40" s="212" t="s">
        <v>191</v>
      </c>
      <c r="E40" s="29" t="s">
        <v>43</v>
      </c>
      <c r="F40" s="30">
        <v>26</v>
      </c>
      <c r="G40" s="135">
        <v>422.21</v>
      </c>
      <c r="H40" s="135">
        <f t="shared" si="2"/>
        <v>10977.46</v>
      </c>
      <c r="N40" s="213"/>
    </row>
    <row r="41" spans="2:14" ht="38.25" x14ac:dyDescent="0.2">
      <c r="B41" s="25"/>
      <c r="C41" s="142">
        <v>86901</v>
      </c>
      <c r="D41" s="71" t="s">
        <v>65</v>
      </c>
      <c r="E41" s="29" t="s">
        <v>43</v>
      </c>
      <c r="F41" s="31">
        <v>26</v>
      </c>
      <c r="G41" s="135">
        <v>89.47</v>
      </c>
      <c r="H41" s="135">
        <f t="shared" si="2"/>
        <v>2326.2199999999998</v>
      </c>
    </row>
    <row r="42" spans="2:14" ht="38.25" x14ac:dyDescent="0.2">
      <c r="B42" s="32"/>
      <c r="C42" s="137" t="s">
        <v>176</v>
      </c>
      <c r="D42" s="69" t="s">
        <v>66</v>
      </c>
      <c r="E42" s="26" t="s">
        <v>49</v>
      </c>
      <c r="F42" s="23">
        <v>17.600000000000001</v>
      </c>
      <c r="G42" s="135">
        <f>248.44+(11.63*1.5)</f>
        <v>265.88499999999999</v>
      </c>
      <c r="H42" s="135">
        <f t="shared" si="2"/>
        <v>4679.576</v>
      </c>
    </row>
    <row r="43" spans="2:14" ht="38.25" x14ac:dyDescent="0.2">
      <c r="B43" s="32"/>
      <c r="C43" s="143" t="s">
        <v>57</v>
      </c>
      <c r="D43" s="71" t="s">
        <v>67</v>
      </c>
      <c r="E43" s="26" t="s">
        <v>43</v>
      </c>
      <c r="F43" s="23">
        <v>10</v>
      </c>
      <c r="G43" s="135">
        <v>13.99</v>
      </c>
      <c r="H43" s="135">
        <f t="shared" si="2"/>
        <v>139.9</v>
      </c>
    </row>
    <row r="44" spans="2:14" ht="25.5" x14ac:dyDescent="0.2">
      <c r="B44" s="25"/>
      <c r="C44" s="143" t="s">
        <v>57</v>
      </c>
      <c r="D44" s="71" t="s">
        <v>68</v>
      </c>
      <c r="E44" s="26" t="s">
        <v>43</v>
      </c>
      <c r="F44" s="23">
        <v>13</v>
      </c>
      <c r="G44" s="135">
        <v>167</v>
      </c>
      <c r="H44" s="135">
        <f t="shared" si="2"/>
        <v>2171</v>
      </c>
    </row>
    <row r="45" spans="2:14" ht="25.5" x14ac:dyDescent="0.2">
      <c r="B45" s="25"/>
      <c r="C45" s="143" t="s">
        <v>57</v>
      </c>
      <c r="D45" s="71" t="s">
        <v>69</v>
      </c>
      <c r="E45" s="26" t="s">
        <v>43</v>
      </c>
      <c r="F45" s="23">
        <v>26</v>
      </c>
      <c r="G45" s="135">
        <v>118.5</v>
      </c>
      <c r="H45" s="135">
        <f t="shared" si="2"/>
        <v>3081</v>
      </c>
    </row>
    <row r="46" spans="2:14" ht="38.25" x14ac:dyDescent="0.2">
      <c r="B46" s="33"/>
      <c r="C46" s="142" t="s">
        <v>57</v>
      </c>
      <c r="D46" s="71" t="s">
        <v>70</v>
      </c>
      <c r="E46" s="29" t="s">
        <v>43</v>
      </c>
      <c r="F46" s="30">
        <v>13</v>
      </c>
      <c r="G46" s="135">
        <v>112.68</v>
      </c>
      <c r="H46" s="135">
        <f t="shared" si="2"/>
        <v>1464.8400000000001</v>
      </c>
    </row>
    <row r="47" spans="2:14" ht="38.25" x14ac:dyDescent="0.2">
      <c r="B47" s="32"/>
      <c r="C47" s="143" t="s">
        <v>57</v>
      </c>
      <c r="D47" s="147" t="s">
        <v>177</v>
      </c>
      <c r="E47" s="26" t="s">
        <v>43</v>
      </c>
      <c r="F47" s="23">
        <v>28</v>
      </c>
      <c r="G47" s="135">
        <v>79.989999999999995</v>
      </c>
      <c r="H47" s="135">
        <f t="shared" si="2"/>
        <v>2239.7199999999998</v>
      </c>
    </row>
    <row r="48" spans="2:14" ht="25.5" x14ac:dyDescent="0.2">
      <c r="B48" s="32"/>
      <c r="C48" s="137" t="s">
        <v>178</v>
      </c>
      <c r="D48" s="72" t="s">
        <v>71</v>
      </c>
      <c r="E48" s="26" t="s">
        <v>43</v>
      </c>
      <c r="F48" s="23">
        <v>4</v>
      </c>
      <c r="G48" s="135">
        <f>179.9+(8.33*2.5)</f>
        <v>200.72499999999999</v>
      </c>
      <c r="H48" s="135">
        <f t="shared" si="2"/>
        <v>802.9</v>
      </c>
    </row>
    <row r="49" spans="2:8" x14ac:dyDescent="0.2">
      <c r="B49" s="199" t="s">
        <v>15</v>
      </c>
      <c r="C49" s="200"/>
      <c r="D49" s="201" t="s">
        <v>22</v>
      </c>
      <c r="E49" s="202"/>
      <c r="F49" s="202"/>
      <c r="G49" s="188"/>
      <c r="H49" s="189">
        <f>H50+H79</f>
        <v>33717.728000000017</v>
      </c>
    </row>
    <row r="50" spans="2:8" x14ac:dyDescent="0.2">
      <c r="B50" s="194" t="s">
        <v>169</v>
      </c>
      <c r="C50" s="195"/>
      <c r="D50" s="196" t="s">
        <v>21</v>
      </c>
      <c r="E50" s="197"/>
      <c r="F50" s="197"/>
      <c r="G50" s="136"/>
      <c r="H50" s="136">
        <f>SUM(H51:H78)</f>
        <v>23462.684000000016</v>
      </c>
    </row>
    <row r="51" spans="2:8" ht="25.5" x14ac:dyDescent="0.2">
      <c r="B51" s="25"/>
      <c r="C51" s="148" t="s">
        <v>57</v>
      </c>
      <c r="D51" s="71" t="s">
        <v>72</v>
      </c>
      <c r="E51" s="29" t="s">
        <v>43</v>
      </c>
      <c r="F51" s="30">
        <v>26</v>
      </c>
      <c r="G51" s="135">
        <v>71.709999999999994</v>
      </c>
      <c r="H51" s="135">
        <f t="shared" ref="H51:H78" si="3">G51*F51</f>
        <v>1864.4599999999998</v>
      </c>
    </row>
    <row r="52" spans="2:8" ht="63.75" x14ac:dyDescent="0.2">
      <c r="B52" s="18"/>
      <c r="C52" s="142" t="s">
        <v>73</v>
      </c>
      <c r="D52" s="71" t="s">
        <v>74</v>
      </c>
      <c r="E52" s="29" t="s">
        <v>43</v>
      </c>
      <c r="F52" s="30">
        <v>13</v>
      </c>
      <c r="G52" s="135">
        <v>382.17</v>
      </c>
      <c r="H52" s="135">
        <f t="shared" si="3"/>
        <v>4968.21</v>
      </c>
    </row>
    <row r="53" spans="2:8" ht="25.5" x14ac:dyDescent="0.2">
      <c r="B53" s="34"/>
      <c r="C53" s="142">
        <v>1370</v>
      </c>
      <c r="D53" s="71" t="s">
        <v>75</v>
      </c>
      <c r="E53" s="35" t="s">
        <v>76</v>
      </c>
      <c r="F53" s="14">
        <v>8</v>
      </c>
      <c r="G53" s="135">
        <v>59.23</v>
      </c>
      <c r="H53" s="135">
        <f t="shared" si="3"/>
        <v>473.84</v>
      </c>
    </row>
    <row r="54" spans="2:8" ht="54.75" customHeight="1" x14ac:dyDescent="0.2">
      <c r="B54" s="34"/>
      <c r="C54" s="145">
        <v>86932</v>
      </c>
      <c r="D54" s="94" t="s">
        <v>161</v>
      </c>
      <c r="E54" s="29" t="s">
        <v>76</v>
      </c>
      <c r="F54" s="14">
        <v>26</v>
      </c>
      <c r="G54" s="135">
        <v>332.92</v>
      </c>
      <c r="H54" s="135">
        <f t="shared" si="3"/>
        <v>8655.92</v>
      </c>
    </row>
    <row r="55" spans="2:8" ht="25.5" x14ac:dyDescent="0.2">
      <c r="B55" s="95"/>
      <c r="C55" s="146" t="s">
        <v>77</v>
      </c>
      <c r="D55" s="71" t="s">
        <v>78</v>
      </c>
      <c r="E55" s="22" t="s">
        <v>51</v>
      </c>
      <c r="F55" s="36">
        <f>40*2</f>
        <v>80</v>
      </c>
      <c r="G55" s="135">
        <f>8.59*1.4</f>
        <v>12.026</v>
      </c>
      <c r="H55" s="135">
        <f t="shared" si="3"/>
        <v>962.07999999999993</v>
      </c>
    </row>
    <row r="56" spans="2:8" ht="25.5" x14ac:dyDescent="0.2">
      <c r="B56" s="95"/>
      <c r="C56" s="146">
        <v>89596</v>
      </c>
      <c r="D56" s="71" t="s">
        <v>79</v>
      </c>
      <c r="E56" s="31" t="s">
        <v>76</v>
      </c>
      <c r="F56" s="37">
        <f>25*2</f>
        <v>50</v>
      </c>
      <c r="G56" s="135">
        <v>6.82</v>
      </c>
      <c r="H56" s="135">
        <f t="shared" si="3"/>
        <v>341</v>
      </c>
    </row>
    <row r="57" spans="2:8" ht="25.5" x14ac:dyDescent="0.2">
      <c r="B57" s="95"/>
      <c r="C57" s="146">
        <v>89502</v>
      </c>
      <c r="D57" s="71" t="s">
        <v>80</v>
      </c>
      <c r="E57" s="31" t="s">
        <v>76</v>
      </c>
      <c r="F57" s="37">
        <f>10*2</f>
        <v>20</v>
      </c>
      <c r="G57" s="135">
        <v>10.06</v>
      </c>
      <c r="H57" s="135">
        <f t="shared" si="3"/>
        <v>201.20000000000002</v>
      </c>
    </row>
    <row r="58" spans="2:8" ht="25.5" x14ac:dyDescent="0.2">
      <c r="B58" s="95"/>
      <c r="C58" s="146">
        <v>89501</v>
      </c>
      <c r="D58" s="71" t="s">
        <v>81</v>
      </c>
      <c r="E58" s="31" t="s">
        <v>76</v>
      </c>
      <c r="F58" s="37">
        <f>15*2</f>
        <v>30</v>
      </c>
      <c r="G58" s="135">
        <v>9.08</v>
      </c>
      <c r="H58" s="135">
        <f t="shared" si="3"/>
        <v>272.39999999999998</v>
      </c>
    </row>
    <row r="59" spans="2:8" ht="38.25" x14ac:dyDescent="0.2">
      <c r="B59" s="95"/>
      <c r="C59" s="146" t="s">
        <v>82</v>
      </c>
      <c r="D59" s="71" t="s">
        <v>83</v>
      </c>
      <c r="E59" s="22" t="s">
        <v>76</v>
      </c>
      <c r="F59" s="36">
        <f>2*2</f>
        <v>4</v>
      </c>
      <c r="G59" s="135">
        <v>92.93</v>
      </c>
      <c r="H59" s="135">
        <f t="shared" si="3"/>
        <v>371.72</v>
      </c>
    </row>
    <row r="60" spans="2:8" ht="38.25" x14ac:dyDescent="0.2">
      <c r="B60" s="95"/>
      <c r="C60" s="146" t="s">
        <v>82</v>
      </c>
      <c r="D60" s="71" t="s">
        <v>84</v>
      </c>
      <c r="E60" s="22" t="s">
        <v>76</v>
      </c>
      <c r="F60" s="36">
        <f>3*2</f>
        <v>6</v>
      </c>
      <c r="G60" s="135">
        <v>92.93</v>
      </c>
      <c r="H60" s="135">
        <f t="shared" si="3"/>
        <v>557.58000000000004</v>
      </c>
    </row>
    <row r="61" spans="2:8" ht="25.5" x14ac:dyDescent="0.2">
      <c r="B61" s="95"/>
      <c r="C61" s="146">
        <v>89402</v>
      </c>
      <c r="D61" s="71" t="s">
        <v>85</v>
      </c>
      <c r="E61" s="22" t="s">
        <v>51</v>
      </c>
      <c r="F61" s="36">
        <f>60*2</f>
        <v>120</v>
      </c>
      <c r="G61" s="135">
        <v>6.32</v>
      </c>
      <c r="H61" s="135">
        <f t="shared" si="3"/>
        <v>758.40000000000009</v>
      </c>
    </row>
    <row r="62" spans="2:8" ht="25.5" x14ac:dyDescent="0.2">
      <c r="B62" s="95"/>
      <c r="C62" s="146">
        <v>89625</v>
      </c>
      <c r="D62" s="71" t="s">
        <v>86</v>
      </c>
      <c r="E62" s="31" t="s">
        <v>76</v>
      </c>
      <c r="F62" s="37">
        <f>15*2</f>
        <v>30</v>
      </c>
      <c r="G62" s="135">
        <v>14.03</v>
      </c>
      <c r="H62" s="135">
        <f t="shared" si="3"/>
        <v>420.9</v>
      </c>
    </row>
    <row r="63" spans="2:8" ht="25.5" x14ac:dyDescent="0.2">
      <c r="B63" s="95"/>
      <c r="C63" s="146">
        <v>89869</v>
      </c>
      <c r="D63" s="71" t="s">
        <v>87</v>
      </c>
      <c r="E63" s="22" t="s">
        <v>76</v>
      </c>
      <c r="F63" s="36">
        <f>25*2</f>
        <v>50</v>
      </c>
      <c r="G63" s="135">
        <v>5.18</v>
      </c>
      <c r="H63" s="135">
        <f t="shared" si="3"/>
        <v>259</v>
      </c>
    </row>
    <row r="64" spans="2:8" ht="25.5" x14ac:dyDescent="0.2">
      <c r="B64" s="95"/>
      <c r="C64" s="146">
        <v>89380</v>
      </c>
      <c r="D64" s="71" t="s">
        <v>88</v>
      </c>
      <c r="E64" s="31" t="s">
        <v>76</v>
      </c>
      <c r="F64" s="37">
        <f>5*2</f>
        <v>10</v>
      </c>
      <c r="G64" s="135">
        <v>5.48</v>
      </c>
      <c r="H64" s="135">
        <f t="shared" si="3"/>
        <v>54.800000000000004</v>
      </c>
    </row>
    <row r="65" spans="2:8" ht="25.5" x14ac:dyDescent="0.2">
      <c r="B65" s="95"/>
      <c r="C65" s="146">
        <v>89408</v>
      </c>
      <c r="D65" s="71" t="s">
        <v>89</v>
      </c>
      <c r="E65" s="22" t="s">
        <v>76</v>
      </c>
      <c r="F65" s="36">
        <f>30*2</f>
        <v>60</v>
      </c>
      <c r="G65" s="135">
        <v>3.88</v>
      </c>
      <c r="H65" s="135">
        <f t="shared" si="3"/>
        <v>232.79999999999998</v>
      </c>
    </row>
    <row r="66" spans="2:8" ht="25.5" x14ac:dyDescent="0.2">
      <c r="B66" s="95"/>
      <c r="C66" s="146">
        <v>89412</v>
      </c>
      <c r="D66" s="71" t="s">
        <v>90</v>
      </c>
      <c r="E66" s="31" t="s">
        <v>76</v>
      </c>
      <c r="F66" s="37">
        <f>30*2</f>
        <v>60</v>
      </c>
      <c r="G66" s="135">
        <v>5.62</v>
      </c>
      <c r="H66" s="135">
        <f t="shared" si="3"/>
        <v>337.2</v>
      </c>
    </row>
    <row r="67" spans="2:8" ht="25.5" x14ac:dyDescent="0.2">
      <c r="B67" s="95"/>
      <c r="C67" s="146">
        <v>89412</v>
      </c>
      <c r="D67" s="71" t="s">
        <v>91</v>
      </c>
      <c r="E67" s="31" t="s">
        <v>76</v>
      </c>
      <c r="F67" s="37">
        <f>30*2</f>
        <v>60</v>
      </c>
      <c r="G67" s="135">
        <v>5.62</v>
      </c>
      <c r="H67" s="135">
        <f t="shared" si="3"/>
        <v>337.2</v>
      </c>
    </row>
    <row r="68" spans="2:8" ht="25.5" x14ac:dyDescent="0.2">
      <c r="B68" s="95"/>
      <c r="C68" s="146">
        <v>86886</v>
      </c>
      <c r="D68" s="71" t="s">
        <v>92</v>
      </c>
      <c r="E68" s="31" t="s">
        <v>76</v>
      </c>
      <c r="F68" s="36">
        <f>13*2</f>
        <v>26</v>
      </c>
      <c r="G68" s="135">
        <v>20.38</v>
      </c>
      <c r="H68" s="135">
        <f t="shared" si="3"/>
        <v>529.88</v>
      </c>
    </row>
    <row r="69" spans="2:8" ht="15" x14ac:dyDescent="0.2">
      <c r="B69" s="95"/>
      <c r="C69" s="146" t="s">
        <v>93</v>
      </c>
      <c r="D69" s="71" t="s">
        <v>94</v>
      </c>
      <c r="E69" s="31" t="s">
        <v>76</v>
      </c>
      <c r="F69" s="36">
        <f>13*2</f>
        <v>26</v>
      </c>
      <c r="G69" s="135">
        <f>11.08*1.3</f>
        <v>14.404</v>
      </c>
      <c r="H69" s="135">
        <f t="shared" si="3"/>
        <v>374.50400000000002</v>
      </c>
    </row>
    <row r="70" spans="2:8" ht="25.5" x14ac:dyDescent="0.2">
      <c r="B70" s="95"/>
      <c r="C70" s="146">
        <v>89448</v>
      </c>
      <c r="D70" s="71" t="s">
        <v>95</v>
      </c>
      <c r="E70" s="22" t="s">
        <v>51</v>
      </c>
      <c r="F70" s="36">
        <f>12*2</f>
        <v>24</v>
      </c>
      <c r="G70" s="135">
        <v>10.01</v>
      </c>
      <c r="H70" s="135">
        <f t="shared" si="3"/>
        <v>240.24</v>
      </c>
    </row>
    <row r="71" spans="2:8" ht="15" x14ac:dyDescent="0.2">
      <c r="B71" s="95"/>
      <c r="C71" s="146" t="s">
        <v>96</v>
      </c>
      <c r="D71" s="71" t="s">
        <v>97</v>
      </c>
      <c r="E71" s="22" t="s">
        <v>76</v>
      </c>
      <c r="F71" s="36">
        <f>15*2</f>
        <v>30</v>
      </c>
      <c r="G71" s="135">
        <f>2.49*1.3</f>
        <v>3.2370000000000005</v>
      </c>
      <c r="H71" s="135">
        <f t="shared" si="3"/>
        <v>97.110000000000014</v>
      </c>
    </row>
    <row r="72" spans="2:8" ht="25.5" x14ac:dyDescent="0.2">
      <c r="B72" s="95"/>
      <c r="C72" s="146">
        <v>89497</v>
      </c>
      <c r="D72" s="71" t="s">
        <v>98</v>
      </c>
      <c r="E72" s="22" t="s">
        <v>76</v>
      </c>
      <c r="F72" s="36">
        <f>10*2</f>
        <v>20</v>
      </c>
      <c r="G72" s="135">
        <v>7.53</v>
      </c>
      <c r="H72" s="135">
        <f t="shared" si="3"/>
        <v>150.6</v>
      </c>
    </row>
    <row r="73" spans="2:8" ht="25.5" x14ac:dyDescent="0.2">
      <c r="B73" s="95"/>
      <c r="C73" s="146">
        <v>89623</v>
      </c>
      <c r="D73" s="71" t="s">
        <v>99</v>
      </c>
      <c r="E73" s="22" t="s">
        <v>76</v>
      </c>
      <c r="F73" s="36">
        <f>6*2</f>
        <v>12</v>
      </c>
      <c r="G73" s="135">
        <v>11.63</v>
      </c>
      <c r="H73" s="135">
        <f t="shared" si="3"/>
        <v>139.56</v>
      </c>
    </row>
    <row r="74" spans="2:8" ht="25.5" x14ac:dyDescent="0.2">
      <c r="B74" s="95"/>
      <c r="C74" s="146">
        <v>89624</v>
      </c>
      <c r="D74" s="71" t="s">
        <v>100</v>
      </c>
      <c r="E74" s="22" t="s">
        <v>76</v>
      </c>
      <c r="F74" s="36">
        <f>4*2</f>
        <v>8</v>
      </c>
      <c r="G74" s="135">
        <v>11.51</v>
      </c>
      <c r="H74" s="135">
        <f t="shared" si="3"/>
        <v>92.08</v>
      </c>
    </row>
    <row r="75" spans="2:8" ht="25.5" x14ac:dyDescent="0.2">
      <c r="B75" s="95"/>
      <c r="C75" s="146">
        <v>89532</v>
      </c>
      <c r="D75" s="71" t="s">
        <v>101</v>
      </c>
      <c r="E75" s="22" t="s">
        <v>76</v>
      </c>
      <c r="F75" s="37">
        <f>4*2</f>
        <v>8</v>
      </c>
      <c r="G75" s="135">
        <v>3.69</v>
      </c>
      <c r="H75" s="135">
        <f t="shared" si="3"/>
        <v>29.52</v>
      </c>
    </row>
    <row r="76" spans="2:8" ht="38.25" x14ac:dyDescent="0.2">
      <c r="B76" s="95"/>
      <c r="C76" s="146">
        <v>86880</v>
      </c>
      <c r="D76" s="71" t="s">
        <v>102</v>
      </c>
      <c r="E76" s="22" t="s">
        <v>76</v>
      </c>
      <c r="F76" s="36">
        <f>13*2</f>
        <v>26</v>
      </c>
      <c r="G76" s="135">
        <v>13.51</v>
      </c>
      <c r="H76" s="135">
        <f t="shared" si="3"/>
        <v>351.26</v>
      </c>
    </row>
    <row r="77" spans="2:8" ht="38.25" x14ac:dyDescent="0.2">
      <c r="B77" s="95"/>
      <c r="C77" s="146" t="s">
        <v>103</v>
      </c>
      <c r="D77" s="71" t="s">
        <v>104</v>
      </c>
      <c r="E77" s="22" t="s">
        <v>76</v>
      </c>
      <c r="F77" s="36">
        <f>15*2</f>
        <v>30</v>
      </c>
      <c r="G77" s="135">
        <f>8.29*1.3</f>
        <v>10.776999999999999</v>
      </c>
      <c r="H77" s="135">
        <f t="shared" si="3"/>
        <v>323.31</v>
      </c>
    </row>
    <row r="78" spans="2:8" ht="25.5" x14ac:dyDescent="0.2">
      <c r="B78" s="95"/>
      <c r="C78" s="146" t="s">
        <v>105</v>
      </c>
      <c r="D78" s="71" t="s">
        <v>106</v>
      </c>
      <c r="E78" s="22" t="s">
        <v>76</v>
      </c>
      <c r="F78" s="36">
        <f>15*2</f>
        <v>30</v>
      </c>
      <c r="G78" s="135">
        <f>1.69*1.3</f>
        <v>2.1970000000000001</v>
      </c>
      <c r="H78" s="135">
        <f t="shared" si="3"/>
        <v>65.91</v>
      </c>
    </row>
    <row r="79" spans="2:8" x14ac:dyDescent="0.2">
      <c r="B79" s="194" t="s">
        <v>170</v>
      </c>
      <c r="C79" s="195"/>
      <c r="D79" s="196" t="s">
        <v>23</v>
      </c>
      <c r="E79" s="197"/>
      <c r="F79" s="197"/>
      <c r="G79" s="136"/>
      <c r="H79" s="136">
        <f>SUM(H80:H101)</f>
        <v>10255.044</v>
      </c>
    </row>
    <row r="80" spans="2:8" ht="30" x14ac:dyDescent="0.2">
      <c r="B80" s="16"/>
      <c r="C80" s="142">
        <v>89491</v>
      </c>
      <c r="D80" s="73" t="s">
        <v>108</v>
      </c>
      <c r="E80" s="31" t="s">
        <v>76</v>
      </c>
      <c r="F80" s="37">
        <f>10*2</f>
        <v>20</v>
      </c>
      <c r="G80" s="135">
        <v>43.5</v>
      </c>
      <c r="H80" s="135">
        <f t="shared" ref="H80:H101" si="4">G80*F80</f>
        <v>870</v>
      </c>
    </row>
    <row r="81" spans="2:8" ht="30" x14ac:dyDescent="0.2">
      <c r="B81" s="16"/>
      <c r="C81" s="142">
        <v>11732</v>
      </c>
      <c r="D81" s="73" t="s">
        <v>109</v>
      </c>
      <c r="E81" s="31" t="s">
        <v>76</v>
      </c>
      <c r="F81" s="37">
        <f>10*2</f>
        <v>20</v>
      </c>
      <c r="G81" s="135">
        <v>20.47</v>
      </c>
      <c r="H81" s="135">
        <f t="shared" si="4"/>
        <v>409.4</v>
      </c>
    </row>
    <row r="82" spans="2:8" ht="30" x14ac:dyDescent="0.2">
      <c r="B82" s="16"/>
      <c r="C82" s="142">
        <v>89724</v>
      </c>
      <c r="D82" s="73" t="s">
        <v>110</v>
      </c>
      <c r="E82" s="31" t="s">
        <v>76</v>
      </c>
      <c r="F82" s="37">
        <f>20*2</f>
        <v>40</v>
      </c>
      <c r="G82" s="135">
        <v>5.17</v>
      </c>
      <c r="H82" s="135">
        <f t="shared" si="4"/>
        <v>206.8</v>
      </c>
    </row>
    <row r="83" spans="2:8" ht="30" x14ac:dyDescent="0.2">
      <c r="B83" s="16"/>
      <c r="C83" s="142">
        <v>89726</v>
      </c>
      <c r="D83" s="73" t="s">
        <v>111</v>
      </c>
      <c r="E83" s="31" t="s">
        <v>76</v>
      </c>
      <c r="F83" s="37">
        <f>20*2</f>
        <v>40</v>
      </c>
      <c r="G83" s="135">
        <v>5.95</v>
      </c>
      <c r="H83" s="135">
        <f t="shared" si="4"/>
        <v>238</v>
      </c>
    </row>
    <row r="84" spans="2:8" ht="30" x14ac:dyDescent="0.2">
      <c r="B84" s="16"/>
      <c r="C84" s="142">
        <v>89724</v>
      </c>
      <c r="D84" s="73" t="s">
        <v>112</v>
      </c>
      <c r="E84" s="31" t="s">
        <v>76</v>
      </c>
      <c r="F84" s="37">
        <f>38*2</f>
        <v>76</v>
      </c>
      <c r="G84" s="135">
        <v>5.17</v>
      </c>
      <c r="H84" s="135">
        <f t="shared" si="4"/>
        <v>392.92</v>
      </c>
    </row>
    <row r="85" spans="2:8" ht="30" x14ac:dyDescent="0.2">
      <c r="B85" s="16"/>
      <c r="C85" s="142">
        <v>89711</v>
      </c>
      <c r="D85" s="73" t="s">
        <v>113</v>
      </c>
      <c r="E85" s="31" t="s">
        <v>51</v>
      </c>
      <c r="F85" s="37">
        <f>30*2</f>
        <v>60</v>
      </c>
      <c r="G85" s="135">
        <v>12.77</v>
      </c>
      <c r="H85" s="135">
        <f t="shared" si="4"/>
        <v>766.19999999999993</v>
      </c>
    </row>
    <row r="86" spans="2:8" ht="30" x14ac:dyDescent="0.2">
      <c r="B86" s="16"/>
      <c r="C86" s="142">
        <v>89774</v>
      </c>
      <c r="D86" s="74" t="s">
        <v>114</v>
      </c>
      <c r="E86" s="22" t="s">
        <v>76</v>
      </c>
      <c r="F86" s="36">
        <f>8*2</f>
        <v>16</v>
      </c>
      <c r="G86" s="135">
        <v>9.06</v>
      </c>
      <c r="H86" s="135">
        <f t="shared" si="4"/>
        <v>144.96</v>
      </c>
    </row>
    <row r="87" spans="2:8" ht="30" x14ac:dyDescent="0.2">
      <c r="B87" s="16"/>
      <c r="C87" s="142">
        <v>89806</v>
      </c>
      <c r="D87" s="73" t="s">
        <v>115</v>
      </c>
      <c r="E87" s="31" t="s">
        <v>76</v>
      </c>
      <c r="F87" s="37">
        <f>8*2</f>
        <v>16</v>
      </c>
      <c r="G87" s="135">
        <v>9.76</v>
      </c>
      <c r="H87" s="135">
        <f t="shared" si="4"/>
        <v>156.16</v>
      </c>
    </row>
    <row r="88" spans="2:8" ht="30" x14ac:dyDescent="0.2">
      <c r="B88" s="16"/>
      <c r="C88" s="142">
        <v>89737</v>
      </c>
      <c r="D88" s="73" t="s">
        <v>116</v>
      </c>
      <c r="E88" s="31" t="s">
        <v>76</v>
      </c>
      <c r="F88" s="37">
        <f>10*2</f>
        <v>20</v>
      </c>
      <c r="G88" s="135">
        <v>12.16</v>
      </c>
      <c r="H88" s="135">
        <f t="shared" si="4"/>
        <v>243.2</v>
      </c>
    </row>
    <row r="89" spans="2:8" ht="15" x14ac:dyDescent="0.2">
      <c r="B89" s="16"/>
      <c r="C89" s="142">
        <v>89799</v>
      </c>
      <c r="D89" s="73" t="s">
        <v>117</v>
      </c>
      <c r="E89" s="31" t="s">
        <v>51</v>
      </c>
      <c r="F89" s="37">
        <f>12*2</f>
        <v>24</v>
      </c>
      <c r="G89" s="135">
        <v>13.15</v>
      </c>
      <c r="H89" s="135">
        <f t="shared" si="4"/>
        <v>315.60000000000002</v>
      </c>
    </row>
    <row r="90" spans="2:8" ht="30" x14ac:dyDescent="0.2">
      <c r="B90" s="16"/>
      <c r="C90" s="142">
        <v>89809</v>
      </c>
      <c r="D90" s="73" t="s">
        <v>118</v>
      </c>
      <c r="E90" s="31" t="s">
        <v>76</v>
      </c>
      <c r="F90" s="37">
        <f>14*2</f>
        <v>28</v>
      </c>
      <c r="G90" s="135">
        <v>12.2</v>
      </c>
      <c r="H90" s="135">
        <f t="shared" si="4"/>
        <v>341.59999999999997</v>
      </c>
    </row>
    <row r="91" spans="2:8" ht="15" x14ac:dyDescent="0.2">
      <c r="B91" s="16"/>
      <c r="C91" s="142">
        <v>89800</v>
      </c>
      <c r="D91" s="73" t="s">
        <v>119</v>
      </c>
      <c r="E91" s="31" t="s">
        <v>51</v>
      </c>
      <c r="F91" s="37">
        <f>30*2</f>
        <v>60</v>
      </c>
      <c r="G91" s="135">
        <v>16.273</v>
      </c>
      <c r="H91" s="135">
        <f t="shared" si="4"/>
        <v>976.38</v>
      </c>
    </row>
    <row r="92" spans="2:8" ht="30" x14ac:dyDescent="0.2">
      <c r="B92" s="16"/>
      <c r="C92" s="142">
        <v>89797</v>
      </c>
      <c r="D92" s="73" t="s">
        <v>120</v>
      </c>
      <c r="E92" s="31" t="s">
        <v>76</v>
      </c>
      <c r="F92" s="37">
        <f>8*2</f>
        <v>16</v>
      </c>
      <c r="G92" s="135">
        <v>30.99</v>
      </c>
      <c r="H92" s="135">
        <f t="shared" si="4"/>
        <v>495.84</v>
      </c>
    </row>
    <row r="93" spans="2:8" ht="30" x14ac:dyDescent="0.2">
      <c r="B93" s="16"/>
      <c r="C93" s="142">
        <v>89797</v>
      </c>
      <c r="D93" s="73" t="s">
        <v>121</v>
      </c>
      <c r="E93" s="31" t="s">
        <v>76</v>
      </c>
      <c r="F93" s="37">
        <f>14*2</f>
        <v>28</v>
      </c>
      <c r="G93" s="135">
        <v>30.99</v>
      </c>
      <c r="H93" s="135">
        <f t="shared" si="4"/>
        <v>867.71999999999991</v>
      </c>
    </row>
    <row r="94" spans="2:8" ht="30" x14ac:dyDescent="0.2">
      <c r="B94" s="16"/>
      <c r="C94" s="142">
        <v>47</v>
      </c>
      <c r="D94" s="74" t="s">
        <v>122</v>
      </c>
      <c r="E94" s="22" t="s">
        <v>76</v>
      </c>
      <c r="F94" s="36">
        <f>5*2</f>
        <v>10</v>
      </c>
      <c r="G94" s="135">
        <v>97.47</v>
      </c>
      <c r="H94" s="135">
        <f t="shared" si="4"/>
        <v>974.7</v>
      </c>
    </row>
    <row r="95" spans="2:8" ht="30" x14ac:dyDescent="0.2">
      <c r="B95" s="16"/>
      <c r="C95" s="142">
        <v>89806</v>
      </c>
      <c r="D95" s="74" t="s">
        <v>123</v>
      </c>
      <c r="E95" s="22" t="s">
        <v>76</v>
      </c>
      <c r="F95" s="36">
        <f>10*2</f>
        <v>20</v>
      </c>
      <c r="G95" s="135">
        <v>9.76</v>
      </c>
      <c r="H95" s="135">
        <f t="shared" si="4"/>
        <v>195.2</v>
      </c>
    </row>
    <row r="96" spans="2:8" ht="30" x14ac:dyDescent="0.2">
      <c r="B96" s="16"/>
      <c r="C96" s="142">
        <v>89810</v>
      </c>
      <c r="D96" s="73" t="s">
        <v>124</v>
      </c>
      <c r="E96" s="31" t="s">
        <v>76</v>
      </c>
      <c r="F96" s="37">
        <f>8*2</f>
        <v>16</v>
      </c>
      <c r="G96" s="135">
        <v>12.27</v>
      </c>
      <c r="H96" s="135">
        <f t="shared" si="4"/>
        <v>196.32</v>
      </c>
    </row>
    <row r="97" spans="2:8" ht="30" x14ac:dyDescent="0.2">
      <c r="B97" s="16"/>
      <c r="C97" s="142">
        <v>89796</v>
      </c>
      <c r="D97" s="74" t="s">
        <v>125</v>
      </c>
      <c r="E97" s="22" t="s">
        <v>76</v>
      </c>
      <c r="F97" s="36">
        <f>8*2</f>
        <v>16</v>
      </c>
      <c r="G97" s="135">
        <v>26.4</v>
      </c>
      <c r="H97" s="135">
        <f t="shared" si="4"/>
        <v>422.4</v>
      </c>
    </row>
    <row r="98" spans="2:8" ht="30" x14ac:dyDescent="0.2">
      <c r="B98" s="16"/>
      <c r="C98" s="142">
        <v>89799</v>
      </c>
      <c r="D98" s="73" t="s">
        <v>126</v>
      </c>
      <c r="E98" s="31" t="s">
        <v>51</v>
      </c>
      <c r="F98" s="37">
        <f>36*2</f>
        <v>72</v>
      </c>
      <c r="G98" s="135">
        <v>13.15</v>
      </c>
      <c r="H98" s="135">
        <f t="shared" si="4"/>
        <v>946.80000000000007</v>
      </c>
    </row>
    <row r="99" spans="2:8" ht="30" x14ac:dyDescent="0.2">
      <c r="B99" s="16"/>
      <c r="C99" s="142">
        <v>43</v>
      </c>
      <c r="D99" s="74" t="s">
        <v>127</v>
      </c>
      <c r="E99" s="22" t="s">
        <v>76</v>
      </c>
      <c r="F99" s="36">
        <f>6*2</f>
        <v>12</v>
      </c>
      <c r="G99" s="135">
        <v>49.97</v>
      </c>
      <c r="H99" s="135">
        <f t="shared" si="4"/>
        <v>599.64</v>
      </c>
    </row>
    <row r="100" spans="2:8" ht="30" x14ac:dyDescent="0.2">
      <c r="B100" s="16"/>
      <c r="C100" s="142">
        <v>89778</v>
      </c>
      <c r="D100" s="73" t="s">
        <v>128</v>
      </c>
      <c r="E100" s="31" t="s">
        <v>76</v>
      </c>
      <c r="F100" s="37">
        <f>15*2</f>
        <v>30</v>
      </c>
      <c r="G100" s="135">
        <v>11.39</v>
      </c>
      <c r="H100" s="135">
        <f t="shared" si="4"/>
        <v>341.70000000000005</v>
      </c>
    </row>
    <row r="101" spans="2:8" ht="30" x14ac:dyDescent="0.2">
      <c r="B101" s="16"/>
      <c r="C101" s="142" t="s">
        <v>129</v>
      </c>
      <c r="D101" s="73" t="s">
        <v>130</v>
      </c>
      <c r="E101" s="31" t="s">
        <v>76</v>
      </c>
      <c r="F101" s="37">
        <f>12*2</f>
        <v>24</v>
      </c>
      <c r="G101" s="135">
        <f>4.92*1.3</f>
        <v>6.3959999999999999</v>
      </c>
      <c r="H101" s="135">
        <f t="shared" si="4"/>
        <v>153.50399999999999</v>
      </c>
    </row>
    <row r="102" spans="2:8" x14ac:dyDescent="0.2">
      <c r="B102" s="199" t="s">
        <v>26</v>
      </c>
      <c r="C102" s="200"/>
      <c r="D102" s="201" t="s">
        <v>10</v>
      </c>
      <c r="E102" s="202"/>
      <c r="F102" s="202"/>
      <c r="G102" s="188"/>
      <c r="H102" s="189">
        <f>SUM(H103:H110)</f>
        <v>7527.7800000000007</v>
      </c>
    </row>
    <row r="103" spans="2:8" ht="51" x14ac:dyDescent="0.2">
      <c r="B103" s="18"/>
      <c r="C103" s="148" t="s">
        <v>194</v>
      </c>
      <c r="D103" s="75" t="s">
        <v>193</v>
      </c>
      <c r="E103" s="31" t="s">
        <v>43</v>
      </c>
      <c r="F103" s="31">
        <v>30</v>
      </c>
      <c r="G103" s="135">
        <f>123.72+(11.63*0.8)</f>
        <v>133.024</v>
      </c>
      <c r="H103" s="135">
        <f t="shared" ref="H103:H110" si="5">G103*F103</f>
        <v>3990.7200000000003</v>
      </c>
    </row>
    <row r="104" spans="2:8" ht="38.25" x14ac:dyDescent="0.2">
      <c r="B104" s="25"/>
      <c r="C104" s="148" t="s">
        <v>180</v>
      </c>
      <c r="D104" s="75" t="s">
        <v>131</v>
      </c>
      <c r="E104" s="31" t="s">
        <v>43</v>
      </c>
      <c r="F104" s="31">
        <v>10</v>
      </c>
      <c r="G104" s="135">
        <f>24.2*1.3</f>
        <v>31.46</v>
      </c>
      <c r="H104" s="135">
        <f t="shared" si="5"/>
        <v>314.60000000000002</v>
      </c>
    </row>
    <row r="105" spans="2:8" ht="51" x14ac:dyDescent="0.2">
      <c r="B105" s="25"/>
      <c r="C105" s="148">
        <v>7528</v>
      </c>
      <c r="D105" s="75" t="s">
        <v>132</v>
      </c>
      <c r="E105" s="31" t="s">
        <v>43</v>
      </c>
      <c r="F105" s="31">
        <v>10</v>
      </c>
      <c r="G105" s="135">
        <f>7.75</f>
        <v>7.75</v>
      </c>
      <c r="H105" s="135">
        <f t="shared" si="5"/>
        <v>77.5</v>
      </c>
    </row>
    <row r="106" spans="2:8" ht="38.25" x14ac:dyDescent="0.2">
      <c r="B106" s="25"/>
      <c r="C106" s="142">
        <v>91926</v>
      </c>
      <c r="D106" s="75" t="s">
        <v>133</v>
      </c>
      <c r="E106" s="31" t="s">
        <v>51</v>
      </c>
      <c r="F106" s="31">
        <v>200</v>
      </c>
      <c r="G106" s="135">
        <v>2.68</v>
      </c>
      <c r="H106" s="135">
        <f t="shared" si="5"/>
        <v>536</v>
      </c>
    </row>
    <row r="107" spans="2:8" ht="38.25" x14ac:dyDescent="0.2">
      <c r="B107" s="25"/>
      <c r="C107" s="142">
        <v>91926</v>
      </c>
      <c r="D107" s="75" t="s">
        <v>134</v>
      </c>
      <c r="E107" s="31" t="s">
        <v>51</v>
      </c>
      <c r="F107" s="31">
        <v>200</v>
      </c>
      <c r="G107" s="135">
        <v>2.68</v>
      </c>
      <c r="H107" s="135">
        <f t="shared" si="5"/>
        <v>536</v>
      </c>
    </row>
    <row r="108" spans="2:8" ht="38.25" x14ac:dyDescent="0.2">
      <c r="B108" s="25"/>
      <c r="C108" s="142">
        <v>91926</v>
      </c>
      <c r="D108" s="75" t="s">
        <v>135</v>
      </c>
      <c r="E108" s="31" t="s">
        <v>51</v>
      </c>
      <c r="F108" s="31">
        <v>200</v>
      </c>
      <c r="G108" s="135">
        <v>2.68</v>
      </c>
      <c r="H108" s="135">
        <f t="shared" si="5"/>
        <v>536</v>
      </c>
    </row>
    <row r="109" spans="2:8" ht="25.5" x14ac:dyDescent="0.2">
      <c r="B109" s="25"/>
      <c r="C109" s="142">
        <v>91862</v>
      </c>
      <c r="D109" s="75" t="s">
        <v>136</v>
      </c>
      <c r="E109" s="31" t="s">
        <v>51</v>
      </c>
      <c r="F109" s="31">
        <v>300</v>
      </c>
      <c r="G109" s="135">
        <v>3.74</v>
      </c>
      <c r="H109" s="135">
        <f t="shared" si="5"/>
        <v>1122</v>
      </c>
    </row>
    <row r="110" spans="2:8" ht="25.5" x14ac:dyDescent="0.2">
      <c r="B110" s="25"/>
      <c r="C110" s="148" t="s">
        <v>181</v>
      </c>
      <c r="D110" s="75" t="s">
        <v>137</v>
      </c>
      <c r="E110" s="31" t="s">
        <v>76</v>
      </c>
      <c r="F110" s="31">
        <v>24</v>
      </c>
      <c r="G110" s="135">
        <f>14.97+2.32</f>
        <v>17.29</v>
      </c>
      <c r="H110" s="135">
        <f t="shared" si="5"/>
        <v>414.96</v>
      </c>
    </row>
    <row r="111" spans="2:8" x14ac:dyDescent="0.2">
      <c r="B111" s="199" t="s">
        <v>27</v>
      </c>
      <c r="C111" s="200"/>
      <c r="D111" s="201" t="s">
        <v>1</v>
      </c>
      <c r="E111" s="202"/>
      <c r="F111" s="202"/>
      <c r="G111" s="188"/>
      <c r="H111" s="189">
        <f>H112</f>
        <v>191.68379999999999</v>
      </c>
    </row>
    <row r="112" spans="2:8" x14ac:dyDescent="0.2">
      <c r="B112" s="38" t="s">
        <v>171</v>
      </c>
      <c r="C112" s="143">
        <v>9537</v>
      </c>
      <c r="D112" s="28" t="s">
        <v>138</v>
      </c>
      <c r="E112" s="29" t="s">
        <v>49</v>
      </c>
      <c r="F112" s="23">
        <v>101.42</v>
      </c>
      <c r="G112" s="135">
        <v>1.89</v>
      </c>
      <c r="H112" s="135">
        <f>G112*F112</f>
        <v>191.68379999999999</v>
      </c>
    </row>
    <row r="113" spans="2:8" x14ac:dyDescent="0.2">
      <c r="B113" s="199" t="s">
        <v>28</v>
      </c>
      <c r="C113" s="200"/>
      <c r="D113" s="285" t="s">
        <v>11</v>
      </c>
      <c r="E113" s="286"/>
      <c r="F113" s="286"/>
      <c r="G113" s="188"/>
      <c r="H113" s="189">
        <f>H111+H102+H49+H25+H12+H9</f>
        <v>152981.14571400001</v>
      </c>
    </row>
    <row r="114" spans="2:8" ht="13.5" thickBot="1" x14ac:dyDescent="0.25">
      <c r="B114" s="203" t="s">
        <v>172</v>
      </c>
      <c r="C114" s="204"/>
      <c r="D114" s="287" t="s">
        <v>12</v>
      </c>
      <c r="E114" s="288"/>
      <c r="F114" s="289"/>
      <c r="G114" s="205">
        <f>BDI!E11</f>
        <v>0.37218831812106812</v>
      </c>
      <c r="H114" s="198">
        <f>H113*(G114+1)</f>
        <v>209918.94104152772</v>
      </c>
    </row>
  </sheetData>
  <mergeCells count="12">
    <mergeCell ref="D113:F113"/>
    <mergeCell ref="D114:F114"/>
    <mergeCell ref="B7:B8"/>
    <mergeCell ref="C7:C8"/>
    <mergeCell ref="D7:D8"/>
    <mergeCell ref="E7:E8"/>
    <mergeCell ref="F7:F8"/>
    <mergeCell ref="G7:H7"/>
    <mergeCell ref="B4:E4"/>
    <mergeCell ref="B5:E5"/>
    <mergeCell ref="B6:E6"/>
    <mergeCell ref="B3:H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4:P42"/>
  <sheetViews>
    <sheetView workbookViewId="0">
      <selection activeCell="L42" sqref="C5:L42"/>
    </sheetView>
  </sheetViews>
  <sheetFormatPr defaultRowHeight="12.75" x14ac:dyDescent="0.2"/>
  <cols>
    <col min="4" max="4" width="9.140625" style="250"/>
    <col min="7" max="7" width="26.42578125" customWidth="1"/>
  </cols>
  <sheetData>
    <row r="4" spans="4:14" ht="13.5" thickBot="1" x14ac:dyDescent="0.25"/>
    <row r="5" spans="4:14" x14ac:dyDescent="0.2">
      <c r="D5" s="251"/>
      <c r="E5" s="214"/>
      <c r="F5" s="214"/>
      <c r="G5" s="214"/>
      <c r="H5" s="214"/>
      <c r="I5" s="214"/>
      <c r="J5" s="214"/>
      <c r="K5" s="215"/>
    </row>
    <row r="6" spans="4:14" x14ac:dyDescent="0.2">
      <c r="D6" s="252"/>
      <c r="E6" s="216"/>
      <c r="F6" s="216"/>
      <c r="G6" s="216"/>
      <c r="H6" s="216"/>
      <c r="I6" s="216"/>
      <c r="J6" s="216"/>
      <c r="K6" s="217"/>
    </row>
    <row r="7" spans="4:14" x14ac:dyDescent="0.2">
      <c r="D7" s="252"/>
      <c r="E7" s="216"/>
      <c r="F7" s="216"/>
      <c r="G7" s="216"/>
      <c r="H7" s="216"/>
      <c r="I7" s="216"/>
      <c r="J7" s="216"/>
      <c r="K7" s="217"/>
    </row>
    <row r="8" spans="4:14" x14ac:dyDescent="0.2">
      <c r="D8" s="252"/>
      <c r="E8" s="216"/>
      <c r="F8" s="216"/>
      <c r="G8" s="216"/>
      <c r="H8" s="216"/>
      <c r="I8" s="216"/>
      <c r="J8" s="216"/>
      <c r="K8" s="217"/>
    </row>
    <row r="9" spans="4:14" x14ac:dyDescent="0.2">
      <c r="D9" s="252"/>
      <c r="E9" s="216"/>
      <c r="F9" s="216"/>
      <c r="G9" s="216"/>
      <c r="H9" s="216"/>
      <c r="I9" s="216"/>
      <c r="J9" s="216"/>
      <c r="K9" s="217"/>
    </row>
    <row r="10" spans="4:14" ht="13.5" thickBot="1" x14ac:dyDescent="0.25">
      <c r="D10" s="253"/>
      <c r="E10" s="218"/>
      <c r="F10" s="218"/>
      <c r="G10" s="218"/>
      <c r="H10" s="218"/>
      <c r="I10" s="218"/>
      <c r="J10" s="218"/>
      <c r="K10" s="219"/>
      <c r="M10" s="220"/>
      <c r="N10" s="220"/>
    </row>
    <row r="11" spans="4:14" ht="15.75" thickBot="1" x14ac:dyDescent="0.3">
      <c r="D11" s="254" t="s">
        <v>196</v>
      </c>
      <c r="E11" s="221">
        <f>(((((1+E13/100)*(1+E14/100)*(1+E15/100)*(1+E16/100))/(1-(E17/100))-1)*100))/100</f>
        <v>0.37218831812106812</v>
      </c>
      <c r="F11" s="222"/>
      <c r="G11" s="222"/>
      <c r="H11" s="222"/>
      <c r="I11" s="222"/>
      <c r="J11" s="222"/>
      <c r="K11" s="223"/>
      <c r="M11" s="220"/>
      <c r="N11" s="220"/>
    </row>
    <row r="12" spans="4:14" x14ac:dyDescent="0.2">
      <c r="D12" s="251" t="s">
        <v>197</v>
      </c>
      <c r="E12" s="214"/>
      <c r="F12" s="214"/>
      <c r="G12" s="214"/>
      <c r="H12" s="214"/>
      <c r="I12" s="214"/>
      <c r="J12" s="214"/>
      <c r="K12" s="215"/>
      <c r="M12" s="224"/>
      <c r="N12" s="220"/>
    </row>
    <row r="13" spans="4:14" ht="15" x14ac:dyDescent="0.2">
      <c r="D13" s="225" t="s">
        <v>198</v>
      </c>
      <c r="E13" s="226">
        <v>5</v>
      </c>
      <c r="F13" s="216" t="s">
        <v>199</v>
      </c>
      <c r="G13" s="216"/>
      <c r="H13" s="216"/>
      <c r="I13" s="216"/>
      <c r="J13" s="216"/>
      <c r="K13" s="217"/>
      <c r="M13" s="224"/>
      <c r="N13" s="220"/>
    </row>
    <row r="14" spans="4:14" ht="15" x14ac:dyDescent="0.2">
      <c r="D14" s="225" t="s">
        <v>200</v>
      </c>
      <c r="E14" s="226">
        <v>1.23</v>
      </c>
      <c r="F14" s="216" t="s">
        <v>201</v>
      </c>
      <c r="G14" s="216"/>
      <c r="H14" s="216"/>
      <c r="I14" s="216"/>
      <c r="J14" s="216"/>
      <c r="K14" s="217"/>
      <c r="M14" s="224"/>
      <c r="N14" s="220"/>
    </row>
    <row r="15" spans="4:14" ht="15" x14ac:dyDescent="0.2">
      <c r="D15" s="225" t="s">
        <v>202</v>
      </c>
      <c r="E15" s="226">
        <v>1.27</v>
      </c>
      <c r="F15" s="216" t="s">
        <v>203</v>
      </c>
      <c r="G15" s="216"/>
      <c r="H15" s="216"/>
      <c r="I15" s="216"/>
      <c r="J15" s="216"/>
      <c r="K15" s="217"/>
      <c r="M15" s="224"/>
      <c r="N15" s="220"/>
    </row>
    <row r="16" spans="4:14" ht="15" x14ac:dyDescent="0.2">
      <c r="D16" s="225" t="s">
        <v>204</v>
      </c>
      <c r="E16" s="226">
        <v>7.4</v>
      </c>
      <c r="F16" s="216" t="s">
        <v>205</v>
      </c>
      <c r="G16" s="216"/>
      <c r="H16" s="216"/>
      <c r="I16" s="216"/>
      <c r="J16" s="216"/>
      <c r="K16" s="217"/>
      <c r="M16" s="224"/>
      <c r="N16" s="227"/>
    </row>
    <row r="17" spans="4:16" ht="15.75" thickBot="1" x14ac:dyDescent="0.25">
      <c r="D17" s="228" t="s">
        <v>206</v>
      </c>
      <c r="E17" s="229">
        <v>15.75</v>
      </c>
      <c r="F17" s="218" t="s">
        <v>207</v>
      </c>
      <c r="G17" s="218"/>
      <c r="H17" s="218"/>
      <c r="I17" s="218"/>
      <c r="J17" s="218"/>
      <c r="K17" s="219"/>
      <c r="M17" s="227"/>
      <c r="N17" s="227"/>
    </row>
    <row r="18" spans="4:16" x14ac:dyDescent="0.2">
      <c r="M18" s="220"/>
      <c r="N18" s="220"/>
    </row>
    <row r="21" spans="4:16" ht="15.75" x14ac:dyDescent="0.2">
      <c r="D21" s="255" t="s">
        <v>208</v>
      </c>
      <c r="E21" s="296" t="s">
        <v>209</v>
      </c>
      <c r="F21" s="296"/>
      <c r="G21" s="297"/>
      <c r="H21" s="230"/>
      <c r="I21" s="231"/>
      <c r="J21" s="232"/>
      <c r="K21" s="232"/>
      <c r="L21" s="232"/>
      <c r="M21" s="232"/>
      <c r="N21" s="232"/>
      <c r="O21" s="232"/>
      <c r="P21" s="232"/>
    </row>
    <row r="22" spans="4:16" ht="15" x14ac:dyDescent="0.25">
      <c r="D22" s="256"/>
      <c r="E22" s="233"/>
      <c r="F22" s="233"/>
      <c r="G22" s="234"/>
      <c r="H22" s="235"/>
      <c r="I22" s="235"/>
      <c r="J22" s="232"/>
      <c r="K22" s="232"/>
      <c r="L22" s="232"/>
      <c r="M22" s="232"/>
      <c r="N22" s="232"/>
      <c r="O22" s="232"/>
      <c r="P22" s="232"/>
    </row>
    <row r="23" spans="4:16" ht="15" x14ac:dyDescent="0.25">
      <c r="D23" s="298" t="s">
        <v>210</v>
      </c>
      <c r="E23" s="299"/>
      <c r="F23" s="299" t="s">
        <v>211</v>
      </c>
      <c r="G23" s="300"/>
      <c r="H23" s="235"/>
      <c r="I23" s="235"/>
      <c r="J23" s="232"/>
      <c r="K23" s="232"/>
      <c r="L23" s="232"/>
      <c r="M23" s="232"/>
      <c r="N23" s="232"/>
      <c r="O23" s="232"/>
      <c r="P23" s="232"/>
    </row>
    <row r="24" spans="4:16" ht="15" x14ac:dyDescent="0.2">
      <c r="D24" s="236" t="s">
        <v>212</v>
      </c>
      <c r="E24" s="236"/>
      <c r="F24" s="236" t="s">
        <v>213</v>
      </c>
      <c r="G24" s="236"/>
      <c r="H24" s="237"/>
      <c r="I24" s="238"/>
      <c r="J24" s="232"/>
      <c r="K24" s="232"/>
      <c r="L24" s="232"/>
      <c r="M24" s="232"/>
      <c r="N24" s="232"/>
      <c r="O24" s="232"/>
      <c r="P24" s="232"/>
    </row>
    <row r="25" spans="4:16" ht="15" x14ac:dyDescent="0.2">
      <c r="D25" s="257"/>
      <c r="E25" s="239">
        <v>1</v>
      </c>
      <c r="F25" s="240" t="s">
        <v>214</v>
      </c>
      <c r="G25" s="241">
        <v>0.04</v>
      </c>
      <c r="H25" s="242">
        <v>0.04</v>
      </c>
      <c r="I25" s="258"/>
      <c r="J25" s="258"/>
      <c r="K25" s="258"/>
      <c r="L25" s="232"/>
      <c r="M25" s="232"/>
      <c r="N25" s="232"/>
      <c r="O25" s="232"/>
      <c r="P25" s="232"/>
    </row>
    <row r="26" spans="4:16" ht="15" x14ac:dyDescent="0.2">
      <c r="D26" s="257"/>
      <c r="E26" s="239">
        <v>2</v>
      </c>
      <c r="F26" s="240" t="s">
        <v>215</v>
      </c>
      <c r="G26" s="241">
        <v>0.01</v>
      </c>
      <c r="H26" s="242">
        <v>0.01</v>
      </c>
      <c r="I26" s="258"/>
      <c r="J26" s="258"/>
      <c r="K26" s="258"/>
      <c r="L26" s="232"/>
      <c r="M26" s="232"/>
      <c r="N26" s="232"/>
      <c r="O26" s="232"/>
      <c r="P26" s="232"/>
    </row>
    <row r="27" spans="4:16" ht="15" x14ac:dyDescent="0.2">
      <c r="D27" s="257"/>
      <c r="E27" s="239">
        <v>3</v>
      </c>
      <c r="F27" s="240" t="s">
        <v>216</v>
      </c>
      <c r="G27" s="241">
        <v>1.2699999999999999E-2</v>
      </c>
      <c r="H27" s="242">
        <v>1.273E-2</v>
      </c>
      <c r="I27" s="258"/>
      <c r="J27" s="258"/>
      <c r="K27" s="258"/>
      <c r="L27" s="232"/>
      <c r="M27" s="232"/>
      <c r="N27" s="232"/>
      <c r="O27" s="232"/>
      <c r="P27" s="232"/>
    </row>
    <row r="28" spans="4:16" ht="15" x14ac:dyDescent="0.2">
      <c r="D28" s="257"/>
      <c r="E28" s="239">
        <v>4</v>
      </c>
      <c r="F28" s="240" t="s">
        <v>217</v>
      </c>
      <c r="G28" s="241">
        <v>1.23E-2</v>
      </c>
      <c r="H28" s="242">
        <v>1.23E-2</v>
      </c>
      <c r="I28" s="258"/>
      <c r="J28" s="258"/>
      <c r="K28" s="258"/>
      <c r="L28" s="232"/>
      <c r="M28" s="232"/>
      <c r="N28" s="232"/>
      <c r="O28" s="232"/>
      <c r="P28" s="232"/>
    </row>
    <row r="29" spans="4:16" ht="15" x14ac:dyDescent="0.2">
      <c r="D29" s="243"/>
      <c r="E29" s="244"/>
      <c r="F29" s="244"/>
      <c r="G29" s="248">
        <f>SUM(G25:G28)</f>
        <v>7.5000000000000011E-2</v>
      </c>
      <c r="H29" s="237"/>
      <c r="I29" s="238"/>
      <c r="J29" s="232"/>
      <c r="K29" s="232"/>
      <c r="L29" s="232"/>
      <c r="M29" s="232"/>
      <c r="N29" s="232"/>
      <c r="O29" s="232"/>
      <c r="P29" s="232"/>
    </row>
    <row r="30" spans="4:16" ht="15" x14ac:dyDescent="0.25">
      <c r="D30" s="256"/>
      <c r="E30" s="233"/>
      <c r="F30" s="233"/>
      <c r="G30" s="234"/>
      <c r="H30" s="235"/>
      <c r="I30" s="235"/>
      <c r="J30" s="232"/>
      <c r="K30" s="232"/>
      <c r="L30" s="232"/>
      <c r="M30" s="232"/>
      <c r="N30" s="232"/>
      <c r="O30" s="232"/>
      <c r="P30" s="232"/>
    </row>
    <row r="31" spans="4:16" ht="15" x14ac:dyDescent="0.25">
      <c r="D31" s="236" t="s">
        <v>218</v>
      </c>
      <c r="E31" s="236"/>
      <c r="F31" s="236" t="s">
        <v>219</v>
      </c>
      <c r="G31" s="236"/>
      <c r="H31" s="235"/>
      <c r="I31" s="235"/>
      <c r="J31" s="232"/>
      <c r="K31" s="232"/>
      <c r="L31" s="232"/>
      <c r="M31" s="232"/>
      <c r="N31" s="232"/>
      <c r="O31" s="232"/>
      <c r="P31" s="232"/>
    </row>
    <row r="32" spans="4:16" ht="15" x14ac:dyDescent="0.2">
      <c r="D32" s="257"/>
      <c r="E32" s="239">
        <v>1</v>
      </c>
      <c r="F32" s="240" t="s">
        <v>220</v>
      </c>
      <c r="G32" s="241">
        <v>7.5999999999999998E-2</v>
      </c>
      <c r="H32" s="242">
        <v>0.03</v>
      </c>
      <c r="I32" s="246"/>
      <c r="J32" s="246"/>
      <c r="K32" s="246"/>
      <c r="L32" s="246"/>
      <c r="M32" s="246"/>
      <c r="N32" s="246"/>
      <c r="O32" s="246"/>
      <c r="P32" s="246"/>
    </row>
    <row r="33" spans="4:16" ht="15" x14ac:dyDescent="0.2">
      <c r="D33" s="257"/>
      <c r="E33" s="239">
        <v>2</v>
      </c>
      <c r="F33" s="240" t="s">
        <v>221</v>
      </c>
      <c r="G33" s="241">
        <v>1.6500000000000001E-2</v>
      </c>
      <c r="H33" s="242">
        <v>6.4999999999999997E-3</v>
      </c>
      <c r="I33" s="246"/>
      <c r="J33" s="246"/>
      <c r="K33" s="246"/>
      <c r="L33" s="246"/>
      <c r="M33" s="246"/>
      <c r="N33" s="246"/>
      <c r="O33" s="246"/>
      <c r="P33" s="246"/>
    </row>
    <row r="34" spans="4:16" ht="15" x14ac:dyDescent="0.2">
      <c r="D34" s="257"/>
      <c r="E34" s="239">
        <v>3</v>
      </c>
      <c r="F34" s="240" t="s">
        <v>222</v>
      </c>
      <c r="G34" s="245">
        <v>0.02</v>
      </c>
      <c r="H34" s="242">
        <v>0.02</v>
      </c>
      <c r="I34" s="246"/>
      <c r="J34" s="246"/>
      <c r="K34" s="246"/>
      <c r="L34" s="246"/>
      <c r="M34" s="246"/>
      <c r="N34" s="246"/>
      <c r="O34" s="246"/>
      <c r="P34" s="246"/>
    </row>
    <row r="35" spans="4:16" ht="15" x14ac:dyDescent="0.2">
      <c r="D35" s="257"/>
      <c r="E35" s="239">
        <v>4</v>
      </c>
      <c r="F35" s="240" t="s">
        <v>223</v>
      </c>
      <c r="G35" s="245">
        <v>4.4999999999999998E-2</v>
      </c>
      <c r="H35" s="242">
        <v>4.4999999999999998E-2</v>
      </c>
      <c r="I35" s="246" t="s">
        <v>224</v>
      </c>
      <c r="J35" s="232"/>
      <c r="K35" s="232"/>
      <c r="L35" s="232"/>
      <c r="M35" s="232"/>
      <c r="N35" s="232"/>
      <c r="O35" s="232"/>
      <c r="P35" s="232"/>
    </row>
    <row r="36" spans="4:16" ht="15" x14ac:dyDescent="0.25">
      <c r="D36" s="256"/>
      <c r="E36" s="233"/>
      <c r="F36" s="233"/>
      <c r="G36" s="234"/>
      <c r="H36" s="235"/>
      <c r="I36" s="235"/>
      <c r="J36" s="235"/>
      <c r="K36" s="235"/>
      <c r="L36" s="235"/>
      <c r="M36" s="232"/>
      <c r="N36" s="232"/>
      <c r="O36" s="232"/>
      <c r="P36" s="232"/>
    </row>
    <row r="37" spans="4:16" ht="15" x14ac:dyDescent="0.25">
      <c r="D37" s="236" t="s">
        <v>225</v>
      </c>
      <c r="E37" s="236"/>
      <c r="F37" s="236" t="s">
        <v>226</v>
      </c>
      <c r="G37" s="247">
        <f>SUM(G32:G35)</f>
        <v>0.1575</v>
      </c>
      <c r="H37" s="235"/>
      <c r="I37" s="235"/>
      <c r="J37" s="235"/>
      <c r="K37" s="235"/>
      <c r="L37" s="235"/>
      <c r="M37" s="232"/>
      <c r="N37" s="232"/>
      <c r="O37" s="232"/>
      <c r="P37" s="232"/>
    </row>
    <row r="38" spans="4:16" ht="15" x14ac:dyDescent="0.2">
      <c r="D38" s="257"/>
      <c r="E38" s="239">
        <v>1</v>
      </c>
      <c r="F38" s="240" t="s">
        <v>227</v>
      </c>
      <c r="G38" s="241">
        <v>7.3999999999999996E-2</v>
      </c>
      <c r="H38" s="242">
        <v>7.3999999999999996E-2</v>
      </c>
      <c r="I38" s="301"/>
      <c r="J38" s="301"/>
      <c r="K38" s="301"/>
      <c r="L38" s="301"/>
      <c r="M38" s="232"/>
      <c r="N38" s="232"/>
      <c r="O38" s="232"/>
      <c r="P38" s="232"/>
    </row>
    <row r="39" spans="4:16" ht="15" x14ac:dyDescent="0.25">
      <c r="D39" s="257"/>
      <c r="E39" s="239">
        <v>2</v>
      </c>
      <c r="F39" s="240"/>
      <c r="G39" s="241"/>
      <c r="H39" s="242"/>
      <c r="I39" s="235"/>
      <c r="J39" s="235"/>
      <c r="K39" s="235"/>
      <c r="L39" s="235"/>
      <c r="M39" s="232"/>
      <c r="N39" s="232"/>
      <c r="O39" s="232"/>
      <c r="P39" s="232"/>
    </row>
    <row r="40" spans="4:16" ht="15" x14ac:dyDescent="0.25">
      <c r="D40" s="257"/>
      <c r="E40" s="239">
        <v>3</v>
      </c>
      <c r="F40" s="240"/>
      <c r="G40" s="241"/>
      <c r="H40" s="242"/>
      <c r="I40" s="235"/>
      <c r="J40" s="235"/>
      <c r="K40" s="235"/>
      <c r="L40" s="235"/>
      <c r="M40" s="232"/>
      <c r="N40" s="232"/>
      <c r="O40" s="232"/>
      <c r="P40" s="232"/>
    </row>
    <row r="41" spans="4:16" ht="15" x14ac:dyDescent="0.25">
      <c r="D41" s="257"/>
      <c r="E41" s="239">
        <v>4</v>
      </c>
      <c r="F41" s="240"/>
      <c r="G41" s="241"/>
      <c r="H41" s="242"/>
      <c r="I41" s="235"/>
      <c r="J41" s="235"/>
      <c r="K41" s="235"/>
      <c r="L41" s="235"/>
      <c r="M41" s="232"/>
      <c r="N41" s="232"/>
      <c r="O41" s="232"/>
      <c r="P41" s="232"/>
    </row>
    <row r="42" spans="4:16" ht="15" x14ac:dyDescent="0.25">
      <c r="D42" s="243"/>
      <c r="E42" s="244"/>
      <c r="F42" s="244"/>
      <c r="G42" s="248">
        <f>G38</f>
        <v>7.3999999999999996E-2</v>
      </c>
      <c r="H42" s="235"/>
      <c r="I42" s="235"/>
      <c r="J42" s="235"/>
      <c r="K42" s="235"/>
      <c r="L42" s="249"/>
      <c r="M42" s="232"/>
      <c r="N42" s="232"/>
      <c r="O42" s="232"/>
      <c r="P42" s="232"/>
    </row>
  </sheetData>
  <mergeCells count="4">
    <mergeCell ref="E21:G21"/>
    <mergeCell ref="D23:E23"/>
    <mergeCell ref="F23:G23"/>
    <mergeCell ref="I38:L38"/>
  </mergeCells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FISICO-FINANCEIRO</vt:lpstr>
      <vt:lpstr>RESUMO</vt:lpstr>
      <vt:lpstr>BDI</vt:lpstr>
      <vt:lpstr>'FISICO-FINANCEIRO'!Area_de_impressao</vt:lpstr>
      <vt:lpstr>'FISICO-FINANCEIRO'!Titulos_de_impressao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Mariana Martino Caldeira</dc:creator>
  <cp:lastModifiedBy>clau.ferreira</cp:lastModifiedBy>
  <cp:lastPrinted>2012-07-12T19:23:56Z</cp:lastPrinted>
  <dcterms:created xsi:type="dcterms:W3CDTF">2002-08-23T21:12:51Z</dcterms:created>
  <dcterms:modified xsi:type="dcterms:W3CDTF">2016-08-10T18:53:24Z</dcterms:modified>
</cp:coreProperties>
</file>