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505" documentId="8_{D1A004EB-1EFA-429F-9CA5-AFD2AC981CAD}" xr6:coauthVersionLast="47" xr6:coauthVersionMax="47" xr10:uidLastSave="{DB5BDE48-CB74-4A0A-AB8E-F8D22E8016D3}"/>
  <bookViews>
    <workbookView xWindow="28680" yWindow="-120" windowWidth="29040" windowHeight="15840" xr2:uid="{713F41FB-D7B0-4304-86CA-E32D7D19D30C}"/>
  </bookViews>
  <sheets>
    <sheet name="Areas (m²)-Preencher" sheetId="3" r:id="rId1"/>
    <sheet name="Parâmetros" sheetId="4" state="hidden" r:id="rId2"/>
  </sheets>
  <definedNames>
    <definedName name="_xlnm.Print_Titles" localSheetId="0">'Areas (m²)-Preencher'!$2:$2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5" i="3" l="1"/>
  <c r="E144" i="3"/>
  <c r="J170" i="3" l="1"/>
  <c r="J163" i="3"/>
  <c r="J165" i="3" l="1"/>
  <c r="J164" i="3"/>
  <c r="J167" i="3"/>
  <c r="J168" i="3"/>
  <c r="J169" i="3"/>
  <c r="J171" i="3"/>
  <c r="I96" i="3" l="1"/>
  <c r="I95" i="3"/>
  <c r="D96" i="3"/>
  <c r="D97" i="3"/>
  <c r="J97" i="3" s="1"/>
  <c r="K97" i="3" s="1"/>
  <c r="M97" i="3" s="1"/>
  <c r="J96" i="3" l="1"/>
  <c r="K96" i="3" s="1"/>
  <c r="E143" i="3" s="1"/>
  <c r="D95" i="3"/>
  <c r="J95" i="3" s="1"/>
  <c r="K95" i="3" l="1"/>
  <c r="E142" i="3" s="1"/>
  <c r="D145" i="3"/>
  <c r="D72" i="3" l="1"/>
  <c r="D75" i="3"/>
  <c r="J75" i="3" s="1"/>
  <c r="K75" i="3" s="1"/>
  <c r="D87" i="3"/>
  <c r="J87" i="3" s="1"/>
  <c r="K87" i="3" s="1"/>
  <c r="C82" i="3"/>
  <c r="D82" i="3" s="1"/>
  <c r="J82" i="3" s="1"/>
  <c r="K82" i="3" s="1"/>
  <c r="C94" i="3"/>
  <c r="D94" i="3" s="1"/>
  <c r="J94" i="3" s="1"/>
  <c r="K94" i="3" s="1"/>
  <c r="C81" i="3"/>
  <c r="D81" i="3" s="1"/>
  <c r="J81" i="3" s="1"/>
  <c r="K81" i="3" s="1"/>
  <c r="C93" i="3"/>
  <c r="D93" i="3" s="1"/>
  <c r="J93" i="3" s="1"/>
  <c r="K93" i="3" s="1"/>
  <c r="C80" i="3"/>
  <c r="D80" i="3" s="1"/>
  <c r="J80" i="3" s="1"/>
  <c r="K80" i="3" s="1"/>
  <c r="C92" i="3"/>
  <c r="D92" i="3" s="1"/>
  <c r="J92" i="3" s="1"/>
  <c r="K92" i="3" s="1"/>
  <c r="C79" i="3"/>
  <c r="D79" i="3" s="1"/>
  <c r="J79" i="3" s="1"/>
  <c r="K79" i="3" s="1"/>
  <c r="C91" i="3"/>
  <c r="D91" i="3" s="1"/>
  <c r="J91" i="3" s="1"/>
  <c r="K91" i="3" s="1"/>
  <c r="C78" i="3"/>
  <c r="D78" i="3" s="1"/>
  <c r="J78" i="3" s="1"/>
  <c r="K78" i="3" s="1"/>
  <c r="C90" i="3"/>
  <c r="D90" i="3" s="1"/>
  <c r="J90" i="3" s="1"/>
  <c r="K90" i="3" s="1"/>
  <c r="C77" i="3"/>
  <c r="D77" i="3" s="1"/>
  <c r="J77" i="3" s="1"/>
  <c r="K77" i="3" s="1"/>
  <c r="C89" i="3"/>
  <c r="D89" i="3" s="1"/>
  <c r="J89" i="3" s="1"/>
  <c r="K89" i="3" s="1"/>
  <c r="C76" i="3"/>
  <c r="D76" i="3" s="1"/>
  <c r="J76" i="3" s="1"/>
  <c r="K76" i="3" s="1"/>
  <c r="C88" i="3"/>
  <c r="D88" i="3" s="1"/>
  <c r="J88" i="3" s="1"/>
  <c r="K88" i="3" s="1"/>
  <c r="C86" i="3"/>
  <c r="D86" i="3" s="1"/>
  <c r="J86" i="3" s="1"/>
  <c r="K86" i="3" s="1"/>
  <c r="C74" i="3"/>
  <c r="D74" i="3" s="1"/>
  <c r="C85" i="3"/>
  <c r="D85" i="3" s="1"/>
  <c r="J85" i="3" s="1"/>
  <c r="K85" i="3" s="1"/>
  <c r="C73" i="3" l="1"/>
  <c r="D73" i="3" s="1"/>
  <c r="C84" i="3"/>
  <c r="D84" i="3" s="1"/>
  <c r="C83" i="3"/>
  <c r="D83" i="3" s="1"/>
  <c r="C57" i="3"/>
  <c r="D57" i="3" s="1"/>
  <c r="D14" i="3"/>
  <c r="D15" i="3"/>
  <c r="D16" i="3"/>
  <c r="D17" i="3"/>
  <c r="D18" i="3"/>
  <c r="D19" i="3"/>
  <c r="D20" i="3"/>
  <c r="J20" i="3" s="1"/>
  <c r="K20" i="3" s="1"/>
  <c r="D21" i="3"/>
  <c r="J21" i="3" s="1"/>
  <c r="K21" i="3" s="1"/>
  <c r="D22" i="3"/>
  <c r="J22" i="3" s="1"/>
  <c r="K22" i="3" s="1"/>
  <c r="D23" i="3"/>
  <c r="D24" i="3"/>
  <c r="D25" i="3"/>
  <c r="D26" i="3"/>
  <c r="D27" i="3"/>
  <c r="D28" i="3"/>
  <c r="D29" i="3"/>
  <c r="D30" i="3"/>
  <c r="D31" i="3"/>
  <c r="D33" i="3"/>
  <c r="D34" i="3"/>
  <c r="D35" i="3"/>
  <c r="D36" i="3"/>
  <c r="J36" i="3" s="1"/>
  <c r="K36" i="3" s="1"/>
  <c r="D37" i="3"/>
  <c r="J37" i="3" s="1"/>
  <c r="K37" i="3" s="1"/>
  <c r="D38" i="3"/>
  <c r="J38" i="3" s="1"/>
  <c r="K38" i="3" s="1"/>
  <c r="D39" i="3"/>
  <c r="J39" i="3" s="1"/>
  <c r="K39" i="3" s="1"/>
  <c r="D40" i="3"/>
  <c r="J40" i="3" s="1"/>
  <c r="K40" i="3" s="1"/>
  <c r="D42" i="3"/>
  <c r="D43" i="3"/>
  <c r="D46" i="3"/>
  <c r="D48" i="3"/>
  <c r="D49" i="3"/>
  <c r="D50" i="3"/>
  <c r="D52" i="3"/>
  <c r="D53" i="3"/>
  <c r="D54" i="3"/>
  <c r="D55" i="3"/>
  <c r="D56" i="3"/>
  <c r="D60" i="3"/>
  <c r="D61" i="3"/>
  <c r="D62" i="3"/>
  <c r="D63" i="3"/>
  <c r="D64" i="3"/>
  <c r="D65" i="3"/>
  <c r="D66" i="3"/>
  <c r="D67" i="3"/>
  <c r="D68" i="3"/>
  <c r="D69" i="3"/>
  <c r="D70" i="3"/>
  <c r="D71" i="3"/>
  <c r="D4" i="3"/>
  <c r="D6" i="3"/>
  <c r="D7" i="3"/>
  <c r="D8" i="3"/>
  <c r="C13" i="3"/>
  <c r="D13" i="3" s="1"/>
  <c r="C59" i="3"/>
  <c r="D59" i="3" s="1"/>
  <c r="C51" i="3"/>
  <c r="D51" i="3" s="1"/>
  <c r="C58" i="3"/>
  <c r="D58" i="3" s="1"/>
  <c r="C12" i="3"/>
  <c r="D12" i="3" s="1"/>
  <c r="C11" i="3"/>
  <c r="D11" i="3" s="1"/>
  <c r="C10" i="3"/>
  <c r="D10" i="3" s="1"/>
  <c r="C47" i="3"/>
  <c r="D47" i="3" s="1"/>
  <c r="C9" i="3" l="1"/>
  <c r="D9" i="3" s="1"/>
  <c r="C45" i="3"/>
  <c r="D45" i="3" s="1"/>
  <c r="C32" i="3"/>
  <c r="D32" i="3" s="1"/>
  <c r="C44" i="3"/>
  <c r="D44" i="3" s="1"/>
  <c r="C5" i="3"/>
  <c r="D5" i="3" s="1"/>
  <c r="C3" i="3"/>
  <c r="D3" i="3" s="1"/>
  <c r="C41" i="3"/>
  <c r="D41" i="3" s="1"/>
  <c r="J72" i="3" l="1"/>
  <c r="K72" i="3" s="1"/>
  <c r="J66" i="3"/>
  <c r="K66" i="3" s="1"/>
  <c r="J63" i="3"/>
  <c r="K63" i="3" s="1"/>
  <c r="J60" i="3"/>
  <c r="K60" i="3" s="1"/>
  <c r="J41" i="3"/>
  <c r="K41" i="3" s="1"/>
  <c r="J26" i="3"/>
  <c r="K26" i="3" s="1"/>
  <c r="I101" i="3"/>
  <c r="J166" i="3" s="1"/>
  <c r="C135" i="3"/>
  <c r="C134" i="3"/>
  <c r="C133" i="3"/>
  <c r="A135" i="3"/>
  <c r="A134" i="3"/>
  <c r="A133" i="3"/>
  <c r="C126" i="3"/>
  <c r="C125" i="3"/>
  <c r="C124" i="3"/>
  <c r="C123" i="3"/>
  <c r="A126" i="3"/>
  <c r="A125" i="3"/>
  <c r="A124" i="3"/>
  <c r="A123" i="3"/>
  <c r="C116" i="3"/>
  <c r="C115" i="3"/>
  <c r="C114" i="3"/>
  <c r="C113" i="3"/>
  <c r="C112" i="3"/>
  <c r="C111" i="3"/>
  <c r="J11" i="3"/>
  <c r="K11" i="3" s="1"/>
  <c r="J12" i="3"/>
  <c r="K12" i="3" s="1"/>
  <c r="A115" i="3"/>
  <c r="A116" i="3"/>
  <c r="A112" i="3"/>
  <c r="A113" i="3"/>
  <c r="A114" i="3"/>
  <c r="A111" i="3"/>
  <c r="J84" i="3"/>
  <c r="K84" i="3" s="1"/>
  <c r="J83" i="3"/>
  <c r="K83" i="3" s="1"/>
  <c r="J74" i="3"/>
  <c r="K74" i="3" s="1"/>
  <c r="J73" i="3"/>
  <c r="K73" i="3" s="1"/>
  <c r="J55" i="3"/>
  <c r="K55" i="3" s="1"/>
  <c r="J71" i="3"/>
  <c r="K71" i="3" s="1"/>
  <c r="J68" i="3"/>
  <c r="K68" i="3" s="1"/>
  <c r="J65" i="3"/>
  <c r="K65" i="3" s="1"/>
  <c r="J70" i="3"/>
  <c r="K70" i="3" s="1"/>
  <c r="J69" i="3"/>
  <c r="J67" i="3"/>
  <c r="K67" i="3" s="1"/>
  <c r="J64" i="3"/>
  <c r="K64" i="3" s="1"/>
  <c r="J62" i="3"/>
  <c r="K62" i="3" s="1"/>
  <c r="J61" i="3"/>
  <c r="K61" i="3" s="1"/>
  <c r="J59" i="3"/>
  <c r="K59" i="3" s="1"/>
  <c r="J58" i="3"/>
  <c r="K58" i="3" s="1"/>
  <c r="J57" i="3"/>
  <c r="K57" i="3" s="1"/>
  <c r="J56" i="3"/>
  <c r="K56" i="3" s="1"/>
  <c r="J54" i="3"/>
  <c r="K54" i="3" s="1"/>
  <c r="J53" i="3"/>
  <c r="K53" i="3" s="1"/>
  <c r="J52" i="3"/>
  <c r="K52" i="3" s="1"/>
  <c r="J51" i="3"/>
  <c r="K51" i="3" s="1"/>
  <c r="J50" i="3"/>
  <c r="K50" i="3" s="1"/>
  <c r="J49" i="3"/>
  <c r="K49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35" i="3"/>
  <c r="K35" i="3" s="1"/>
  <c r="J34" i="3"/>
  <c r="K34" i="3" s="1"/>
  <c r="J32" i="3"/>
  <c r="K32" i="3" s="1"/>
  <c r="J31" i="3"/>
  <c r="K31" i="3" s="1"/>
  <c r="J30" i="3"/>
  <c r="K30" i="3" s="1"/>
  <c r="J29" i="3"/>
  <c r="K29" i="3" s="1"/>
  <c r="J28" i="3"/>
  <c r="K28" i="3" s="1"/>
  <c r="J27" i="3"/>
  <c r="K27" i="3" s="1"/>
  <c r="J25" i="3"/>
  <c r="K25" i="3" s="1"/>
  <c r="J24" i="3"/>
  <c r="K24" i="3" s="1"/>
  <c r="J23" i="3"/>
  <c r="K23" i="3" s="1"/>
  <c r="J18" i="3"/>
  <c r="K18" i="3" s="1"/>
  <c r="J17" i="3"/>
  <c r="K17" i="3" s="1"/>
  <c r="J16" i="3"/>
  <c r="K16" i="3" s="1"/>
  <c r="J15" i="3"/>
  <c r="K15" i="3" s="1"/>
  <c r="J14" i="3"/>
  <c r="K14" i="3" s="1"/>
  <c r="K69" i="3" l="1"/>
  <c r="B133" i="3"/>
  <c r="D133" i="3" s="1"/>
  <c r="J33" i="3"/>
  <c r="K33" i="3" s="1"/>
  <c r="B134" i="3"/>
  <c r="B135" i="3"/>
  <c r="D135" i="3" s="1"/>
  <c r="B123" i="3"/>
  <c r="D123" i="3" s="1"/>
  <c r="B125" i="3"/>
  <c r="D125" i="3" s="1"/>
  <c r="B126" i="3"/>
  <c r="D126" i="3" s="1"/>
  <c r="B124" i="3"/>
  <c r="D124" i="3" s="1"/>
  <c r="B116" i="3"/>
  <c r="D116" i="3" s="1"/>
  <c r="B112" i="3"/>
  <c r="D112" i="3" s="1"/>
  <c r="B114" i="3"/>
  <c r="D114" i="3" s="1"/>
  <c r="J19" i="3"/>
  <c r="K19" i="3" s="1"/>
  <c r="D134" i="3" l="1"/>
  <c r="D137" i="3" s="1"/>
  <c r="E137" i="3" s="1"/>
  <c r="B136" i="3"/>
  <c r="B115" i="3"/>
  <c r="D115" i="3" s="1"/>
  <c r="D128" i="3"/>
  <c r="E128" i="3" s="1"/>
  <c r="B113" i="3"/>
  <c r="D113" i="3" s="1"/>
  <c r="J10" i="3" l="1"/>
  <c r="K10" i="3" s="1"/>
  <c r="J13" i="3"/>
  <c r="K13" i="3" s="1"/>
  <c r="J9" i="3"/>
  <c r="J6" i="3"/>
  <c r="K6" i="3" s="1"/>
  <c r="J7" i="3"/>
  <c r="K7" i="3" s="1"/>
  <c r="J8" i="3"/>
  <c r="K8" i="3" s="1"/>
  <c r="J5" i="3" l="1"/>
  <c r="D101" i="3"/>
  <c r="K9" i="3"/>
  <c r="J3" i="3"/>
  <c r="J4" i="3"/>
  <c r="K4" i="3" s="1"/>
  <c r="K5" i="3" l="1"/>
  <c r="J102" i="3"/>
  <c r="B111" i="3"/>
  <c r="K3" i="3"/>
  <c r="D111" i="3" l="1"/>
  <c r="D118" i="3" s="1"/>
  <c r="E118" i="3" s="1"/>
  <c r="B117" i="3"/>
  <c r="K103" i="3"/>
  <c r="E149" i="3" l="1"/>
  <c r="E155" i="3" s="1"/>
</calcChain>
</file>

<file path=xl/sharedStrings.xml><?xml version="1.0" encoding="utf-8"?>
<sst xmlns="http://schemas.openxmlformats.org/spreadsheetml/2006/main" count="251" uniqueCount="145">
  <si>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</si>
  <si>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</si>
  <si>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</si>
  <si>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</si>
  <si>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</si>
  <si>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</si>
  <si>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</si>
  <si>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</si>
  <si>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</si>
  <si>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</si>
  <si>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</si>
  <si>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</si>
  <si>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</si>
  <si>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</si>
  <si>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</si>
  <si>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</si>
  <si>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</si>
  <si>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</si>
  <si>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</si>
  <si>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</si>
  <si>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</si>
  <si>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</si>
  <si>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</si>
  <si>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</si>
  <si>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</si>
  <si>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</si>
  <si>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</si>
  <si>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</si>
  <si>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</si>
  <si>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</si>
  <si>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</si>
  <si>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</si>
  <si>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</si>
  <si>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</si>
  <si>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</si>
  <si>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</si>
  <si>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</si>
  <si>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</si>
  <si>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</si>
  <si>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</si>
  <si>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</si>
  <si>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</si>
  <si>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</si>
  <si>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t>Mão de obra necessária (nº serventes)</t>
  </si>
  <si>
    <t>Trimestral</t>
  </si>
  <si>
    <t>Bimestral</t>
  </si>
  <si>
    <t>Semestral</t>
  </si>
  <si>
    <t>Diaria</t>
  </si>
  <si>
    <t>Semanal</t>
  </si>
  <si>
    <t>Quinzenal</t>
  </si>
  <si>
    <t>Mensal</t>
  </si>
  <si>
    <t>Quadrimestral</t>
  </si>
  <si>
    <t>Anual</t>
  </si>
  <si>
    <t>Frequencia</t>
  </si>
  <si>
    <t>Casa de máquinas - Acesso 8º andar</t>
  </si>
  <si>
    <t>Varanda terraço - Acesso pela casa de máquinas</t>
  </si>
  <si>
    <t>Hall elevadores - Subsolo</t>
  </si>
  <si>
    <t>Banheiros + lavanderia (subsolo)</t>
  </si>
  <si>
    <t>Sala 107 (Arquivo morto)- Subsolo</t>
  </si>
  <si>
    <t>Garagem coberta  (cimentado)</t>
  </si>
  <si>
    <t>Cozinha - (subsolo)</t>
  </si>
  <si>
    <t>Hall de escadas - Subsolo</t>
  </si>
  <si>
    <t>Hall de entrada</t>
  </si>
  <si>
    <t>Banheiros - 1º andar</t>
  </si>
  <si>
    <t>Auditorio (1º andar)</t>
  </si>
  <si>
    <t>Salas (1º andar)</t>
  </si>
  <si>
    <t>Hall de escadas - 1º andar</t>
  </si>
  <si>
    <t>Sala 106 - Almoxarifado</t>
  </si>
  <si>
    <t>Porão - Área de segurança</t>
  </si>
  <si>
    <t>Varanda - 1º andar</t>
  </si>
  <si>
    <t>Hall de elevadores - 3º andar</t>
  </si>
  <si>
    <t>Banheiros  - 3º andar</t>
  </si>
  <si>
    <t>Hall de escadas - 3º andar</t>
  </si>
  <si>
    <t>Hall de elevadores + Área comum - 4º andar</t>
  </si>
  <si>
    <t>Banheiros -  4º andar</t>
  </si>
  <si>
    <t>Cozinha  - 4º andar</t>
  </si>
  <si>
    <t>Varanda  - 4º andar</t>
  </si>
  <si>
    <t>Salas 413, 414, 416, 412, 411, 408, 405, 404, 403, 401 e 402 - (4º andar)</t>
  </si>
  <si>
    <t>Sala 303  - (3º andar)</t>
  </si>
  <si>
    <t>Arquivo 01  - (3º andar)</t>
  </si>
  <si>
    <t>Arquivo 02  - (3º andar)</t>
  </si>
  <si>
    <t>Área útil existente (m²) -----&gt;&gt;&gt;</t>
  </si>
  <si>
    <t>Hall de escadas - 4º andar</t>
  </si>
  <si>
    <t>Hall de elevadores + Área comum - 5º andar</t>
  </si>
  <si>
    <t>Hall de escadas - 5º andar</t>
  </si>
  <si>
    <t>Cozinha - 5º andar</t>
  </si>
  <si>
    <t>Banheiros - 5º andar</t>
  </si>
  <si>
    <t>Salas 103, 104, 102, 103b e sala de monitoramento</t>
  </si>
  <si>
    <t>Salas 514, 513, 512, 511, 510, 508, 506, 504, 503, 501 e 502 - (5º andar)</t>
  </si>
  <si>
    <t>Hall de elevadores - 6º andar</t>
  </si>
  <si>
    <t>Hall de escadas - 6º andar</t>
  </si>
  <si>
    <t>Banheiros - 6º andar</t>
  </si>
  <si>
    <t>Salas 601 e 602 - (6º andar)</t>
  </si>
  <si>
    <t>Hall de elevadores - 7º andar</t>
  </si>
  <si>
    <t>Banheiros - 7º andar</t>
  </si>
  <si>
    <t>Hall de escadas - 7º andar</t>
  </si>
  <si>
    <t>Salas 704, 707, 706, 703, 702 e 701 (7º andar)</t>
  </si>
  <si>
    <t>Varandas - 7º andar</t>
  </si>
  <si>
    <t>Varandas - 6º andar</t>
  </si>
  <si>
    <t>Varandas - 5º andar</t>
  </si>
  <si>
    <t>Hall de elevador - 8º andar</t>
  </si>
  <si>
    <t>Banheiros - 8º andar</t>
  </si>
  <si>
    <t>Varandas - 8º andar</t>
  </si>
  <si>
    <t>Salas 801, 802, gerência e sala de espera.</t>
  </si>
  <si>
    <t>Cozinha - 8º andar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</si>
  <si>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</si>
  <si>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Casa de máquinas  - Portas</t>
  </si>
  <si>
    <t>=</t>
  </si>
  <si>
    <t>Casa de máquinas - Janelas e porta</t>
  </si>
  <si>
    <t>Subsolo - Salas, cozinha, monitoramento e hall de escadas</t>
  </si>
  <si>
    <t>Subsolo - Monitoramento e  hall de escadas</t>
  </si>
  <si>
    <t>1º andar - Auditório</t>
  </si>
  <si>
    <t>1º andar - Escritório</t>
  </si>
  <si>
    <t xml:space="preserve">1º andar - Banheiros </t>
  </si>
  <si>
    <t>1º andar - Porta de entrada + Telefonia</t>
  </si>
  <si>
    <t xml:space="preserve">3º andar </t>
  </si>
  <si>
    <t>4º andar</t>
  </si>
  <si>
    <t>5º andar</t>
  </si>
  <si>
    <t>6º andar</t>
  </si>
  <si>
    <t>7º andar</t>
  </si>
  <si>
    <t>8º andar</t>
  </si>
  <si>
    <t>Dedetização</t>
  </si>
  <si>
    <t>limpeza cx d'agua</t>
  </si>
  <si>
    <t>Área física a ser limpa (m²/mês)</t>
  </si>
  <si>
    <t>Limpeza cx gordura</t>
  </si>
  <si>
    <t>m²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</si>
  <si>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</si>
  <si>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</si>
  <si>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</si>
  <si>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</si>
  <si>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t>OUTROS SERVIÇOS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</si>
  <si>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</si>
  <si>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</si>
  <si>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</si>
  <si>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</si>
  <si>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Trocar lâmpadas/torneiras fornecidas pela administração. Pequenas manutenções</t>
  </si>
  <si>
    <t>SERVIÇO PAGO MENSALMENTE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</si>
  <si>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</si>
  <si>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</si>
  <si>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Fachada Externa com exposição ao risco ( =Fachada total - fachada sem exposição ao risco = 1568,89 - 334,71 = 1234,18 m²)</t>
  </si>
  <si>
    <t>SERVIÇO PAGO QUANDO REALIZADO</t>
  </si>
  <si>
    <t>Previsão : 2 serventes 1 semana por semestre</t>
  </si>
  <si>
    <t>Quantidade Total em 24 meses</t>
  </si>
  <si>
    <t>total em 2 anos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</si>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</sst>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_-* #,##0.00_-;\-* #,##0.00_-;_-* &quot;-&quot;????_-;_-@_-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7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6" xfId="0" quotePrefix="1" applyBorder="1"/>
    <xf numFmtId="43" fontId="0" fillId="0" borderId="0" xfId="1" applyFont="1" applyFill="1" applyBorder="1"/>
    <xf numFmtId="0" fontId="0" fillId="0" borderId="16" xfId="0" quotePrefix="1" applyBorder="1" applyAlignment="1">
      <alignment horizontal="left" vertical="center" wrapText="1"/>
    </xf>
    <xf numFmtId="0" fontId="0" fillId="0" borderId="16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43" fontId="2" fillId="3" borderId="22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4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1" xfId="1" applyFont="1" applyFill="1" applyBorder="1"/>
    <xf numFmtId="0" fontId="0" fillId="4" borderId="23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center" vertical="center"/>
    </xf>
    <xf numFmtId="0" fontId="0" fillId="4" borderId="26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0" xfId="0" applyFill="1" applyBorder="1" applyAlignment="1">
      <alignment horizontal="left" vertical="center" wrapText="1"/>
    </xf>
    <xf numFmtId="43" fontId="0" fillId="4" borderId="21" xfId="1" applyFont="1" applyFill="1" applyBorder="1"/>
    <xf numFmtId="0" fontId="0" fillId="4" borderId="21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1" fontId="0" fillId="4" borderId="21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43" fontId="11" fillId="12" borderId="21" xfId="1" applyFont="1" applyFill="1" applyBorder="1" applyAlignment="1">
      <alignment horizontal="center" vertical="center"/>
    </xf>
    <xf numFmtId="43" fontId="0" fillId="4" borderId="8" xfId="1" applyFont="1" applyFill="1" applyBorder="1"/>
    <xf numFmtId="43" fontId="0" fillId="4" borderId="33" xfId="1" applyFont="1" applyFill="1" applyBorder="1"/>
    <xf numFmtId="43" fontId="0" fillId="6" borderId="8" xfId="1" applyFont="1" applyFill="1" applyBorder="1"/>
    <xf numFmtId="43" fontId="0" fillId="7" borderId="8" xfId="1" applyFont="1" applyFill="1" applyBorder="1"/>
    <xf numFmtId="43" fontId="0" fillId="8" borderId="8" xfId="1" applyFont="1" applyFill="1" applyBorder="1"/>
    <xf numFmtId="43" fontId="0" fillId="9" borderId="8" xfId="1" applyFont="1" applyFill="1" applyBorder="1"/>
    <xf numFmtId="43" fontId="0" fillId="10" borderId="8" xfId="1" applyFont="1" applyFill="1" applyBorder="1"/>
    <xf numFmtId="43" fontId="0" fillId="11" borderId="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43" fontId="0" fillId="2" borderId="30" xfId="0" applyNumberFormat="1" applyFill="1" applyBorder="1" applyAlignment="1">
      <alignment horizontal="center" vertical="center"/>
    </xf>
    <xf numFmtId="43" fontId="0" fillId="2" borderId="31" xfId="0" applyNumberFormat="1" applyFill="1" applyBorder="1" applyAlignment="1">
      <alignment horizontal="center" vertical="center"/>
    </xf>
    <xf numFmtId="165" fontId="0" fillId="4" borderId="36" xfId="0" applyNumberFormat="1" applyFill="1" applyBorder="1" applyAlignment="1">
      <alignment horizontal="center" vertical="center"/>
    </xf>
    <xf numFmtId="165" fontId="0" fillId="4" borderId="37" xfId="0" applyNumberFormat="1" applyFill="1" applyBorder="1" applyAlignment="1">
      <alignment horizontal="center" vertical="center"/>
    </xf>
    <xf numFmtId="165" fontId="0" fillId="4" borderId="38" xfId="0" applyNumberFormat="1" applyFill="1" applyBorder="1" applyAlignment="1">
      <alignment horizontal="center" vertical="center"/>
    </xf>
    <xf numFmtId="165" fontId="0" fillId="6" borderId="37" xfId="0" applyNumberFormat="1" applyFill="1" applyBorder="1" applyAlignment="1">
      <alignment horizontal="center" vertical="center"/>
    </xf>
    <xf numFmtId="165" fontId="0" fillId="7" borderId="37" xfId="0" applyNumberFormat="1" applyFill="1" applyBorder="1" applyAlignment="1">
      <alignment horizontal="center" vertical="center"/>
    </xf>
    <xf numFmtId="165" fontId="0" fillId="8" borderId="37" xfId="0" applyNumberFormat="1" applyFill="1" applyBorder="1" applyAlignment="1">
      <alignment horizontal="center" vertical="center"/>
    </xf>
    <xf numFmtId="165" fontId="0" fillId="9" borderId="37" xfId="0" applyNumberFormat="1" applyFill="1" applyBorder="1" applyAlignment="1">
      <alignment horizontal="center" vertical="center"/>
    </xf>
    <xf numFmtId="165" fontId="0" fillId="10" borderId="37" xfId="0" applyNumberFormat="1" applyFill="1" applyBorder="1" applyAlignment="1">
      <alignment horizontal="center" vertical="center"/>
    </xf>
    <xf numFmtId="165" fontId="0" fillId="11" borderId="37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0" fontId="0" fillId="2" borderId="19" xfId="0" applyFill="1" applyBorder="1" applyAlignment="1">
      <alignment horizontal="center" vertical="center"/>
    </xf>
    <xf numFmtId="43" fontId="0" fillId="14" borderId="10" xfId="1" applyFont="1" applyFill="1" applyBorder="1"/>
    <xf numFmtId="43" fontId="2" fillId="13" borderId="12" xfId="0" applyNumberFormat="1" applyFont="1" applyFill="1" applyBorder="1" applyAlignment="1">
      <alignment horizontal="center" vertical="center"/>
    </xf>
    <xf numFmtId="43" fontId="0" fillId="14" borderId="1" xfId="1" applyFont="1" applyFill="1" applyBorder="1"/>
    <xf numFmtId="0" fontId="0" fillId="14" borderId="1" xfId="0" applyFill="1" applyBorder="1" applyAlignment="1">
      <alignment horizontal="center" vertical="center"/>
    </xf>
    <xf numFmtId="1" fontId="0" fillId="14" borderId="1" xfId="0" applyNumberFormat="1" applyFill="1" applyBorder="1" applyAlignment="1">
      <alignment horizontal="center" vertical="center"/>
    </xf>
    <xf numFmtId="43" fontId="0" fillId="4" borderId="12" xfId="1" applyFont="1" applyFill="1" applyBorder="1"/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4" borderId="29" xfId="0" applyFill="1" applyBorder="1" applyAlignment="1">
      <alignment horizontal="left" vertical="center" wrapText="1"/>
    </xf>
    <xf numFmtId="0" fontId="0" fillId="14" borderId="26" xfId="0" applyFill="1" applyBorder="1"/>
    <xf numFmtId="0" fontId="2" fillId="0" borderId="41" xfId="0" applyFont="1" applyBorder="1" applyAlignment="1">
      <alignment horizontal="center" vertical="center" wrapText="1"/>
    </xf>
    <xf numFmtId="43" fontId="0" fillId="4" borderId="13" xfId="1" applyFont="1" applyFill="1" applyBorder="1"/>
    <xf numFmtId="43" fontId="0" fillId="14" borderId="8" xfId="1" applyFont="1" applyFill="1" applyBorder="1"/>
    <xf numFmtId="0" fontId="2" fillId="0" borderId="43" xfId="0" applyFont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/>
    </xf>
    <xf numFmtId="0" fontId="0" fillId="9" borderId="8" xfId="0" applyFill="1" applyBorder="1" applyAlignment="1">
      <alignment horizontal="center" vertical="center"/>
    </xf>
    <xf numFmtId="0" fontId="0" fillId="14" borderId="8" xfId="0" applyFill="1" applyBorder="1" applyAlignment="1">
      <alignment horizontal="center"/>
    </xf>
    <xf numFmtId="0" fontId="2" fillId="5" borderId="11" xfId="0" applyFont="1" applyFill="1" applyBorder="1" applyAlignment="1">
      <alignment horizontal="center" vertical="center" wrapText="1"/>
    </xf>
    <xf numFmtId="165" fontId="0" fillId="4" borderId="28" xfId="0" applyNumberFormat="1" applyFill="1" applyBorder="1" applyAlignment="1">
      <alignment horizontal="center" vertical="center"/>
    </xf>
    <xf numFmtId="165" fontId="0" fillId="14" borderId="37" xfId="0" applyNumberForma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3" fontId="0" fillId="14" borderId="10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14" borderId="10" xfId="0" applyFont="1" applyFill="1" applyBorder="1" applyAlignment="1">
      <alignment horizontal="center" vertical="center" wrapText="1"/>
    </xf>
    <xf numFmtId="0" fontId="0" fillId="4" borderId="34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6" fontId="0" fillId="0" borderId="0" xfId="0" applyNumberFormat="1"/>
    <xf numFmtId="43" fontId="11" fillId="12" borderId="47" xfId="1" applyFont="1" applyFill="1" applyBorder="1" applyAlignment="1">
      <alignment horizontal="center" vertical="center"/>
    </xf>
    <xf numFmtId="43" fontId="2" fillId="3" borderId="48" xfId="0" applyNumberFormat="1" applyFont="1" applyFill="1" applyBorder="1" applyAlignment="1">
      <alignment horizontal="center" vertical="center"/>
    </xf>
    <xf numFmtId="0" fontId="0" fillId="0" borderId="16" xfId="0" applyBorder="1"/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3" fontId="2" fillId="0" borderId="27" xfId="1" applyFont="1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165" fontId="2" fillId="5" borderId="5" xfId="0" applyNumberFormat="1" applyFont="1" applyFill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 wrapText="1"/>
    </xf>
    <xf numFmtId="43" fontId="0" fillId="13" borderId="22" xfId="1" applyFont="1" applyFill="1" applyBorder="1" applyAlignment="1">
      <alignment vertical="center"/>
    </xf>
    <xf numFmtId="167" fontId="0" fillId="14" borderId="8" xfId="0" applyNumberFormat="1" applyFill="1" applyBorder="1" applyAlignment="1">
      <alignment horizontal="center"/>
    </xf>
    <xf numFmtId="43" fontId="0" fillId="14" borderId="1" xfId="1" applyFont="1" applyFill="1" applyBorder="1" applyAlignment="1">
      <alignment horizontal="center" vertical="center"/>
    </xf>
    <xf numFmtId="43" fontId="0" fillId="14" borderId="8" xfId="1" applyFont="1" applyFill="1" applyBorder="1" applyAlignment="1">
      <alignment horizontal="center" vertical="center"/>
    </xf>
    <xf numFmtId="43" fontId="0" fillId="14" borderId="10" xfId="1" applyFon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14" borderId="26" xfId="0" applyFill="1" applyBorder="1" applyAlignment="1">
      <alignment horizontal="left" vertical="center" wrapText="1"/>
    </xf>
    <xf numFmtId="0" fontId="0" fillId="14" borderId="20" xfId="0" applyFill="1" applyBorder="1" applyAlignment="1">
      <alignment wrapText="1"/>
    </xf>
    <xf numFmtId="43" fontId="0" fillId="14" borderId="21" xfId="1" applyFont="1" applyFill="1" applyBorder="1"/>
    <xf numFmtId="43" fontId="0" fillId="14" borderId="33" xfId="1" applyFont="1" applyFill="1" applyBorder="1"/>
    <xf numFmtId="43" fontId="0" fillId="14" borderId="31" xfId="1" applyFont="1" applyFill="1" applyBorder="1"/>
    <xf numFmtId="0" fontId="0" fillId="14" borderId="35" xfId="0" applyFill="1" applyBorder="1" applyAlignment="1">
      <alignment horizontal="center" vertical="center"/>
    </xf>
    <xf numFmtId="0" fontId="0" fillId="14" borderId="21" xfId="0" applyFill="1" applyBorder="1" applyAlignment="1">
      <alignment horizontal="center" vertical="center"/>
    </xf>
    <xf numFmtId="1" fontId="0" fillId="14" borderId="21" xfId="0" applyNumberFormat="1" applyFill="1" applyBorder="1" applyAlignment="1">
      <alignment horizontal="center" vertical="center"/>
    </xf>
    <xf numFmtId="0" fontId="0" fillId="14" borderId="33" xfId="0" applyFill="1" applyBorder="1" applyAlignment="1">
      <alignment horizontal="center"/>
    </xf>
    <xf numFmtId="43" fontId="0" fillId="14" borderId="31" xfId="0" applyNumberFormat="1" applyFill="1" applyBorder="1" applyAlignment="1">
      <alignment horizontal="center" vertical="center"/>
    </xf>
    <xf numFmtId="165" fontId="0" fillId="14" borderId="38" xfId="0" applyNumberFormat="1" applyFill="1" applyBorder="1" applyAlignment="1">
      <alignment horizontal="center" vertical="center"/>
    </xf>
    <xf numFmtId="0" fontId="0" fillId="14" borderId="44" xfId="0" applyFill="1" applyBorder="1" applyAlignment="1">
      <alignment horizontal="left" vertical="center" wrapText="1"/>
    </xf>
    <xf numFmtId="43" fontId="0" fillId="14" borderId="10" xfId="1" applyFont="1" applyFill="1" applyBorder="1" applyAlignment="1">
      <alignment vertical="center"/>
    </xf>
    <xf numFmtId="43" fontId="0" fillId="4" borderId="32" xfId="1" applyFont="1" applyFill="1" applyBorder="1" applyAlignment="1">
      <alignment vertical="center"/>
    </xf>
    <xf numFmtId="43" fontId="0" fillId="2" borderId="30" xfId="1" applyFont="1" applyFill="1" applyBorder="1" applyAlignment="1">
      <alignment vertical="center"/>
    </xf>
    <xf numFmtId="0" fontId="0" fillId="4" borderId="32" xfId="0" applyFill="1" applyBorder="1" applyAlignment="1">
      <alignment horizontal="center" vertical="center"/>
    </xf>
    <xf numFmtId="0" fontId="0" fillId="16" borderId="26" xfId="0" applyFill="1" applyBorder="1"/>
    <xf numFmtId="43" fontId="0" fillId="16" borderId="8" xfId="1" applyFont="1" applyFill="1" applyBorder="1"/>
    <xf numFmtId="43" fontId="0" fillId="16" borderId="10" xfId="1" applyFont="1" applyFill="1" applyBorder="1"/>
    <xf numFmtId="0" fontId="2" fillId="16" borderId="10" xfId="0" applyFont="1" applyFill="1" applyBorder="1" applyAlignment="1">
      <alignment horizontal="center" vertical="center" wrapText="1"/>
    </xf>
    <xf numFmtId="0" fontId="0" fillId="16" borderId="9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1" fontId="0" fillId="16" borderId="1" xfId="0" applyNumberFormat="1" applyFill="1" applyBorder="1" applyAlignment="1">
      <alignment horizontal="center" vertical="center"/>
    </xf>
    <xf numFmtId="0" fontId="0" fillId="16" borderId="8" xfId="0" applyFill="1" applyBorder="1" applyAlignment="1">
      <alignment horizontal="center"/>
    </xf>
    <xf numFmtId="43" fontId="0" fillId="16" borderId="10" xfId="0" applyNumberFormat="1" applyFill="1" applyBorder="1" applyAlignment="1">
      <alignment horizontal="center" vertical="center"/>
    </xf>
    <xf numFmtId="165" fontId="0" fillId="16" borderId="37" xfId="0" applyNumberFormat="1" applyFill="1" applyBorder="1" applyAlignment="1">
      <alignment horizontal="center" vertical="center"/>
    </xf>
    <xf numFmtId="43" fontId="0" fillId="16" borderId="1" xfId="1" applyFont="1" applyFill="1" applyBorder="1"/>
    <xf numFmtId="0" fontId="0" fillId="16" borderId="44" xfId="0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3" fontId="0" fillId="0" borderId="0" xfId="1" applyFont="1" applyFill="1" applyBorder="1" applyAlignment="1">
      <alignment vertical="center"/>
    </xf>
    <xf numFmtId="43" fontId="0" fillId="0" borderId="0" xfId="1" applyFont="1" applyFill="1"/>
    <xf numFmtId="0" fontId="0" fillId="0" borderId="0" xfId="0" applyAlignment="1">
      <alignment horizontal="left" vertical="center" wrapText="1"/>
    </xf>
    <xf numFmtId="0" fontId="13" fillId="15" borderId="40" xfId="0" applyFont="1" applyFill="1" applyBorder="1" applyAlignment="1">
      <alignment horizontal="center" vertical="center"/>
    </xf>
    <xf numFmtId="0" fontId="13" fillId="15" borderId="6" xfId="0" applyFont="1" applyFill="1" applyBorder="1" applyAlignment="1">
      <alignment horizontal="center" vertical="center"/>
    </xf>
    <xf numFmtId="0" fontId="13" fillId="15" borderId="7" xfId="0" applyFont="1" applyFill="1" applyBorder="1" applyAlignment="1">
      <alignment horizontal="center" vertical="center"/>
    </xf>
    <xf numFmtId="0" fontId="13" fillId="15" borderId="11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2" fillId="14" borderId="45" xfId="0" applyFont="1" applyFill="1" applyBorder="1" applyAlignment="1">
      <alignment horizontal="center" vertical="center" wrapText="1"/>
    </xf>
    <xf numFmtId="0" fontId="2" fillId="14" borderId="39" xfId="0" applyFont="1" applyFill="1" applyBorder="1" applyAlignment="1">
      <alignment horizontal="center" vertical="center" wrapText="1"/>
    </xf>
    <xf numFmtId="0" fontId="2" fillId="14" borderId="17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R199"/>
  <sheetViews>
    <sheetView tabSelected="1" zoomScale="85" zoomScaleNormal="85" workbookViewId="0">
      <pane ySplit="2" topLeftCell="A146" activePane="bottomLeft" state="frozen"/>
      <selection pane="bottomLeft" activeCell="C49" sqref="C49"/>
    </sheetView>
  </sheetViews>
  <sheetFormatPr defaultRowHeight="14.5" x14ac:dyDescent="0.35"/>
  <cols>
    <col min="1" max="1" width="61.08984375" customWidth="1"/>
    <col min="2" max="2" width="13.90625" bestFit="1" customWidth="1"/>
    <col min="3" max="3" width="14.7265625" bestFit="1" customWidth="1"/>
    <col min="4" max="4" width="13.453125" style="2" customWidth="1"/>
    <col min="5" max="5" width="29.90625" style="4" bestFit="1" customWidth="1"/>
    <col min="6" max="6" width="13.36328125" style="4" bestFit="1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  <col min="13" max="13" width="14.7265625" bestFit="1" customWidth="1"/>
    <col min="14" max="14" width="9.08984375" bestFit="1" customWidth="1"/>
  </cols>
  <sheetData>
    <row r="1" spans="1:16" ht="46" customHeight="1" thickBot="1" x14ac:dyDescent="0.4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6" s="1" customFormat="1" ht="58.5" thickBot="1" x14ac:dyDescent="0.4">
      <c r="A2" s="105" t="s">
        <v>0</v>
      </c>
      <c r="B2" s="106" t="s">
        <v>1</v>
      </c>
      <c r="C2" s="109" t="s">
        <v>2</v>
      </c>
      <c r="D2" s="113" t="s">
        <v>3</v>
      </c>
      <c r="E2" s="132" t="s">
        <v>4</v>
      </c>
      <c r="F2" s="112" t="s">
        <v>5</v>
      </c>
      <c r="G2" s="106" t="s">
        <v>6</v>
      </c>
      <c r="H2" s="106" t="s">
        <v>7</v>
      </c>
      <c r="I2" s="109" t="s">
        <v>8</v>
      </c>
      <c r="J2" s="120" t="s">
        <v>9</v>
      </c>
      <c r="K2" s="117" t="s">
        <v>10</v>
      </c>
    </row>
    <row r="3" spans="1:16" ht="31.5" customHeight="1" x14ac:dyDescent="0.35">
      <c r="A3" s="107" t="s">
        <v>87</v>
      </c>
      <c r="B3" s="102">
        <v>1</v>
      </c>
      <c r="C3" s="110">
        <f>16.836+14.112+10.8+7.105+17.73</f>
        <v>66.583000000000013</v>
      </c>
      <c r="D3" s="6">
        <f t="shared" ref="D3:D45" si="0">B3*C3</f>
        <v>66.583000000000013</v>
      </c>
      <c r="E3" s="204" t="s">
        <v>11</v>
      </c>
      <c r="F3" s="122">
        <v>800</v>
      </c>
      <c r="G3" s="103" t="s">
        <v>47</v>
      </c>
      <c r="H3" s="104">
        <v>1</v>
      </c>
      <c r="I3" s="114">
        <v>22</v>
      </c>
      <c r="J3" s="25">
        <f>D3*I3</f>
        <v>1464.8260000000002</v>
      </c>
      <c r="K3" s="118">
        <f>J3/F3/22</f>
        <v>8.3228750000000018E-2</v>
      </c>
      <c r="P3" s="26"/>
    </row>
    <row r="4" spans="1:16" x14ac:dyDescent="0.35">
      <c r="A4" s="30" t="s">
        <v>64</v>
      </c>
      <c r="B4" s="31">
        <v>1</v>
      </c>
      <c r="C4" s="65">
        <v>104.38</v>
      </c>
      <c r="D4" s="6">
        <f t="shared" si="0"/>
        <v>104.38</v>
      </c>
      <c r="E4" s="205"/>
      <c r="F4" s="123">
        <v>800</v>
      </c>
      <c r="G4" s="32" t="s">
        <v>47</v>
      </c>
      <c r="H4" s="36">
        <v>1</v>
      </c>
      <c r="I4" s="74">
        <v>22</v>
      </c>
      <c r="J4" s="8">
        <f t="shared" ref="J4:J6" si="1">D4*I4</f>
        <v>2296.3599999999997</v>
      </c>
      <c r="K4" s="85">
        <f t="shared" ref="K4:K13" si="2">J4/F4/22</f>
        <v>0.13047499999999998</v>
      </c>
    </row>
    <row r="5" spans="1:16" x14ac:dyDescent="0.35">
      <c r="A5" s="30" t="s">
        <v>65</v>
      </c>
      <c r="B5" s="31">
        <v>1</v>
      </c>
      <c r="C5" s="65">
        <f>39.41+166.4+10.35+11.67</f>
        <v>227.82999999999998</v>
      </c>
      <c r="D5" s="6">
        <f t="shared" si="0"/>
        <v>227.82999999999998</v>
      </c>
      <c r="E5" s="205"/>
      <c r="F5" s="123">
        <v>800</v>
      </c>
      <c r="G5" s="32" t="s">
        <v>47</v>
      </c>
      <c r="H5" s="36">
        <v>1</v>
      </c>
      <c r="I5" s="74">
        <v>22</v>
      </c>
      <c r="J5" s="8">
        <f t="shared" si="1"/>
        <v>5012.2599999999993</v>
      </c>
      <c r="K5" s="85">
        <f t="shared" si="2"/>
        <v>0.28478749999999997</v>
      </c>
    </row>
    <row r="6" spans="1:16" x14ac:dyDescent="0.35">
      <c r="A6" s="30" t="s">
        <v>79</v>
      </c>
      <c r="B6" s="31">
        <v>1</v>
      </c>
      <c r="C6" s="65">
        <v>178.52</v>
      </c>
      <c r="D6" s="6">
        <f t="shared" si="0"/>
        <v>178.52</v>
      </c>
      <c r="E6" s="205"/>
      <c r="F6" s="123">
        <v>800</v>
      </c>
      <c r="G6" s="32" t="s">
        <v>47</v>
      </c>
      <c r="H6" s="36">
        <v>1</v>
      </c>
      <c r="I6" s="74">
        <v>22</v>
      </c>
      <c r="J6" s="8">
        <f t="shared" si="1"/>
        <v>3927.44</v>
      </c>
      <c r="K6" s="85">
        <f t="shared" si="2"/>
        <v>0.22314999999999999</v>
      </c>
    </row>
    <row r="7" spans="1:16" x14ac:dyDescent="0.35">
      <c r="A7" s="30" t="s">
        <v>80</v>
      </c>
      <c r="B7" s="31">
        <v>1</v>
      </c>
      <c r="C7" s="65">
        <v>205.31</v>
      </c>
      <c r="D7" s="6">
        <f t="shared" si="0"/>
        <v>205.31</v>
      </c>
      <c r="E7" s="205"/>
      <c r="F7" s="123">
        <v>800</v>
      </c>
      <c r="G7" s="32" t="s">
        <v>47</v>
      </c>
      <c r="H7" s="36">
        <v>1</v>
      </c>
      <c r="I7" s="74">
        <v>22</v>
      </c>
      <c r="J7" s="8">
        <f>D7*I7</f>
        <v>4516.82</v>
      </c>
      <c r="K7" s="85">
        <f t="shared" si="2"/>
        <v>0.25663750000000002</v>
      </c>
    </row>
    <row r="8" spans="1:16" x14ac:dyDescent="0.35">
      <c r="A8" s="30" t="s">
        <v>78</v>
      </c>
      <c r="B8" s="31">
        <v>1</v>
      </c>
      <c r="C8" s="65">
        <v>19.920000000000002</v>
      </c>
      <c r="D8" s="6">
        <f t="shared" si="0"/>
        <v>19.920000000000002</v>
      </c>
      <c r="E8" s="205"/>
      <c r="F8" s="123">
        <v>800</v>
      </c>
      <c r="G8" s="32" t="s">
        <v>47</v>
      </c>
      <c r="H8" s="36">
        <v>1</v>
      </c>
      <c r="I8" s="74">
        <v>22</v>
      </c>
      <c r="J8" s="8">
        <f>D8*I8</f>
        <v>438.24</v>
      </c>
      <c r="K8" s="85">
        <f t="shared" si="2"/>
        <v>2.4900000000000002E-2</v>
      </c>
    </row>
    <row r="9" spans="1:16" x14ac:dyDescent="0.35">
      <c r="A9" s="30" t="s">
        <v>77</v>
      </c>
      <c r="B9" s="31">
        <v>1</v>
      </c>
      <c r="C9" s="65">
        <f>11.24+8.68+23.68+20.89+20.89+165.81+28.54+8.82+36.73+25.5</f>
        <v>350.78000000000003</v>
      </c>
      <c r="D9" s="6">
        <f t="shared" si="0"/>
        <v>350.78000000000003</v>
      </c>
      <c r="E9" s="205"/>
      <c r="F9" s="123">
        <v>800</v>
      </c>
      <c r="G9" s="32" t="s">
        <v>47</v>
      </c>
      <c r="H9" s="36">
        <v>1</v>
      </c>
      <c r="I9" s="74">
        <v>22</v>
      </c>
      <c r="J9" s="8">
        <f>D9*I9</f>
        <v>7717.1600000000008</v>
      </c>
      <c r="K9" s="85">
        <f>J9/F9/22</f>
        <v>0.43847500000000006</v>
      </c>
    </row>
    <row r="10" spans="1:16" x14ac:dyDescent="0.35">
      <c r="A10" s="30" t="s">
        <v>88</v>
      </c>
      <c r="B10" s="31">
        <v>1</v>
      </c>
      <c r="C10" s="65">
        <f>15.07+14.7+14.94+14.9+32.11+19.2+27.52+33.97+19.51+33.2+11.24</f>
        <v>236.36</v>
      </c>
      <c r="D10" s="6">
        <f t="shared" si="0"/>
        <v>236.36</v>
      </c>
      <c r="E10" s="205"/>
      <c r="F10" s="123">
        <v>800</v>
      </c>
      <c r="G10" s="32" t="s">
        <v>47</v>
      </c>
      <c r="H10" s="36">
        <v>1</v>
      </c>
      <c r="I10" s="74">
        <v>22</v>
      </c>
      <c r="J10" s="8">
        <f t="shared" ref="J10:J13" si="3">D10*I10</f>
        <v>5199.92</v>
      </c>
      <c r="K10" s="85">
        <f t="shared" si="2"/>
        <v>0.29544999999999999</v>
      </c>
    </row>
    <row r="11" spans="1:16" x14ac:dyDescent="0.35">
      <c r="A11" s="30" t="s">
        <v>92</v>
      </c>
      <c r="B11" s="31">
        <v>1</v>
      </c>
      <c r="C11" s="65">
        <f>190.28+17.28</f>
        <v>207.56</v>
      </c>
      <c r="D11" s="6">
        <f t="shared" si="0"/>
        <v>207.56</v>
      </c>
      <c r="E11" s="205"/>
      <c r="F11" s="123">
        <v>800</v>
      </c>
      <c r="G11" s="32" t="s">
        <v>47</v>
      </c>
      <c r="H11" s="36">
        <v>1</v>
      </c>
      <c r="I11" s="74">
        <v>22</v>
      </c>
      <c r="J11" s="8">
        <f t="shared" si="3"/>
        <v>4566.32</v>
      </c>
      <c r="K11" s="85">
        <f t="shared" si="2"/>
        <v>0.25944999999999996</v>
      </c>
    </row>
    <row r="12" spans="1:16" x14ac:dyDescent="0.35">
      <c r="A12" s="30" t="s">
        <v>96</v>
      </c>
      <c r="B12" s="31">
        <v>1</v>
      </c>
      <c r="C12" s="65">
        <f>50+20.3+25+19.97+12.31+16.06</f>
        <v>143.63999999999999</v>
      </c>
      <c r="D12" s="6">
        <f t="shared" si="0"/>
        <v>143.63999999999999</v>
      </c>
      <c r="E12" s="205"/>
      <c r="F12" s="123">
        <v>800</v>
      </c>
      <c r="G12" s="32" t="s">
        <v>47</v>
      </c>
      <c r="H12" s="36">
        <v>1</v>
      </c>
      <c r="I12" s="74">
        <v>22</v>
      </c>
      <c r="J12" s="8">
        <f t="shared" si="3"/>
        <v>3160.08</v>
      </c>
      <c r="K12" s="85">
        <f t="shared" si="2"/>
        <v>0.17954999999999999</v>
      </c>
    </row>
    <row r="13" spans="1:16" x14ac:dyDescent="0.35">
      <c r="A13" s="30" t="s">
        <v>103</v>
      </c>
      <c r="B13" s="31">
        <v>1</v>
      </c>
      <c r="C13" s="65">
        <f>39.08+29.03+14.17+12.03</f>
        <v>94.31</v>
      </c>
      <c r="D13" s="6">
        <f t="shared" si="0"/>
        <v>94.31</v>
      </c>
      <c r="E13" s="205"/>
      <c r="F13" s="123">
        <v>800</v>
      </c>
      <c r="G13" s="32" t="s">
        <v>47</v>
      </c>
      <c r="H13" s="36">
        <v>1</v>
      </c>
      <c r="I13" s="74">
        <v>22</v>
      </c>
      <c r="J13" s="8">
        <f t="shared" si="3"/>
        <v>2074.8200000000002</v>
      </c>
      <c r="K13" s="85">
        <f t="shared" si="2"/>
        <v>0.11788750000000001</v>
      </c>
    </row>
    <row r="14" spans="1:16" x14ac:dyDescent="0.35">
      <c r="A14" s="39"/>
      <c r="B14" s="40"/>
      <c r="C14" s="67"/>
      <c r="D14" s="6">
        <f t="shared" si="0"/>
        <v>0</v>
      </c>
      <c r="E14" s="213" t="s">
        <v>12</v>
      </c>
      <c r="F14" s="124">
        <v>360</v>
      </c>
      <c r="G14" s="41"/>
      <c r="H14" s="42"/>
      <c r="I14" s="76"/>
      <c r="J14" s="8">
        <f>D14*I14</f>
        <v>0</v>
      </c>
      <c r="K14" s="87">
        <f>J14/F14/22</f>
        <v>0</v>
      </c>
      <c r="P14" s="26"/>
    </row>
    <row r="15" spans="1:16" x14ac:dyDescent="0.35">
      <c r="A15" s="39"/>
      <c r="B15" s="40"/>
      <c r="C15" s="67"/>
      <c r="D15" s="6">
        <f t="shared" si="0"/>
        <v>0</v>
      </c>
      <c r="E15" s="213"/>
      <c r="F15" s="124">
        <v>360</v>
      </c>
      <c r="G15" s="41"/>
      <c r="H15" s="42"/>
      <c r="I15" s="76"/>
      <c r="J15" s="8">
        <f t="shared" ref="J15:J17" si="4">D15*I15</f>
        <v>0</v>
      </c>
      <c r="K15" s="87">
        <f t="shared" ref="K15:K17" si="5">J15/F15/22</f>
        <v>0</v>
      </c>
    </row>
    <row r="16" spans="1:16" x14ac:dyDescent="0.35">
      <c r="A16" s="39"/>
      <c r="B16" s="40"/>
      <c r="C16" s="67"/>
      <c r="D16" s="6">
        <f t="shared" si="0"/>
        <v>0</v>
      </c>
      <c r="E16" s="213"/>
      <c r="F16" s="124">
        <v>360</v>
      </c>
      <c r="G16" s="41"/>
      <c r="H16" s="42"/>
      <c r="I16" s="76"/>
      <c r="J16" s="8">
        <f t="shared" si="4"/>
        <v>0</v>
      </c>
      <c r="K16" s="87">
        <f t="shared" si="5"/>
        <v>0</v>
      </c>
    </row>
    <row r="17" spans="1:11" x14ac:dyDescent="0.35">
      <c r="A17" s="39"/>
      <c r="B17" s="40"/>
      <c r="C17" s="67"/>
      <c r="D17" s="6">
        <f t="shared" si="0"/>
        <v>0</v>
      </c>
      <c r="E17" s="213"/>
      <c r="F17" s="124">
        <v>360</v>
      </c>
      <c r="G17" s="41"/>
      <c r="H17" s="42"/>
      <c r="I17" s="76"/>
      <c r="J17" s="8">
        <f t="shared" si="4"/>
        <v>0</v>
      </c>
      <c r="K17" s="87">
        <f t="shared" si="5"/>
        <v>0</v>
      </c>
    </row>
    <row r="18" spans="1:11" x14ac:dyDescent="0.35">
      <c r="A18" s="43" t="s">
        <v>58</v>
      </c>
      <c r="B18" s="44">
        <v>1</v>
      </c>
      <c r="C18" s="68">
        <v>84.375</v>
      </c>
      <c r="D18" s="6">
        <f t="shared" si="0"/>
        <v>84.375</v>
      </c>
      <c r="E18" s="214" t="s">
        <v>13</v>
      </c>
      <c r="F18" s="125">
        <v>1500</v>
      </c>
      <c r="G18" s="45" t="s">
        <v>48</v>
      </c>
      <c r="H18" s="45">
        <v>1</v>
      </c>
      <c r="I18" s="77">
        <v>4</v>
      </c>
      <c r="J18" s="8">
        <f>D18*I18</f>
        <v>337.5</v>
      </c>
      <c r="K18" s="88">
        <f>J18/F18/22</f>
        <v>1.0227272727272727E-2</v>
      </c>
    </row>
    <row r="19" spans="1:11" x14ac:dyDescent="0.35">
      <c r="A19" s="43" t="s">
        <v>67</v>
      </c>
      <c r="B19" s="44">
        <v>1</v>
      </c>
      <c r="C19" s="68">
        <v>28</v>
      </c>
      <c r="D19" s="6">
        <f t="shared" si="0"/>
        <v>28</v>
      </c>
      <c r="E19" s="214"/>
      <c r="F19" s="125">
        <v>1500</v>
      </c>
      <c r="G19" s="45" t="s">
        <v>48</v>
      </c>
      <c r="H19" s="45">
        <v>1</v>
      </c>
      <c r="I19" s="77">
        <v>4</v>
      </c>
      <c r="J19" s="8">
        <f>D19*I19</f>
        <v>112</v>
      </c>
      <c r="K19" s="88">
        <f t="shared" ref="K19:K21" si="6">J19/F19/22</f>
        <v>3.393939393939394E-3</v>
      </c>
    </row>
    <row r="20" spans="1:11" x14ac:dyDescent="0.35">
      <c r="A20" s="43" t="s">
        <v>68</v>
      </c>
      <c r="B20" s="44">
        <v>1</v>
      </c>
      <c r="C20" s="68">
        <v>22.397200000000002</v>
      </c>
      <c r="D20" s="6">
        <f t="shared" si="0"/>
        <v>22.397200000000002</v>
      </c>
      <c r="E20" s="214"/>
      <c r="F20" s="125">
        <v>1500</v>
      </c>
      <c r="G20" s="45" t="s">
        <v>48</v>
      </c>
      <c r="H20" s="45">
        <v>1</v>
      </c>
      <c r="I20" s="77">
        <v>4</v>
      </c>
      <c r="J20" s="8">
        <f t="shared" ref="J20:J21" si="7">D20*I20</f>
        <v>89.588800000000006</v>
      </c>
      <c r="K20" s="88">
        <f t="shared" si="6"/>
        <v>2.7148121212121211E-3</v>
      </c>
    </row>
    <row r="21" spans="1:11" x14ac:dyDescent="0.35">
      <c r="A21" s="43" t="s">
        <v>59</v>
      </c>
      <c r="B21" s="44">
        <v>1</v>
      </c>
      <c r="C21" s="68">
        <v>255.44</v>
      </c>
      <c r="D21" s="6">
        <f t="shared" si="0"/>
        <v>255.44</v>
      </c>
      <c r="E21" s="214"/>
      <c r="F21" s="125">
        <v>1500</v>
      </c>
      <c r="G21" s="45" t="s">
        <v>48</v>
      </c>
      <c r="H21" s="45">
        <v>1</v>
      </c>
      <c r="I21" s="77">
        <v>4</v>
      </c>
      <c r="J21" s="8">
        <f t="shared" si="7"/>
        <v>1021.76</v>
      </c>
      <c r="K21" s="88">
        <f t="shared" si="6"/>
        <v>3.0962424242424239E-2</v>
      </c>
    </row>
    <row r="22" spans="1:11" x14ac:dyDescent="0.35">
      <c r="A22" s="43"/>
      <c r="B22" s="44"/>
      <c r="C22" s="68"/>
      <c r="D22" s="6">
        <f t="shared" si="0"/>
        <v>0</v>
      </c>
      <c r="E22" s="214"/>
      <c r="F22" s="125">
        <v>1500</v>
      </c>
      <c r="G22" s="45"/>
      <c r="H22" s="45"/>
      <c r="I22" s="77"/>
      <c r="J22" s="8">
        <f t="shared" ref="J22" si="8">D22*I22</f>
        <v>0</v>
      </c>
      <c r="K22" s="88">
        <f t="shared" ref="K22" si="9">J22/F22/22</f>
        <v>0</v>
      </c>
    </row>
    <row r="23" spans="1:11" x14ac:dyDescent="0.35">
      <c r="A23" s="46" t="s">
        <v>54</v>
      </c>
      <c r="B23" s="47">
        <v>1</v>
      </c>
      <c r="C23" s="69">
        <v>28.574999999999999</v>
      </c>
      <c r="D23" s="6">
        <f t="shared" si="0"/>
        <v>28.574999999999999</v>
      </c>
      <c r="E23" s="203" t="s">
        <v>14</v>
      </c>
      <c r="F23" s="126">
        <v>1200</v>
      </c>
      <c r="G23" s="48" t="s">
        <v>50</v>
      </c>
      <c r="H23" s="48">
        <v>1</v>
      </c>
      <c r="I23" s="78">
        <v>1</v>
      </c>
      <c r="J23" s="8">
        <f>D23*I23</f>
        <v>28.574999999999999</v>
      </c>
      <c r="K23" s="89">
        <f>J23/F23/22</f>
        <v>1.0823863636363637E-3</v>
      </c>
    </row>
    <row r="24" spans="1:11" x14ac:dyDescent="0.35">
      <c r="A24" s="46"/>
      <c r="B24" s="47"/>
      <c r="C24" s="69"/>
      <c r="D24" s="6">
        <f t="shared" si="0"/>
        <v>0</v>
      </c>
      <c r="E24" s="203"/>
      <c r="F24" s="126">
        <v>1200</v>
      </c>
      <c r="G24" s="48"/>
      <c r="H24" s="48"/>
      <c r="I24" s="78"/>
      <c r="J24" s="8">
        <f t="shared" ref="J24:J25" si="10">D24*I24</f>
        <v>0</v>
      </c>
      <c r="K24" s="89">
        <f t="shared" ref="K24:K25" si="11">J24/F24/22</f>
        <v>0</v>
      </c>
    </row>
    <row r="25" spans="1:11" x14ac:dyDescent="0.35">
      <c r="A25" s="46"/>
      <c r="B25" s="47"/>
      <c r="C25" s="69"/>
      <c r="D25" s="6">
        <f t="shared" si="0"/>
        <v>0</v>
      </c>
      <c r="E25" s="203"/>
      <c r="F25" s="126">
        <v>1200</v>
      </c>
      <c r="G25" s="48"/>
      <c r="H25" s="48"/>
      <c r="I25" s="78"/>
      <c r="J25" s="8">
        <f t="shared" si="10"/>
        <v>0</v>
      </c>
      <c r="K25" s="89">
        <f t="shared" si="11"/>
        <v>0</v>
      </c>
    </row>
    <row r="26" spans="1:11" x14ac:dyDescent="0.35">
      <c r="A26" s="49" t="s">
        <v>56</v>
      </c>
      <c r="B26" s="50">
        <v>24.08</v>
      </c>
      <c r="C26" s="70">
        <v>2.6</v>
      </c>
      <c r="D26" s="6">
        <f t="shared" si="0"/>
        <v>62.607999999999997</v>
      </c>
      <c r="E26" s="215" t="s">
        <v>15</v>
      </c>
      <c r="F26" s="127">
        <v>1000</v>
      </c>
      <c r="G26" s="51" t="s">
        <v>47</v>
      </c>
      <c r="H26" s="51">
        <v>1</v>
      </c>
      <c r="I26" s="79">
        <v>22</v>
      </c>
      <c r="J26" s="8">
        <f>D26*I26</f>
        <v>1377.376</v>
      </c>
      <c r="K26" s="90">
        <f>J26/F26/22</f>
        <v>6.2607999999999997E-2</v>
      </c>
    </row>
    <row r="27" spans="1:11" x14ac:dyDescent="0.35">
      <c r="A27" s="49" t="s">
        <v>61</v>
      </c>
      <c r="B27" s="50">
        <v>1</v>
      </c>
      <c r="C27" s="70">
        <v>12.04</v>
      </c>
      <c r="D27" s="6">
        <f t="shared" si="0"/>
        <v>12.04</v>
      </c>
      <c r="E27" s="215"/>
      <c r="F27" s="127">
        <v>1000</v>
      </c>
      <c r="G27" s="51" t="s">
        <v>47</v>
      </c>
      <c r="H27" s="51">
        <v>1</v>
      </c>
      <c r="I27" s="79">
        <v>22</v>
      </c>
      <c r="J27" s="8">
        <f t="shared" ref="J27:J40" si="12">D27*I27</f>
        <v>264.88</v>
      </c>
      <c r="K27" s="90">
        <f t="shared" ref="K27:K40" si="13">J27/F27/22</f>
        <v>1.204E-2</v>
      </c>
    </row>
    <row r="28" spans="1:11" x14ac:dyDescent="0.35">
      <c r="A28" s="49" t="s">
        <v>62</v>
      </c>
      <c r="B28" s="50">
        <v>1</v>
      </c>
      <c r="C28" s="70">
        <v>154.43</v>
      </c>
      <c r="D28" s="6">
        <f t="shared" si="0"/>
        <v>154.43</v>
      </c>
      <c r="E28" s="215"/>
      <c r="F28" s="127">
        <v>1000</v>
      </c>
      <c r="G28" s="51" t="s">
        <v>47</v>
      </c>
      <c r="H28" s="51">
        <v>1</v>
      </c>
      <c r="I28" s="79">
        <v>22</v>
      </c>
      <c r="J28" s="8">
        <f t="shared" si="12"/>
        <v>3397.46</v>
      </c>
      <c r="K28" s="90">
        <f t="shared" si="13"/>
        <v>0.15443000000000001</v>
      </c>
    </row>
    <row r="29" spans="1:11" x14ac:dyDescent="0.35">
      <c r="A29" s="49" t="s">
        <v>66</v>
      </c>
      <c r="B29" s="50">
        <v>1</v>
      </c>
      <c r="C29" s="70">
        <v>11.7</v>
      </c>
      <c r="D29" s="6">
        <f t="shared" si="0"/>
        <v>11.7</v>
      </c>
      <c r="E29" s="215"/>
      <c r="F29" s="127">
        <v>1000</v>
      </c>
      <c r="G29" s="51" t="s">
        <v>47</v>
      </c>
      <c r="H29" s="51">
        <v>1</v>
      </c>
      <c r="I29" s="79">
        <v>22</v>
      </c>
      <c r="J29" s="8">
        <f t="shared" si="12"/>
        <v>257.39999999999998</v>
      </c>
      <c r="K29" s="90">
        <f t="shared" si="13"/>
        <v>1.1699999999999999E-2</v>
      </c>
    </row>
    <row r="30" spans="1:11" x14ac:dyDescent="0.35">
      <c r="A30" s="49" t="s">
        <v>70</v>
      </c>
      <c r="B30" s="50">
        <v>1</v>
      </c>
      <c r="C30" s="70">
        <v>21.83</v>
      </c>
      <c r="D30" s="6">
        <f t="shared" si="0"/>
        <v>21.83</v>
      </c>
      <c r="E30" s="215"/>
      <c r="F30" s="127">
        <v>1000</v>
      </c>
      <c r="G30" s="51" t="s">
        <v>47</v>
      </c>
      <c r="H30" s="51">
        <v>1</v>
      </c>
      <c r="I30" s="79">
        <v>22</v>
      </c>
      <c r="J30" s="8">
        <f t="shared" si="12"/>
        <v>480.26</v>
      </c>
      <c r="K30" s="90">
        <f t="shared" si="13"/>
        <v>2.1829999999999999E-2</v>
      </c>
    </row>
    <row r="31" spans="1:11" x14ac:dyDescent="0.35">
      <c r="A31" s="49" t="s">
        <v>72</v>
      </c>
      <c r="B31" s="50">
        <v>1</v>
      </c>
      <c r="C31" s="70">
        <v>12.2</v>
      </c>
      <c r="D31" s="6">
        <f t="shared" si="0"/>
        <v>12.2</v>
      </c>
      <c r="E31" s="215"/>
      <c r="F31" s="127">
        <v>1000</v>
      </c>
      <c r="G31" s="51" t="s">
        <v>47</v>
      </c>
      <c r="H31" s="51">
        <v>1</v>
      </c>
      <c r="I31" s="79">
        <v>22</v>
      </c>
      <c r="J31" s="8">
        <f t="shared" si="12"/>
        <v>268.39999999999998</v>
      </c>
      <c r="K31" s="90">
        <f t="shared" si="13"/>
        <v>1.2199999999999999E-2</v>
      </c>
    </row>
    <row r="32" spans="1:11" x14ac:dyDescent="0.35">
      <c r="A32" s="49" t="s">
        <v>73</v>
      </c>
      <c r="B32" s="50">
        <v>1</v>
      </c>
      <c r="C32" s="70">
        <f>28.95+20</f>
        <v>48.95</v>
      </c>
      <c r="D32" s="6">
        <f t="shared" si="0"/>
        <v>48.95</v>
      </c>
      <c r="E32" s="215"/>
      <c r="F32" s="127">
        <v>1000</v>
      </c>
      <c r="G32" s="51" t="s">
        <v>47</v>
      </c>
      <c r="H32" s="51">
        <v>1</v>
      </c>
      <c r="I32" s="79">
        <v>22</v>
      </c>
      <c r="J32" s="8">
        <f t="shared" si="12"/>
        <v>1076.9000000000001</v>
      </c>
      <c r="K32" s="90">
        <f t="shared" si="13"/>
        <v>4.8950000000000007E-2</v>
      </c>
    </row>
    <row r="33" spans="1:11" x14ac:dyDescent="0.35">
      <c r="A33" s="49" t="s">
        <v>82</v>
      </c>
      <c r="B33" s="50">
        <v>1</v>
      </c>
      <c r="C33" s="70">
        <v>12.3</v>
      </c>
      <c r="D33" s="6">
        <f t="shared" si="0"/>
        <v>12.3</v>
      </c>
      <c r="E33" s="215"/>
      <c r="F33" s="127">
        <v>1000</v>
      </c>
      <c r="G33" s="51" t="s">
        <v>47</v>
      </c>
      <c r="H33" s="51">
        <v>1</v>
      </c>
      <c r="I33" s="79">
        <v>22</v>
      </c>
      <c r="J33" s="8">
        <f t="shared" si="12"/>
        <v>270.60000000000002</v>
      </c>
      <c r="K33" s="90">
        <f t="shared" si="13"/>
        <v>1.23E-2</v>
      </c>
    </row>
    <row r="34" spans="1:11" x14ac:dyDescent="0.35">
      <c r="A34" s="49" t="s">
        <v>83</v>
      </c>
      <c r="B34" s="50">
        <v>1</v>
      </c>
      <c r="C34" s="70">
        <v>60.43</v>
      </c>
      <c r="D34" s="6">
        <f t="shared" si="0"/>
        <v>60.43</v>
      </c>
      <c r="E34" s="215"/>
      <c r="F34" s="127">
        <v>1000</v>
      </c>
      <c r="G34" s="51" t="s">
        <v>47</v>
      </c>
      <c r="H34" s="51">
        <v>1</v>
      </c>
      <c r="I34" s="79">
        <v>22</v>
      </c>
      <c r="J34" s="8">
        <f t="shared" si="12"/>
        <v>1329.46</v>
      </c>
      <c r="K34" s="90">
        <f t="shared" si="13"/>
        <v>6.0430000000000005E-2</v>
      </c>
    </row>
    <row r="35" spans="1:11" x14ac:dyDescent="0.35">
      <c r="A35" s="49" t="s">
        <v>84</v>
      </c>
      <c r="B35" s="50">
        <v>1</v>
      </c>
      <c r="C35" s="70">
        <v>12.09</v>
      </c>
      <c r="D35" s="6">
        <f t="shared" si="0"/>
        <v>12.09</v>
      </c>
      <c r="E35" s="215"/>
      <c r="F35" s="127">
        <v>1000</v>
      </c>
      <c r="G35" s="51" t="s">
        <v>47</v>
      </c>
      <c r="H35" s="51">
        <v>1</v>
      </c>
      <c r="I35" s="79">
        <v>22</v>
      </c>
      <c r="J35" s="8">
        <f t="shared" si="12"/>
        <v>265.98</v>
      </c>
      <c r="K35" s="90">
        <f t="shared" si="13"/>
        <v>1.209E-2</v>
      </c>
    </row>
    <row r="36" spans="1:11" x14ac:dyDescent="0.35">
      <c r="A36" s="49" t="s">
        <v>89</v>
      </c>
      <c r="B36" s="50">
        <v>1</v>
      </c>
      <c r="C36" s="70">
        <v>35.22</v>
      </c>
      <c r="D36" s="6">
        <f t="shared" si="0"/>
        <v>35.22</v>
      </c>
      <c r="E36" s="215"/>
      <c r="F36" s="127">
        <v>1000</v>
      </c>
      <c r="G36" s="51" t="s">
        <v>47</v>
      </c>
      <c r="H36" s="51">
        <v>1</v>
      </c>
      <c r="I36" s="79">
        <v>22</v>
      </c>
      <c r="J36" s="8">
        <f t="shared" si="12"/>
        <v>774.83999999999992</v>
      </c>
      <c r="K36" s="90">
        <f t="shared" si="13"/>
        <v>3.5220000000000001E-2</v>
      </c>
    </row>
    <row r="37" spans="1:11" x14ac:dyDescent="0.35">
      <c r="A37" s="49" t="s">
        <v>90</v>
      </c>
      <c r="B37" s="50">
        <v>1</v>
      </c>
      <c r="C37" s="70">
        <v>11.16</v>
      </c>
      <c r="D37" s="6">
        <f t="shared" si="0"/>
        <v>11.16</v>
      </c>
      <c r="E37" s="215"/>
      <c r="F37" s="127">
        <v>1000</v>
      </c>
      <c r="G37" s="51" t="s">
        <v>47</v>
      </c>
      <c r="H37" s="51">
        <v>1</v>
      </c>
      <c r="I37" s="79">
        <v>22</v>
      </c>
      <c r="J37" s="8">
        <f t="shared" si="12"/>
        <v>245.52</v>
      </c>
      <c r="K37" s="90">
        <f t="shared" si="13"/>
        <v>1.1160000000000002E-2</v>
      </c>
    </row>
    <row r="38" spans="1:11" x14ac:dyDescent="0.35">
      <c r="A38" s="49" t="s">
        <v>93</v>
      </c>
      <c r="B38" s="50">
        <v>1</v>
      </c>
      <c r="C38" s="70">
        <v>35.700000000000003</v>
      </c>
      <c r="D38" s="6">
        <f t="shared" si="0"/>
        <v>35.700000000000003</v>
      </c>
      <c r="E38" s="215"/>
      <c r="F38" s="127">
        <v>1000</v>
      </c>
      <c r="G38" s="51" t="s">
        <v>47</v>
      </c>
      <c r="H38" s="51">
        <v>1</v>
      </c>
      <c r="I38" s="79">
        <v>22</v>
      </c>
      <c r="J38" s="8">
        <f t="shared" si="12"/>
        <v>785.40000000000009</v>
      </c>
      <c r="K38" s="90">
        <f t="shared" si="13"/>
        <v>3.5700000000000003E-2</v>
      </c>
    </row>
    <row r="39" spans="1:11" x14ac:dyDescent="0.35">
      <c r="A39" s="49" t="s">
        <v>95</v>
      </c>
      <c r="B39" s="50">
        <v>1</v>
      </c>
      <c r="C39" s="70">
        <v>11.62</v>
      </c>
      <c r="D39" s="6">
        <f t="shared" si="0"/>
        <v>11.62</v>
      </c>
      <c r="E39" s="215"/>
      <c r="F39" s="127">
        <v>1000</v>
      </c>
      <c r="G39" s="51" t="s">
        <v>47</v>
      </c>
      <c r="H39" s="51">
        <v>1</v>
      </c>
      <c r="I39" s="79">
        <v>22</v>
      </c>
      <c r="J39" s="8">
        <f t="shared" si="12"/>
        <v>255.64</v>
      </c>
      <c r="K39" s="90">
        <f t="shared" si="13"/>
        <v>1.1619999999999998E-2</v>
      </c>
    </row>
    <row r="40" spans="1:11" x14ac:dyDescent="0.35">
      <c r="A40" s="49" t="s">
        <v>100</v>
      </c>
      <c r="B40" s="50">
        <v>1</v>
      </c>
      <c r="C40" s="70">
        <v>14.86</v>
      </c>
      <c r="D40" s="6">
        <f t="shared" si="0"/>
        <v>14.86</v>
      </c>
      <c r="E40" s="215"/>
      <c r="F40" s="127">
        <v>1000</v>
      </c>
      <c r="G40" s="51" t="s">
        <v>47</v>
      </c>
      <c r="H40" s="51">
        <v>1</v>
      </c>
      <c r="I40" s="79">
        <v>22</v>
      </c>
      <c r="J40" s="8">
        <f t="shared" si="12"/>
        <v>326.91999999999996</v>
      </c>
      <c r="K40" s="90">
        <f t="shared" si="13"/>
        <v>1.4859999999999996E-2</v>
      </c>
    </row>
    <row r="41" spans="1:11" x14ac:dyDescent="0.35">
      <c r="A41" s="52" t="s">
        <v>57</v>
      </c>
      <c r="B41" s="53">
        <v>1</v>
      </c>
      <c r="C41" s="71">
        <f>7.6575+19.34</f>
        <v>26.997499999999999</v>
      </c>
      <c r="D41" s="6">
        <f t="shared" si="0"/>
        <v>26.997499999999999</v>
      </c>
      <c r="E41" s="217" t="s">
        <v>16</v>
      </c>
      <c r="F41" s="128">
        <v>200</v>
      </c>
      <c r="G41" s="54" t="s">
        <v>47</v>
      </c>
      <c r="H41" s="54">
        <v>2</v>
      </c>
      <c r="I41" s="80">
        <v>44</v>
      </c>
      <c r="J41" s="8">
        <f>D41*I41</f>
        <v>1187.8899999999999</v>
      </c>
      <c r="K41" s="91">
        <f>J41/F41/22</f>
        <v>0.26997499999999997</v>
      </c>
    </row>
    <row r="42" spans="1:11" x14ac:dyDescent="0.35">
      <c r="A42" s="52" t="s">
        <v>60</v>
      </c>
      <c r="B42" s="53">
        <v>1</v>
      </c>
      <c r="C42" s="71">
        <v>63.27</v>
      </c>
      <c r="D42" s="6">
        <f t="shared" si="0"/>
        <v>63.27</v>
      </c>
      <c r="E42" s="217"/>
      <c r="F42" s="128">
        <v>200</v>
      </c>
      <c r="G42" s="54" t="s">
        <v>47</v>
      </c>
      <c r="H42" s="54">
        <v>2</v>
      </c>
      <c r="I42" s="80">
        <v>44</v>
      </c>
      <c r="J42" s="8">
        <f t="shared" ref="J42:J52" si="14">D42*I42</f>
        <v>2783.88</v>
      </c>
      <c r="K42" s="91">
        <f t="shared" ref="K42:K52" si="15">J42/F42/22</f>
        <v>0.63270000000000004</v>
      </c>
    </row>
    <row r="43" spans="1:11" x14ac:dyDescent="0.35">
      <c r="A43" s="52" t="s">
        <v>63</v>
      </c>
      <c r="B43" s="53">
        <v>1</v>
      </c>
      <c r="C43" s="71">
        <v>26.09</v>
      </c>
      <c r="D43" s="6">
        <f t="shared" si="0"/>
        <v>26.09</v>
      </c>
      <c r="E43" s="217"/>
      <c r="F43" s="128">
        <v>200</v>
      </c>
      <c r="G43" s="54" t="s">
        <v>47</v>
      </c>
      <c r="H43" s="54">
        <v>2</v>
      </c>
      <c r="I43" s="80">
        <v>44</v>
      </c>
      <c r="J43" s="8">
        <f t="shared" si="14"/>
        <v>1147.96</v>
      </c>
      <c r="K43" s="91">
        <f t="shared" si="15"/>
        <v>0.26089999999999997</v>
      </c>
    </row>
    <row r="44" spans="1:11" x14ac:dyDescent="0.35">
      <c r="A44" s="52" t="s">
        <v>71</v>
      </c>
      <c r="B44" s="53">
        <v>1</v>
      </c>
      <c r="C44" s="71">
        <f>12.34+8.39</f>
        <v>20.73</v>
      </c>
      <c r="D44" s="6">
        <f t="shared" si="0"/>
        <v>20.73</v>
      </c>
      <c r="E44" s="217"/>
      <c r="F44" s="128">
        <v>200</v>
      </c>
      <c r="G44" s="54" t="s">
        <v>47</v>
      </c>
      <c r="H44" s="54">
        <v>2</v>
      </c>
      <c r="I44" s="80">
        <v>44</v>
      </c>
      <c r="J44" s="8">
        <f t="shared" si="14"/>
        <v>912.12</v>
      </c>
      <c r="K44" s="91">
        <f t="shared" si="15"/>
        <v>0.20730000000000001</v>
      </c>
    </row>
    <row r="45" spans="1:11" x14ac:dyDescent="0.35">
      <c r="A45" s="52" t="s">
        <v>74</v>
      </c>
      <c r="B45" s="53">
        <v>1</v>
      </c>
      <c r="C45" s="71">
        <f>15.39+9.85</f>
        <v>25.240000000000002</v>
      </c>
      <c r="D45" s="6">
        <f t="shared" si="0"/>
        <v>25.240000000000002</v>
      </c>
      <c r="E45" s="217"/>
      <c r="F45" s="128">
        <v>200</v>
      </c>
      <c r="G45" s="54" t="s">
        <v>47</v>
      </c>
      <c r="H45" s="54">
        <v>2</v>
      </c>
      <c r="I45" s="80">
        <v>44</v>
      </c>
      <c r="J45" s="8">
        <f t="shared" si="14"/>
        <v>1110.5600000000002</v>
      </c>
      <c r="K45" s="91">
        <f t="shared" si="15"/>
        <v>0.25240000000000007</v>
      </c>
    </row>
    <row r="46" spans="1:11" x14ac:dyDescent="0.35">
      <c r="A46" s="52" t="s">
        <v>75</v>
      </c>
      <c r="B46" s="53">
        <v>1</v>
      </c>
      <c r="C46" s="71">
        <v>12.18</v>
      </c>
      <c r="D46" s="6">
        <f t="shared" ref="D46:D94" si="16">B46*C46</f>
        <v>12.18</v>
      </c>
      <c r="E46" s="217"/>
      <c r="F46" s="128">
        <v>200</v>
      </c>
      <c r="G46" s="54" t="s">
        <v>47</v>
      </c>
      <c r="H46" s="54">
        <v>2</v>
      </c>
      <c r="I46" s="80">
        <v>44</v>
      </c>
      <c r="J46" s="8">
        <f t="shared" si="14"/>
        <v>535.91999999999996</v>
      </c>
      <c r="K46" s="91">
        <f t="shared" si="15"/>
        <v>0.12179999999999999</v>
      </c>
    </row>
    <row r="47" spans="1:11" x14ac:dyDescent="0.35">
      <c r="A47" s="52" t="s">
        <v>86</v>
      </c>
      <c r="B47" s="53">
        <v>1</v>
      </c>
      <c r="C47" s="71">
        <f>20.7</f>
        <v>20.7</v>
      </c>
      <c r="D47" s="6">
        <f t="shared" si="16"/>
        <v>20.7</v>
      </c>
      <c r="E47" s="217"/>
      <c r="F47" s="128">
        <v>200</v>
      </c>
      <c r="G47" s="54" t="s">
        <v>47</v>
      </c>
      <c r="H47" s="54">
        <v>2</v>
      </c>
      <c r="I47" s="80">
        <v>44</v>
      </c>
      <c r="J47" s="8">
        <f t="shared" si="14"/>
        <v>910.8</v>
      </c>
      <c r="K47" s="91">
        <f t="shared" si="15"/>
        <v>0.20699999999999996</v>
      </c>
    </row>
    <row r="48" spans="1:11" x14ac:dyDescent="0.35">
      <c r="A48" s="52" t="s">
        <v>85</v>
      </c>
      <c r="B48" s="53">
        <v>1</v>
      </c>
      <c r="C48" s="71">
        <v>8</v>
      </c>
      <c r="D48" s="6">
        <f t="shared" si="16"/>
        <v>8</v>
      </c>
      <c r="E48" s="217"/>
      <c r="F48" s="128">
        <v>200</v>
      </c>
      <c r="G48" s="54" t="s">
        <v>47</v>
      </c>
      <c r="H48" s="54">
        <v>2</v>
      </c>
      <c r="I48" s="80">
        <v>44</v>
      </c>
      <c r="J48" s="8">
        <f t="shared" si="14"/>
        <v>352</v>
      </c>
      <c r="K48" s="91">
        <f t="shared" si="15"/>
        <v>0.08</v>
      </c>
    </row>
    <row r="49" spans="1:16" x14ac:dyDescent="0.35">
      <c r="A49" s="52" t="s">
        <v>91</v>
      </c>
      <c r="B49" s="53">
        <v>1</v>
      </c>
      <c r="C49" s="71">
        <v>18.53</v>
      </c>
      <c r="D49" s="6">
        <f t="shared" si="16"/>
        <v>18.53</v>
      </c>
      <c r="E49" s="217"/>
      <c r="F49" s="128">
        <v>200</v>
      </c>
      <c r="G49" s="54" t="s">
        <v>47</v>
      </c>
      <c r="H49" s="54">
        <v>2</v>
      </c>
      <c r="I49" s="80">
        <v>44</v>
      </c>
      <c r="J49" s="8">
        <f t="shared" si="14"/>
        <v>815.32</v>
      </c>
      <c r="K49" s="91">
        <f t="shared" si="15"/>
        <v>0.18529999999999999</v>
      </c>
    </row>
    <row r="50" spans="1:16" x14ac:dyDescent="0.35">
      <c r="A50" s="52" t="s">
        <v>94</v>
      </c>
      <c r="B50" s="53">
        <v>1</v>
      </c>
      <c r="C50" s="71">
        <v>18.75</v>
      </c>
      <c r="D50" s="6">
        <f t="shared" si="16"/>
        <v>18.75</v>
      </c>
      <c r="E50" s="217"/>
      <c r="F50" s="128">
        <v>200</v>
      </c>
      <c r="G50" s="54" t="s">
        <v>47</v>
      </c>
      <c r="H50" s="54">
        <v>2</v>
      </c>
      <c r="I50" s="80">
        <v>44</v>
      </c>
      <c r="J50" s="8">
        <f t="shared" si="14"/>
        <v>825</v>
      </c>
      <c r="K50" s="91">
        <f t="shared" si="15"/>
        <v>0.1875</v>
      </c>
    </row>
    <row r="51" spans="1:16" x14ac:dyDescent="0.35">
      <c r="A51" s="52" t="s">
        <v>101</v>
      </c>
      <c r="B51" s="53">
        <v>1</v>
      </c>
      <c r="C51" s="71">
        <f>4.33+4.04+3.56</f>
        <v>11.930000000000001</v>
      </c>
      <c r="D51" s="6">
        <f t="shared" si="16"/>
        <v>11.930000000000001</v>
      </c>
      <c r="E51" s="217"/>
      <c r="F51" s="128">
        <v>200</v>
      </c>
      <c r="G51" s="54" t="s">
        <v>47</v>
      </c>
      <c r="H51" s="54">
        <v>2</v>
      </c>
      <c r="I51" s="80">
        <v>44</v>
      </c>
      <c r="J51" s="8">
        <f t="shared" si="14"/>
        <v>524.92000000000007</v>
      </c>
      <c r="K51" s="91">
        <f t="shared" si="15"/>
        <v>0.11930000000000002</v>
      </c>
    </row>
    <row r="52" spans="1:16" x14ac:dyDescent="0.35">
      <c r="A52" s="52" t="s">
        <v>104</v>
      </c>
      <c r="B52" s="53">
        <v>1</v>
      </c>
      <c r="C52" s="71">
        <v>5.51</v>
      </c>
      <c r="D52" s="6">
        <f t="shared" si="16"/>
        <v>5.51</v>
      </c>
      <c r="E52" s="217"/>
      <c r="F52" s="128">
        <v>200</v>
      </c>
      <c r="G52" s="54" t="s">
        <v>47</v>
      </c>
      <c r="H52" s="54">
        <v>2</v>
      </c>
      <c r="I52" s="80">
        <v>44</v>
      </c>
      <c r="J52" s="8">
        <f t="shared" si="14"/>
        <v>242.44</v>
      </c>
      <c r="K52" s="91">
        <f t="shared" si="15"/>
        <v>5.5099999999999996E-2</v>
      </c>
    </row>
    <row r="53" spans="1:16" x14ac:dyDescent="0.35">
      <c r="A53" s="30" t="s">
        <v>55</v>
      </c>
      <c r="B53" s="31">
        <v>1</v>
      </c>
      <c r="C53" s="65">
        <v>118</v>
      </c>
      <c r="D53" s="6">
        <f t="shared" si="16"/>
        <v>118</v>
      </c>
      <c r="E53" s="205" t="s">
        <v>17</v>
      </c>
      <c r="F53" s="123">
        <v>1800</v>
      </c>
      <c r="G53" s="32" t="s">
        <v>48</v>
      </c>
      <c r="H53" s="36">
        <v>1</v>
      </c>
      <c r="I53" s="74">
        <v>4</v>
      </c>
      <c r="J53" s="8">
        <f>D53*I53</f>
        <v>472</v>
      </c>
      <c r="K53" s="85">
        <f>J53/F53/22</f>
        <v>1.191919191919192E-2</v>
      </c>
      <c r="P53" s="26"/>
    </row>
    <row r="54" spans="1:16" x14ac:dyDescent="0.35">
      <c r="A54" s="30" t="s">
        <v>69</v>
      </c>
      <c r="B54" s="31">
        <v>1</v>
      </c>
      <c r="C54" s="65">
        <v>36.4</v>
      </c>
      <c r="D54" s="6">
        <f t="shared" si="16"/>
        <v>36.4</v>
      </c>
      <c r="E54" s="205"/>
      <c r="F54" s="123">
        <v>1800</v>
      </c>
      <c r="G54" s="32" t="s">
        <v>48</v>
      </c>
      <c r="H54" s="36">
        <v>1</v>
      </c>
      <c r="I54" s="74">
        <v>4</v>
      </c>
      <c r="J54" s="8">
        <f t="shared" ref="J54:J57" si="17">D54*I54</f>
        <v>145.6</v>
      </c>
      <c r="K54" s="85">
        <f t="shared" ref="K54:K59" si="18">J54/F54/22</f>
        <v>3.6767676767676767E-3</v>
      </c>
    </row>
    <row r="55" spans="1:16" x14ac:dyDescent="0.35">
      <c r="A55" s="30" t="s">
        <v>76</v>
      </c>
      <c r="B55" s="31">
        <v>1</v>
      </c>
      <c r="C55" s="65">
        <v>25.5</v>
      </c>
      <c r="D55" s="6">
        <f t="shared" si="16"/>
        <v>25.5</v>
      </c>
      <c r="E55" s="205"/>
      <c r="F55" s="123">
        <v>1800</v>
      </c>
      <c r="G55" s="32" t="s">
        <v>48</v>
      </c>
      <c r="H55" s="36">
        <v>1</v>
      </c>
      <c r="I55" s="74">
        <v>4</v>
      </c>
      <c r="J55" s="8">
        <f>D55*I55</f>
        <v>102</v>
      </c>
      <c r="K55" s="85">
        <f t="shared" si="18"/>
        <v>2.5757575757575754E-3</v>
      </c>
    </row>
    <row r="56" spans="1:16" x14ac:dyDescent="0.35">
      <c r="A56" s="30" t="s">
        <v>99</v>
      </c>
      <c r="B56" s="31">
        <v>1</v>
      </c>
      <c r="C56" s="65">
        <v>63.43</v>
      </c>
      <c r="D56" s="6">
        <f t="shared" si="16"/>
        <v>63.43</v>
      </c>
      <c r="E56" s="205"/>
      <c r="F56" s="123">
        <v>1800</v>
      </c>
      <c r="G56" s="32" t="s">
        <v>48</v>
      </c>
      <c r="H56" s="36">
        <v>1</v>
      </c>
      <c r="I56" s="74">
        <v>4</v>
      </c>
      <c r="J56" s="8">
        <f t="shared" si="17"/>
        <v>253.72</v>
      </c>
      <c r="K56" s="85">
        <f t="shared" si="18"/>
        <v>6.4070707070707075E-3</v>
      </c>
    </row>
    <row r="57" spans="1:16" x14ac:dyDescent="0.35">
      <c r="A57" s="30" t="s">
        <v>98</v>
      </c>
      <c r="B57" s="31">
        <v>1</v>
      </c>
      <c r="C57" s="65">
        <f>24.37+54.8</f>
        <v>79.17</v>
      </c>
      <c r="D57" s="6">
        <f t="shared" si="16"/>
        <v>79.17</v>
      </c>
      <c r="E57" s="205"/>
      <c r="F57" s="123">
        <v>1800</v>
      </c>
      <c r="G57" s="32" t="s">
        <v>48</v>
      </c>
      <c r="H57" s="36">
        <v>1</v>
      </c>
      <c r="I57" s="74">
        <v>4</v>
      </c>
      <c r="J57" s="8">
        <f t="shared" si="17"/>
        <v>316.68</v>
      </c>
      <c r="K57" s="85">
        <f t="shared" si="18"/>
        <v>7.9969696969696968E-3</v>
      </c>
    </row>
    <row r="58" spans="1:16" x14ac:dyDescent="0.35">
      <c r="A58" s="30" t="s">
        <v>97</v>
      </c>
      <c r="B58" s="31">
        <v>1</v>
      </c>
      <c r="C58" s="65">
        <f>26.59+47.83</f>
        <v>74.42</v>
      </c>
      <c r="D58" s="6">
        <f t="shared" si="16"/>
        <v>74.42</v>
      </c>
      <c r="E58" s="205"/>
      <c r="F58" s="123">
        <v>1800</v>
      </c>
      <c r="G58" s="32" t="s">
        <v>48</v>
      </c>
      <c r="H58" s="36">
        <v>1</v>
      </c>
      <c r="I58" s="74">
        <v>4</v>
      </c>
      <c r="J58" s="8">
        <f>D58*I58</f>
        <v>297.68</v>
      </c>
      <c r="K58" s="85">
        <f t="shared" si="18"/>
        <v>7.5171717171717174E-3</v>
      </c>
    </row>
    <row r="59" spans="1:16" x14ac:dyDescent="0.35">
      <c r="A59" s="30" t="s">
        <v>102</v>
      </c>
      <c r="B59" s="31">
        <v>1</v>
      </c>
      <c r="C59" s="65">
        <f>25.22+40.15</f>
        <v>65.37</v>
      </c>
      <c r="D59" s="6">
        <f t="shared" si="16"/>
        <v>65.37</v>
      </c>
      <c r="E59" s="205"/>
      <c r="F59" s="123">
        <v>1800</v>
      </c>
      <c r="G59" s="32" t="s">
        <v>48</v>
      </c>
      <c r="H59" s="36">
        <v>1</v>
      </c>
      <c r="I59" s="74">
        <v>4</v>
      </c>
      <c r="J59" s="8">
        <f>D59*I59</f>
        <v>261.48</v>
      </c>
      <c r="K59" s="85">
        <f t="shared" si="18"/>
        <v>6.6030303030303042E-3</v>
      </c>
    </row>
    <row r="60" spans="1:16" x14ac:dyDescent="0.35">
      <c r="A60" s="55"/>
      <c r="B60" s="56"/>
      <c r="C60" s="72"/>
      <c r="D60" s="6">
        <f t="shared" si="16"/>
        <v>0</v>
      </c>
      <c r="E60" s="212" t="s">
        <v>18</v>
      </c>
      <c r="F60" s="129">
        <v>6000</v>
      </c>
      <c r="G60" s="57"/>
      <c r="H60" s="58"/>
      <c r="I60" s="81"/>
      <c r="J60" s="8">
        <f>D60*I60</f>
        <v>0</v>
      </c>
      <c r="K60" s="92">
        <f>J60/F60/22</f>
        <v>0</v>
      </c>
      <c r="P60" s="26"/>
    </row>
    <row r="61" spans="1:16" x14ac:dyDescent="0.35">
      <c r="A61" s="55"/>
      <c r="B61" s="56"/>
      <c r="C61" s="72"/>
      <c r="D61" s="6">
        <f t="shared" si="16"/>
        <v>0</v>
      </c>
      <c r="E61" s="212"/>
      <c r="F61" s="129">
        <v>6000</v>
      </c>
      <c r="G61" s="57"/>
      <c r="H61" s="58"/>
      <c r="I61" s="81"/>
      <c r="J61" s="8">
        <f t="shared" ref="J61:J62" si="19">D61*I61</f>
        <v>0</v>
      </c>
      <c r="K61" s="92">
        <f t="shared" ref="K61:K62" si="20">J61/F61/22</f>
        <v>0</v>
      </c>
    </row>
    <row r="62" spans="1:16" x14ac:dyDescent="0.35">
      <c r="A62" s="55"/>
      <c r="B62" s="56"/>
      <c r="C62" s="72"/>
      <c r="D62" s="6">
        <f t="shared" si="16"/>
        <v>0</v>
      </c>
      <c r="E62" s="212"/>
      <c r="F62" s="129">
        <v>6000</v>
      </c>
      <c r="G62" s="57"/>
      <c r="H62" s="58"/>
      <c r="I62" s="81"/>
      <c r="J62" s="8">
        <f t="shared" si="19"/>
        <v>0</v>
      </c>
      <c r="K62" s="92">
        <f t="shared" si="20"/>
        <v>0</v>
      </c>
    </row>
    <row r="63" spans="1:16" x14ac:dyDescent="0.35">
      <c r="A63" s="39"/>
      <c r="B63" s="40"/>
      <c r="C63" s="67"/>
      <c r="D63" s="6">
        <f t="shared" si="16"/>
        <v>0</v>
      </c>
      <c r="E63" s="213" t="s">
        <v>19</v>
      </c>
      <c r="F63" s="124">
        <v>1800</v>
      </c>
      <c r="G63" s="41"/>
      <c r="H63" s="42"/>
      <c r="I63" s="76"/>
      <c r="J63" s="8">
        <f>D63*I63</f>
        <v>0</v>
      </c>
      <c r="K63" s="87">
        <f>J63/F63/22</f>
        <v>0</v>
      </c>
      <c r="P63" s="26"/>
    </row>
    <row r="64" spans="1:16" x14ac:dyDescent="0.35">
      <c r="A64" s="39"/>
      <c r="B64" s="40"/>
      <c r="C64" s="67"/>
      <c r="D64" s="6">
        <f t="shared" si="16"/>
        <v>0</v>
      </c>
      <c r="E64" s="213"/>
      <c r="F64" s="124">
        <v>1800</v>
      </c>
      <c r="G64" s="41"/>
      <c r="H64" s="42"/>
      <c r="I64" s="76"/>
      <c r="J64" s="8">
        <f t="shared" ref="J64:J65" si="21">D64*I64</f>
        <v>0</v>
      </c>
      <c r="K64" s="87">
        <f t="shared" ref="K64:K65" si="22">J64/F64/22</f>
        <v>0</v>
      </c>
    </row>
    <row r="65" spans="1:16" x14ac:dyDescent="0.35">
      <c r="A65" s="39"/>
      <c r="B65" s="40"/>
      <c r="C65" s="67"/>
      <c r="D65" s="6">
        <f t="shared" si="16"/>
        <v>0</v>
      </c>
      <c r="E65" s="213"/>
      <c r="F65" s="124">
        <v>1800</v>
      </c>
      <c r="G65" s="41"/>
      <c r="H65" s="42"/>
      <c r="I65" s="76"/>
      <c r="J65" s="8">
        <f t="shared" si="21"/>
        <v>0</v>
      </c>
      <c r="K65" s="87">
        <f t="shared" si="22"/>
        <v>0</v>
      </c>
    </row>
    <row r="66" spans="1:16" x14ac:dyDescent="0.35">
      <c r="A66" s="43"/>
      <c r="B66" s="44"/>
      <c r="C66" s="68"/>
      <c r="D66" s="6">
        <f t="shared" si="16"/>
        <v>0</v>
      </c>
      <c r="E66" s="214" t="s">
        <v>20</v>
      </c>
      <c r="F66" s="125">
        <v>100000</v>
      </c>
      <c r="G66" s="45"/>
      <c r="H66" s="59"/>
      <c r="I66" s="77"/>
      <c r="J66" s="8">
        <f>D66*I66</f>
        <v>0</v>
      </c>
      <c r="K66" s="88">
        <f>J66/F66/22</f>
        <v>0</v>
      </c>
    </row>
    <row r="67" spans="1:16" x14ac:dyDescent="0.35">
      <c r="A67" s="43"/>
      <c r="B67" s="44"/>
      <c r="C67" s="68"/>
      <c r="D67" s="6">
        <f t="shared" si="16"/>
        <v>0</v>
      </c>
      <c r="E67" s="214"/>
      <c r="F67" s="125">
        <v>100000</v>
      </c>
      <c r="G67" s="45"/>
      <c r="H67" s="59"/>
      <c r="I67" s="77"/>
      <c r="J67" s="8">
        <f t="shared" ref="J67:J68" si="23">D67*I67</f>
        <v>0</v>
      </c>
      <c r="K67" s="88">
        <f t="shared" ref="K67:K68" si="24">J67/F67/22</f>
        <v>0</v>
      </c>
    </row>
    <row r="68" spans="1:16" x14ac:dyDescent="0.35">
      <c r="A68" s="43"/>
      <c r="B68" s="44"/>
      <c r="C68" s="68"/>
      <c r="D68" s="6">
        <f t="shared" si="16"/>
        <v>0</v>
      </c>
      <c r="E68" s="214"/>
      <c r="F68" s="125">
        <v>100000</v>
      </c>
      <c r="G68" s="45"/>
      <c r="H68" s="59"/>
      <c r="I68" s="77"/>
      <c r="J68" s="8">
        <f t="shared" si="23"/>
        <v>0</v>
      </c>
      <c r="K68" s="88">
        <f t="shared" si="24"/>
        <v>0</v>
      </c>
    </row>
    <row r="69" spans="1:16" ht="15" customHeight="1" x14ac:dyDescent="0.35">
      <c r="A69" s="46"/>
      <c r="B69" s="47"/>
      <c r="C69" s="69"/>
      <c r="D69" s="6">
        <f t="shared" si="16"/>
        <v>0</v>
      </c>
      <c r="E69" s="203" t="s">
        <v>21</v>
      </c>
      <c r="F69" s="126">
        <v>130</v>
      </c>
      <c r="G69" s="48"/>
      <c r="H69" s="60"/>
      <c r="I69" s="78"/>
      <c r="J69" s="8">
        <f>D69*I69</f>
        <v>0</v>
      </c>
      <c r="K69" s="89">
        <f>J69/F69/22</f>
        <v>0</v>
      </c>
    </row>
    <row r="70" spans="1:16" x14ac:dyDescent="0.35">
      <c r="A70" s="46"/>
      <c r="B70" s="47"/>
      <c r="C70" s="69"/>
      <c r="D70" s="6">
        <f t="shared" si="16"/>
        <v>0</v>
      </c>
      <c r="E70" s="203"/>
      <c r="F70" s="126">
        <v>130</v>
      </c>
      <c r="G70" s="48"/>
      <c r="H70" s="60"/>
      <c r="I70" s="78"/>
      <c r="J70" s="8">
        <f t="shared" ref="J70:J71" si="25">D70*I70</f>
        <v>0</v>
      </c>
      <c r="K70" s="89">
        <f t="shared" ref="K70:K71" si="26">J70/F70/22</f>
        <v>0</v>
      </c>
    </row>
    <row r="71" spans="1:16" x14ac:dyDescent="0.35">
      <c r="A71" s="46"/>
      <c r="B71" s="47"/>
      <c r="C71" s="69"/>
      <c r="D71" s="6">
        <f t="shared" si="16"/>
        <v>0</v>
      </c>
      <c r="E71" s="203"/>
      <c r="F71" s="126">
        <v>130</v>
      </c>
      <c r="G71" s="48"/>
      <c r="H71" s="60"/>
      <c r="I71" s="78"/>
      <c r="J71" s="8">
        <f t="shared" si="25"/>
        <v>0</v>
      </c>
      <c r="K71" s="89">
        <f t="shared" si="26"/>
        <v>0</v>
      </c>
    </row>
    <row r="72" spans="1:16" x14ac:dyDescent="0.35">
      <c r="A72" s="49" t="s">
        <v>106</v>
      </c>
      <c r="B72" s="50">
        <v>1</v>
      </c>
      <c r="C72" s="70">
        <v>0.51870000000000005</v>
      </c>
      <c r="D72" s="6">
        <f t="shared" si="16"/>
        <v>0.51870000000000005</v>
      </c>
      <c r="E72" s="215" t="s">
        <v>22</v>
      </c>
      <c r="F72" s="127">
        <v>300</v>
      </c>
      <c r="G72" s="51" t="s">
        <v>50</v>
      </c>
      <c r="H72" s="61">
        <v>1</v>
      </c>
      <c r="I72" s="115">
        <v>1</v>
      </c>
      <c r="J72" s="8">
        <f>D72*I72</f>
        <v>0.51870000000000005</v>
      </c>
      <c r="K72" s="90">
        <f>J72/F72/22</f>
        <v>7.8590909090909096E-5</v>
      </c>
    </row>
    <row r="73" spans="1:16" x14ac:dyDescent="0.35">
      <c r="A73" s="49" t="s">
        <v>110</v>
      </c>
      <c r="B73" s="50">
        <v>1</v>
      </c>
      <c r="C73" s="70">
        <f>(6.02*2)+9.06</f>
        <v>21.1</v>
      </c>
      <c r="D73" s="6">
        <f t="shared" si="16"/>
        <v>21.1</v>
      </c>
      <c r="E73" s="215"/>
      <c r="F73" s="127">
        <v>300</v>
      </c>
      <c r="G73" s="51" t="s">
        <v>50</v>
      </c>
      <c r="H73" s="61">
        <v>1</v>
      </c>
      <c r="I73" s="115">
        <v>1</v>
      </c>
      <c r="J73" s="8">
        <f t="shared" ref="J73:J74" si="27">D73*I73</f>
        <v>21.1</v>
      </c>
      <c r="K73" s="90">
        <f t="shared" ref="K73:K74" si="28">J73/F73/22</f>
        <v>3.1969696969696977E-3</v>
      </c>
    </row>
    <row r="74" spans="1:16" x14ac:dyDescent="0.35">
      <c r="A74" s="49" t="s">
        <v>111</v>
      </c>
      <c r="B74" s="50">
        <v>1</v>
      </c>
      <c r="C74" s="70">
        <f>6.44+19.1</f>
        <v>25.540000000000003</v>
      </c>
      <c r="D74" s="6">
        <f t="shared" si="16"/>
        <v>25.540000000000003</v>
      </c>
      <c r="E74" s="215"/>
      <c r="F74" s="127">
        <v>300</v>
      </c>
      <c r="G74" s="51" t="s">
        <v>50</v>
      </c>
      <c r="H74" s="61">
        <v>1</v>
      </c>
      <c r="I74" s="115">
        <v>1</v>
      </c>
      <c r="J74" s="8">
        <f t="shared" si="27"/>
        <v>25.540000000000003</v>
      </c>
      <c r="K74" s="90">
        <f t="shared" si="28"/>
        <v>3.86969696969697E-3</v>
      </c>
    </row>
    <row r="75" spans="1:16" x14ac:dyDescent="0.35">
      <c r="A75" s="49" t="s">
        <v>112</v>
      </c>
      <c r="B75" s="50">
        <v>1</v>
      </c>
      <c r="C75" s="70">
        <v>9.67</v>
      </c>
      <c r="D75" s="6">
        <f t="shared" si="16"/>
        <v>9.67</v>
      </c>
      <c r="E75" s="215"/>
      <c r="F75" s="127">
        <v>300</v>
      </c>
      <c r="G75" s="51" t="s">
        <v>50</v>
      </c>
      <c r="H75" s="61">
        <v>1</v>
      </c>
      <c r="I75" s="115">
        <v>1</v>
      </c>
      <c r="J75" s="8">
        <f t="shared" ref="J75:J82" si="29">D75*I75</f>
        <v>9.67</v>
      </c>
      <c r="K75" s="90">
        <f t="shared" ref="K75:K82" si="30">J75/F75/22</f>
        <v>1.4651515151515152E-3</v>
      </c>
    </row>
    <row r="76" spans="1:16" x14ac:dyDescent="0.35">
      <c r="A76" s="49" t="s">
        <v>114</v>
      </c>
      <c r="B76" s="50">
        <v>1</v>
      </c>
      <c r="C76" s="70">
        <f>10.4+3.52</f>
        <v>13.92</v>
      </c>
      <c r="D76" s="6">
        <f t="shared" si="16"/>
        <v>13.92</v>
      </c>
      <c r="E76" s="215"/>
      <c r="F76" s="127">
        <v>300</v>
      </c>
      <c r="G76" s="51" t="s">
        <v>50</v>
      </c>
      <c r="H76" s="61">
        <v>1</v>
      </c>
      <c r="I76" s="115">
        <v>1</v>
      </c>
      <c r="J76" s="8">
        <f t="shared" si="29"/>
        <v>13.92</v>
      </c>
      <c r="K76" s="90">
        <f t="shared" si="30"/>
        <v>2.109090909090909E-3</v>
      </c>
      <c r="P76" s="26"/>
    </row>
    <row r="77" spans="1:16" x14ac:dyDescent="0.35">
      <c r="A77" s="49" t="s">
        <v>115</v>
      </c>
      <c r="B77" s="50">
        <v>1</v>
      </c>
      <c r="C77" s="70">
        <f>8.25+6.81</f>
        <v>15.059999999999999</v>
      </c>
      <c r="D77" s="6">
        <f t="shared" si="16"/>
        <v>15.059999999999999</v>
      </c>
      <c r="E77" s="215"/>
      <c r="F77" s="127">
        <v>300</v>
      </c>
      <c r="G77" s="51" t="s">
        <v>50</v>
      </c>
      <c r="H77" s="61">
        <v>1</v>
      </c>
      <c r="I77" s="115">
        <v>1</v>
      </c>
      <c r="J77" s="8">
        <f t="shared" si="29"/>
        <v>15.059999999999999</v>
      </c>
      <c r="K77" s="90">
        <f t="shared" si="30"/>
        <v>2.2818181818181817E-3</v>
      </c>
    </row>
    <row r="78" spans="1:16" x14ac:dyDescent="0.35">
      <c r="A78" s="49" t="s">
        <v>116</v>
      </c>
      <c r="B78" s="50">
        <v>1</v>
      </c>
      <c r="C78" s="70">
        <f>6.72+1.92+4.59+9.36+3.75+3.75+9.62+1.58+3.02+4.1+3.22</f>
        <v>51.63</v>
      </c>
      <c r="D78" s="6">
        <f t="shared" si="16"/>
        <v>51.63</v>
      </c>
      <c r="E78" s="215"/>
      <c r="F78" s="127">
        <v>300</v>
      </c>
      <c r="G78" s="51" t="s">
        <v>50</v>
      </c>
      <c r="H78" s="61">
        <v>1</v>
      </c>
      <c r="I78" s="115">
        <v>1</v>
      </c>
      <c r="J78" s="8">
        <f t="shared" si="29"/>
        <v>51.63</v>
      </c>
      <c r="K78" s="90">
        <f t="shared" si="30"/>
        <v>7.8227272727272729E-3</v>
      </c>
    </row>
    <row r="79" spans="1:16" x14ac:dyDescent="0.35">
      <c r="A79" s="49" t="s">
        <v>117</v>
      </c>
      <c r="B79" s="50">
        <v>1</v>
      </c>
      <c r="C79" s="70">
        <f>13.71+7.43+4.29+4.29+4.29+4.29+2.68+2.11+2.26+6.92+2.01</f>
        <v>54.279999999999994</v>
      </c>
      <c r="D79" s="6">
        <f t="shared" si="16"/>
        <v>54.279999999999994</v>
      </c>
      <c r="E79" s="215"/>
      <c r="F79" s="127">
        <v>300</v>
      </c>
      <c r="G79" s="51" t="s">
        <v>50</v>
      </c>
      <c r="H79" s="61">
        <v>1</v>
      </c>
      <c r="I79" s="115">
        <v>1</v>
      </c>
      <c r="J79" s="8">
        <f t="shared" si="29"/>
        <v>54.279999999999994</v>
      </c>
      <c r="K79" s="90">
        <f t="shared" si="30"/>
        <v>8.2242424242424238E-3</v>
      </c>
    </row>
    <row r="80" spans="1:16" x14ac:dyDescent="0.35">
      <c r="A80" s="49" t="s">
        <v>118</v>
      </c>
      <c r="B80" s="50">
        <v>1</v>
      </c>
      <c r="C80" s="70">
        <f>11.74+9</f>
        <v>20.740000000000002</v>
      </c>
      <c r="D80" s="6">
        <f t="shared" si="16"/>
        <v>20.740000000000002</v>
      </c>
      <c r="E80" s="215"/>
      <c r="F80" s="127">
        <v>300</v>
      </c>
      <c r="G80" s="51" t="s">
        <v>50</v>
      </c>
      <c r="H80" s="61">
        <v>1</v>
      </c>
      <c r="I80" s="115">
        <v>1</v>
      </c>
      <c r="J80" s="8">
        <f t="shared" si="29"/>
        <v>20.740000000000002</v>
      </c>
      <c r="K80" s="90">
        <f t="shared" si="30"/>
        <v>3.1424242424242426E-3</v>
      </c>
    </row>
    <row r="81" spans="1:13" x14ac:dyDescent="0.35">
      <c r="A81" s="49" t="s">
        <v>119</v>
      </c>
      <c r="B81" s="50">
        <v>1</v>
      </c>
      <c r="C81" s="70">
        <f>22.8+19.02+11.92+16.42+4.8</f>
        <v>74.959999999999994</v>
      </c>
      <c r="D81" s="6">
        <f t="shared" si="16"/>
        <v>74.959999999999994</v>
      </c>
      <c r="E81" s="215"/>
      <c r="F81" s="127">
        <v>300</v>
      </c>
      <c r="G81" s="51" t="s">
        <v>50</v>
      </c>
      <c r="H81" s="61">
        <v>1</v>
      </c>
      <c r="I81" s="115">
        <v>1</v>
      </c>
      <c r="J81" s="8">
        <f t="shared" si="29"/>
        <v>74.959999999999994</v>
      </c>
      <c r="K81" s="90">
        <f t="shared" si="30"/>
        <v>1.1357575757575757E-2</v>
      </c>
    </row>
    <row r="82" spans="1:13" x14ac:dyDescent="0.35">
      <c r="A82" s="49" t="s">
        <v>120</v>
      </c>
      <c r="B82" s="50">
        <v>1</v>
      </c>
      <c r="C82" s="70">
        <f>3.56+19.83+10.68+9.12+2.1+2</f>
        <v>47.289999999999992</v>
      </c>
      <c r="D82" s="6">
        <f t="shared" si="16"/>
        <v>47.289999999999992</v>
      </c>
      <c r="E82" s="215"/>
      <c r="F82" s="127">
        <v>300</v>
      </c>
      <c r="G82" s="51" t="s">
        <v>50</v>
      </c>
      <c r="H82" s="61">
        <v>1</v>
      </c>
      <c r="I82" s="115">
        <v>1</v>
      </c>
      <c r="J82" s="8">
        <f t="shared" si="29"/>
        <v>47.289999999999992</v>
      </c>
      <c r="K82" s="90">
        <f t="shared" si="30"/>
        <v>7.1651515151515141E-3</v>
      </c>
    </row>
    <row r="83" spans="1:13" x14ac:dyDescent="0.35">
      <c r="A83" s="52" t="s">
        <v>108</v>
      </c>
      <c r="B83" s="53">
        <v>1</v>
      </c>
      <c r="C83" s="71">
        <f>5.0575+0.5187</f>
        <v>5.5762</v>
      </c>
      <c r="D83" s="6">
        <f t="shared" si="16"/>
        <v>5.5762</v>
      </c>
      <c r="E83" s="217" t="s">
        <v>105</v>
      </c>
      <c r="F83" s="128">
        <v>300</v>
      </c>
      <c r="G83" s="54" t="s">
        <v>49</v>
      </c>
      <c r="H83" s="62">
        <v>1</v>
      </c>
      <c r="I83" s="80">
        <v>2</v>
      </c>
      <c r="J83" s="8">
        <f>D83*I83</f>
        <v>11.1524</v>
      </c>
      <c r="K83" s="91">
        <f>J83/F83/22</f>
        <v>1.6897575757575758E-3</v>
      </c>
    </row>
    <row r="84" spans="1:13" x14ac:dyDescent="0.35">
      <c r="A84" s="52" t="s">
        <v>109</v>
      </c>
      <c r="B84" s="53">
        <v>1</v>
      </c>
      <c r="C84" s="71">
        <f>1.61+8.33+58.84+59.1+9.06</f>
        <v>136.94</v>
      </c>
      <c r="D84" s="6">
        <f t="shared" si="16"/>
        <v>136.94</v>
      </c>
      <c r="E84" s="217"/>
      <c r="F84" s="128">
        <v>300</v>
      </c>
      <c r="G84" s="54" t="s">
        <v>49</v>
      </c>
      <c r="H84" s="62">
        <v>1</v>
      </c>
      <c r="I84" s="80">
        <v>2</v>
      </c>
      <c r="J84" s="8">
        <f t="shared" ref="J84" si="31">D84*I84</f>
        <v>273.88</v>
      </c>
      <c r="K84" s="91">
        <f t="shared" ref="K84" si="32">J84/F84/22</f>
        <v>4.1496969696969692E-2</v>
      </c>
    </row>
    <row r="85" spans="1:13" x14ac:dyDescent="0.35">
      <c r="A85" s="52" t="s">
        <v>111</v>
      </c>
      <c r="B85" s="53">
        <v>1</v>
      </c>
      <c r="C85" s="71">
        <f>(4.62+4.94+2.96)*2+(6.44+19.1)</f>
        <v>50.58</v>
      </c>
      <c r="D85" s="6">
        <f t="shared" si="16"/>
        <v>50.58</v>
      </c>
      <c r="E85" s="217"/>
      <c r="F85" s="128">
        <v>300</v>
      </c>
      <c r="G85" s="54" t="s">
        <v>49</v>
      </c>
      <c r="H85" s="62">
        <v>1</v>
      </c>
      <c r="I85" s="80">
        <v>2</v>
      </c>
      <c r="J85" s="8">
        <f t="shared" ref="J85:J97" si="33">D85*I85</f>
        <v>101.16</v>
      </c>
      <c r="K85" s="91">
        <f t="shared" ref="K85:K97" si="34">J85/F85/22</f>
        <v>1.5327272727272728E-2</v>
      </c>
    </row>
    <row r="86" spans="1:13" x14ac:dyDescent="0.35">
      <c r="A86" s="52" t="s">
        <v>112</v>
      </c>
      <c r="B86" s="53">
        <v>1</v>
      </c>
      <c r="C86" s="71">
        <f>(8.99+5.5+11.31+0.62+3.9)*2+(9.67+24.31)</f>
        <v>94.62</v>
      </c>
      <c r="D86" s="6">
        <f t="shared" si="16"/>
        <v>94.62</v>
      </c>
      <c r="E86" s="217"/>
      <c r="F86" s="128">
        <v>300</v>
      </c>
      <c r="G86" s="54" t="s">
        <v>49</v>
      </c>
      <c r="H86" s="62">
        <v>1</v>
      </c>
      <c r="I86" s="80">
        <v>2</v>
      </c>
      <c r="J86" s="8">
        <f t="shared" si="33"/>
        <v>189.24</v>
      </c>
      <c r="K86" s="91">
        <f t="shared" si="34"/>
        <v>2.8672727272727273E-2</v>
      </c>
    </row>
    <row r="87" spans="1:13" x14ac:dyDescent="0.35">
      <c r="A87" s="52" t="s">
        <v>113</v>
      </c>
      <c r="B87" s="53">
        <v>1</v>
      </c>
      <c r="C87" s="71">
        <v>7.62</v>
      </c>
      <c r="D87" s="6">
        <f t="shared" si="16"/>
        <v>7.62</v>
      </c>
      <c r="E87" s="217"/>
      <c r="F87" s="128">
        <v>300</v>
      </c>
      <c r="G87" s="54" t="s">
        <v>49</v>
      </c>
      <c r="H87" s="62">
        <v>1</v>
      </c>
      <c r="I87" s="80">
        <v>2</v>
      </c>
      <c r="J87" s="8">
        <f t="shared" si="33"/>
        <v>15.24</v>
      </c>
      <c r="K87" s="91">
        <f t="shared" si="34"/>
        <v>2.3090909090909091E-3</v>
      </c>
    </row>
    <row r="88" spans="1:13" x14ac:dyDescent="0.35">
      <c r="A88" s="52" t="s">
        <v>114</v>
      </c>
      <c r="B88" s="53">
        <v>1</v>
      </c>
      <c r="C88" s="71">
        <f>10.4+3.52</f>
        <v>13.92</v>
      </c>
      <c r="D88" s="6">
        <f t="shared" si="16"/>
        <v>13.92</v>
      </c>
      <c r="E88" s="217"/>
      <c r="F88" s="128">
        <v>300</v>
      </c>
      <c r="G88" s="54" t="s">
        <v>49</v>
      </c>
      <c r="H88" s="62">
        <v>1</v>
      </c>
      <c r="I88" s="80">
        <v>2</v>
      </c>
      <c r="J88" s="8">
        <f t="shared" si="33"/>
        <v>27.84</v>
      </c>
      <c r="K88" s="91">
        <f t="shared" si="34"/>
        <v>4.218181818181818E-3</v>
      </c>
    </row>
    <row r="89" spans="1:13" x14ac:dyDescent="0.35">
      <c r="A89" s="52" t="s">
        <v>115</v>
      </c>
      <c r="B89" s="53">
        <v>1</v>
      </c>
      <c r="C89" s="71">
        <f>8.25+133.86+4.59+6.81+7.1+63.31</f>
        <v>223.92000000000002</v>
      </c>
      <c r="D89" s="6">
        <f t="shared" si="16"/>
        <v>223.92000000000002</v>
      </c>
      <c r="E89" s="217"/>
      <c r="F89" s="128">
        <v>300</v>
      </c>
      <c r="G89" s="54" t="s">
        <v>49</v>
      </c>
      <c r="H89" s="62">
        <v>1</v>
      </c>
      <c r="I89" s="80">
        <v>2</v>
      </c>
      <c r="J89" s="8">
        <f t="shared" si="33"/>
        <v>447.84000000000003</v>
      </c>
      <c r="K89" s="91">
        <f t="shared" si="34"/>
        <v>6.7854545454545459E-2</v>
      </c>
    </row>
    <row r="90" spans="1:13" x14ac:dyDescent="0.35">
      <c r="A90" s="52" t="s">
        <v>116</v>
      </c>
      <c r="B90" s="53">
        <v>1</v>
      </c>
      <c r="C90" s="71">
        <f>2.96+6.72+8.86+1.92+4.59+4.88+9.36+8.72+3.75+6.97+3.75+6.97+71.61+9.62+7.19+1.58+13.66+3.02+5.34+4.1+3.22+14.11</f>
        <v>202.90000000000003</v>
      </c>
      <c r="D90" s="6">
        <f t="shared" si="16"/>
        <v>202.90000000000003</v>
      </c>
      <c r="E90" s="217"/>
      <c r="F90" s="128">
        <v>300</v>
      </c>
      <c r="G90" s="54" t="s">
        <v>49</v>
      </c>
      <c r="H90" s="62">
        <v>1</v>
      </c>
      <c r="I90" s="80">
        <v>2</v>
      </c>
      <c r="J90" s="8">
        <f t="shared" si="33"/>
        <v>405.80000000000007</v>
      </c>
      <c r="K90" s="91">
        <f t="shared" si="34"/>
        <v>6.1484848484848496E-2</v>
      </c>
    </row>
    <row r="91" spans="1:13" x14ac:dyDescent="0.35">
      <c r="A91" s="52" t="s">
        <v>117</v>
      </c>
      <c r="B91" s="53">
        <v>1</v>
      </c>
      <c r="C91" s="71">
        <f>13.71+3.96+16.8+7.43+4.29+7.07+4.29+6.95+4.29+6.88+4.29+6.88+2.68+11.7+8.47+2.11+12+2.26+18+6.92+8+18+2.01+12+9</f>
        <v>199.98999999999998</v>
      </c>
      <c r="D91" s="6">
        <f t="shared" si="16"/>
        <v>199.98999999999998</v>
      </c>
      <c r="E91" s="217"/>
      <c r="F91" s="128">
        <v>300</v>
      </c>
      <c r="G91" s="54" t="s">
        <v>49</v>
      </c>
      <c r="H91" s="62">
        <v>1</v>
      </c>
      <c r="I91" s="80">
        <v>2</v>
      </c>
      <c r="J91" s="8">
        <f t="shared" si="33"/>
        <v>399.97999999999996</v>
      </c>
      <c r="K91" s="91">
        <f t="shared" si="34"/>
        <v>6.0603030303030297E-2</v>
      </c>
    </row>
    <row r="92" spans="1:13" x14ac:dyDescent="0.35">
      <c r="A92" s="52" t="s">
        <v>118</v>
      </c>
      <c r="B92" s="53">
        <v>1</v>
      </c>
      <c r="C92" s="71">
        <f>13.44+11.74+3.58+66+16.12+9+9</f>
        <v>128.88</v>
      </c>
      <c r="D92" s="6">
        <f t="shared" si="16"/>
        <v>128.88</v>
      </c>
      <c r="E92" s="217"/>
      <c r="F92" s="128">
        <v>300</v>
      </c>
      <c r="G92" s="54" t="s">
        <v>49</v>
      </c>
      <c r="H92" s="62">
        <v>1</v>
      </c>
      <c r="I92" s="80">
        <v>2</v>
      </c>
      <c r="J92" s="8">
        <f t="shared" si="33"/>
        <v>257.76</v>
      </c>
      <c r="K92" s="91">
        <f t="shared" si="34"/>
        <v>3.9054545454545453E-2</v>
      </c>
    </row>
    <row r="93" spans="1:13" x14ac:dyDescent="0.35">
      <c r="A93" s="52" t="s">
        <v>119</v>
      </c>
      <c r="B93" s="53">
        <v>1</v>
      </c>
      <c r="C93" s="71">
        <f>18.36+8.16+22.8+19.02+11.72+12.03+11.92+16.42+4.8</f>
        <v>125.23</v>
      </c>
      <c r="D93" s="6">
        <f t="shared" si="16"/>
        <v>125.23</v>
      </c>
      <c r="E93" s="217"/>
      <c r="F93" s="128">
        <v>300</v>
      </c>
      <c r="G93" s="54" t="s">
        <v>49</v>
      </c>
      <c r="H93" s="62">
        <v>1</v>
      </c>
      <c r="I93" s="80">
        <v>2</v>
      </c>
      <c r="J93" s="8">
        <f t="shared" si="33"/>
        <v>250.46</v>
      </c>
      <c r="K93" s="91">
        <f t="shared" si="34"/>
        <v>3.7948484848484849E-2</v>
      </c>
    </row>
    <row r="94" spans="1:13" x14ac:dyDescent="0.35">
      <c r="A94" s="52" t="s">
        <v>120</v>
      </c>
      <c r="B94" s="53">
        <v>1</v>
      </c>
      <c r="C94" s="71">
        <f>3.56+19.83+33.03+1+10.68+9.12+2.1+2+16.32</f>
        <v>97.639999999999986</v>
      </c>
      <c r="D94" s="6">
        <f t="shared" si="16"/>
        <v>97.639999999999986</v>
      </c>
      <c r="E94" s="217"/>
      <c r="F94" s="128">
        <v>300</v>
      </c>
      <c r="G94" s="54" t="s">
        <v>49</v>
      </c>
      <c r="H94" s="62">
        <v>1</v>
      </c>
      <c r="I94" s="80">
        <v>2</v>
      </c>
      <c r="J94" s="8">
        <f t="shared" si="33"/>
        <v>195.27999999999997</v>
      </c>
      <c r="K94" s="91">
        <f t="shared" si="34"/>
        <v>2.9587878787878785E-2</v>
      </c>
    </row>
    <row r="95" spans="1:13" x14ac:dyDescent="0.35">
      <c r="A95" s="108" t="s">
        <v>122</v>
      </c>
      <c r="B95" s="99">
        <v>1</v>
      </c>
      <c r="C95" s="111">
        <v>15</v>
      </c>
      <c r="D95" s="97">
        <f>C95*B95</f>
        <v>15</v>
      </c>
      <c r="E95" s="192" t="s">
        <v>126</v>
      </c>
      <c r="F95" s="130">
        <v>5</v>
      </c>
      <c r="G95" s="100" t="s">
        <v>46</v>
      </c>
      <c r="H95" s="101">
        <v>1</v>
      </c>
      <c r="I95" s="147">
        <f>1/6</f>
        <v>0.16666666666666666</v>
      </c>
      <c r="J95" s="121">
        <f t="shared" si="33"/>
        <v>2.5</v>
      </c>
      <c r="K95" s="119">
        <f>J95/F95/22</f>
        <v>2.2727272727272728E-2</v>
      </c>
      <c r="M95" s="136"/>
    </row>
    <row r="96" spans="1:13" x14ac:dyDescent="0.35">
      <c r="A96" s="108" t="s">
        <v>124</v>
      </c>
      <c r="B96" s="99">
        <v>1</v>
      </c>
      <c r="C96" s="111">
        <v>1</v>
      </c>
      <c r="D96" s="97">
        <f t="shared" ref="D96:D97" si="35">C96*B96</f>
        <v>1</v>
      </c>
      <c r="E96" s="193"/>
      <c r="F96" s="130">
        <v>1</v>
      </c>
      <c r="G96" s="100" t="s">
        <v>46</v>
      </c>
      <c r="H96" s="101">
        <v>1</v>
      </c>
      <c r="I96" s="147">
        <f>1/6</f>
        <v>0.16666666666666666</v>
      </c>
      <c r="J96" s="121">
        <f t="shared" si="33"/>
        <v>0.16666666666666666</v>
      </c>
      <c r="K96" s="119">
        <f t="shared" si="34"/>
        <v>7.5757575757575751E-3</v>
      </c>
      <c r="M96" s="136">
        <v>6000</v>
      </c>
    </row>
    <row r="97" spans="1:16" s="4" customFormat="1" ht="29" x14ac:dyDescent="0.35">
      <c r="A97" s="153" t="s">
        <v>135</v>
      </c>
      <c r="B97" s="148">
        <v>1</v>
      </c>
      <c r="C97" s="149">
        <v>3490</v>
      </c>
      <c r="D97" s="150">
        <f t="shared" si="35"/>
        <v>3490</v>
      </c>
      <c r="E97" s="193"/>
      <c r="F97" s="130">
        <v>3490</v>
      </c>
      <c r="G97" s="100" t="s">
        <v>48</v>
      </c>
      <c r="H97" s="101">
        <v>1</v>
      </c>
      <c r="I97" s="151">
        <v>1</v>
      </c>
      <c r="J97" s="121">
        <f t="shared" si="33"/>
        <v>3490</v>
      </c>
      <c r="K97" s="119">
        <f t="shared" si="34"/>
        <v>4.5454545454545456E-2</v>
      </c>
      <c r="M97" s="152">
        <f>M96*K97</f>
        <v>272.72727272727275</v>
      </c>
    </row>
    <row r="98" spans="1:16" x14ac:dyDescent="0.35">
      <c r="A98" s="108"/>
      <c r="B98" s="99"/>
      <c r="C98" s="111"/>
      <c r="D98" s="97"/>
      <c r="E98" s="193"/>
      <c r="F98" s="130"/>
      <c r="G98" s="100"/>
      <c r="H98" s="101"/>
      <c r="I98" s="116"/>
      <c r="J98" s="121"/>
      <c r="K98" s="119"/>
    </row>
    <row r="99" spans="1:16" x14ac:dyDescent="0.35">
      <c r="A99" s="108"/>
      <c r="B99" s="99"/>
      <c r="C99" s="111"/>
      <c r="D99" s="97"/>
      <c r="E99" s="193"/>
      <c r="F99" s="130"/>
      <c r="G99" s="100"/>
      <c r="H99" s="101"/>
      <c r="I99" s="116"/>
      <c r="J99" s="121"/>
      <c r="K99" s="119"/>
    </row>
    <row r="100" spans="1:16" ht="15" thickBot="1" x14ac:dyDescent="0.4">
      <c r="A100" s="154"/>
      <c r="B100" s="155"/>
      <c r="C100" s="156"/>
      <c r="D100" s="157"/>
      <c r="E100" s="194"/>
      <c r="F100" s="158"/>
      <c r="G100" s="159"/>
      <c r="H100" s="160"/>
      <c r="I100" s="161"/>
      <c r="J100" s="162"/>
      <c r="K100" s="163"/>
    </row>
    <row r="101" spans="1:16" ht="15" thickBot="1" x14ac:dyDescent="0.4">
      <c r="A101" s="218" t="s">
        <v>24</v>
      </c>
      <c r="B101" s="219"/>
      <c r="C101" s="219"/>
      <c r="D101" s="7">
        <f>SUM(D3:D100)</f>
        <v>8619.8605999999982</v>
      </c>
      <c r="E101" s="228" t="s">
        <v>81</v>
      </c>
      <c r="F101" s="229"/>
      <c r="G101" s="229"/>
      <c r="I101" s="98">
        <f>SUM(D3:D68)</f>
        <v>3491.3356999999983</v>
      </c>
      <c r="J101" s="96"/>
      <c r="K101" s="93" t="s">
        <v>107</v>
      </c>
    </row>
    <row r="102" spans="1:16" ht="15" thickBot="1" x14ac:dyDescent="0.4">
      <c r="A102" s="220" t="s">
        <v>25</v>
      </c>
      <c r="B102" s="221"/>
      <c r="C102" s="221"/>
      <c r="D102" s="221"/>
      <c r="E102" s="221"/>
      <c r="F102" s="221"/>
      <c r="G102" s="221"/>
      <c r="H102" s="221"/>
      <c r="I102" s="222"/>
      <c r="J102" s="73">
        <f>SUM(J3:J100)</f>
        <v>72941.683566666659</v>
      </c>
      <c r="K102" s="94"/>
    </row>
    <row r="103" spans="1:16" ht="15" thickBot="1" x14ac:dyDescent="0.4">
      <c r="A103" s="223" t="s">
        <v>26</v>
      </c>
      <c r="B103" s="224"/>
      <c r="C103" s="224"/>
      <c r="D103" s="224"/>
      <c r="E103" s="224"/>
      <c r="F103" s="224"/>
      <c r="G103" s="224"/>
      <c r="H103" s="224"/>
      <c r="I103" s="224"/>
      <c r="J103" s="224"/>
      <c r="K103" s="95">
        <f>SUM(K3:K100)</f>
        <v>6.0021993929292963</v>
      </c>
    </row>
    <row r="104" spans="1:16" x14ac:dyDescent="0.35">
      <c r="B104" s="2"/>
      <c r="C104" s="2"/>
    </row>
    <row r="105" spans="1:16" ht="15" thickBot="1" x14ac:dyDescent="0.4">
      <c r="H105" s="9"/>
      <c r="J105" s="26"/>
      <c r="K105" s="26"/>
    </row>
    <row r="106" spans="1:16" ht="16" thickBot="1" x14ac:dyDescent="0.4">
      <c r="A106" s="209" t="s">
        <v>27</v>
      </c>
      <c r="B106" s="210"/>
      <c r="C106" s="210"/>
      <c r="D106" s="210"/>
      <c r="E106" s="211"/>
      <c r="J106" s="26"/>
    </row>
    <row r="107" spans="1:16" ht="15" thickBot="1" x14ac:dyDescent="0.4">
      <c r="A107" s="225" t="s">
        <v>28</v>
      </c>
      <c r="B107" s="226"/>
      <c r="C107" s="226"/>
      <c r="D107" s="226"/>
      <c r="E107" s="227"/>
    </row>
    <row r="108" spans="1:16" ht="15" thickBot="1" x14ac:dyDescent="0.4"/>
    <row r="109" spans="1:16" x14ac:dyDescent="0.35">
      <c r="A109" s="216" t="s">
        <v>29</v>
      </c>
      <c r="B109" s="196"/>
      <c r="C109" s="196"/>
      <c r="D109" s="196"/>
      <c r="E109" s="197"/>
    </row>
    <row r="110" spans="1:16" ht="58" x14ac:dyDescent="0.35">
      <c r="A110" s="21" t="s">
        <v>30</v>
      </c>
      <c r="B110" s="10" t="s">
        <v>123</v>
      </c>
      <c r="C110" s="10" t="s">
        <v>31</v>
      </c>
      <c r="D110" s="11" t="s">
        <v>32</v>
      </c>
      <c r="E110" s="22" t="s">
        <v>33</v>
      </c>
      <c r="P110" s="135"/>
    </row>
    <row r="111" spans="1:16" x14ac:dyDescent="0.35">
      <c r="A111" s="14" t="str">
        <f>E3</f>
        <v>INTERNA -Pisos Frios &amp; Acarpetados</v>
      </c>
      <c r="B111" s="26">
        <f>SUM(J3:J13)</f>
        <v>40374.245999999999</v>
      </c>
      <c r="C111" s="18">
        <f>F3</f>
        <v>800</v>
      </c>
      <c r="D111" s="63">
        <f>((800*B111)/C111)/22</f>
        <v>1835.193</v>
      </c>
      <c r="E111" s="206"/>
      <c r="P111" s="135"/>
    </row>
    <row r="112" spans="1:16" x14ac:dyDescent="0.35">
      <c r="A112" s="14" t="str">
        <f>E14</f>
        <v>INTERNA -
Laboratórios</v>
      </c>
      <c r="B112" s="26">
        <f>SUM(J14:J17)</f>
        <v>0</v>
      </c>
      <c r="C112" s="18">
        <f>F14</f>
        <v>360</v>
      </c>
      <c r="D112" s="63">
        <f t="shared" ref="D112:D116" si="36">((800*B112)/C112)/22</f>
        <v>0</v>
      </c>
      <c r="E112" s="207"/>
      <c r="P112" s="135"/>
    </row>
    <row r="113" spans="1:18" x14ac:dyDescent="0.35">
      <c r="A113" s="14" t="str">
        <f>E18</f>
        <v>INTERNA -
Almoxarifado / Galpões</v>
      </c>
      <c r="B113" s="26">
        <f>SUM(J18:J22)</f>
        <v>1560.8488</v>
      </c>
      <c r="C113" s="18">
        <f>F18</f>
        <v>1500</v>
      </c>
      <c r="D113" s="63">
        <f t="shared" si="36"/>
        <v>37.838758787878788</v>
      </c>
      <c r="E113" s="207"/>
      <c r="P113" s="135"/>
    </row>
    <row r="114" spans="1:18" x14ac:dyDescent="0.35">
      <c r="A114" s="14" t="str">
        <f>E23</f>
        <v>INTERNA -
Oficinas</v>
      </c>
      <c r="B114" s="26">
        <f>SUM(J23:J25)</f>
        <v>28.574999999999999</v>
      </c>
      <c r="C114" s="18">
        <f>F23</f>
        <v>1200</v>
      </c>
      <c r="D114" s="63">
        <f t="shared" si="36"/>
        <v>0.86590909090909096</v>
      </c>
      <c r="E114" s="207"/>
      <c r="P114" s="135"/>
    </row>
    <row r="115" spans="1:18" x14ac:dyDescent="0.35">
      <c r="A115" s="14" t="str">
        <f>E26</f>
        <v>INTERNA -
Áreas com espaços livres - saguão, hall e salão</v>
      </c>
      <c r="B115" s="26">
        <f>SUM(J26:J40)</f>
        <v>11377.036</v>
      </c>
      <c r="C115" s="18">
        <f>F26</f>
        <v>1000</v>
      </c>
      <c r="D115" s="63">
        <f t="shared" si="36"/>
        <v>413.71039999999999</v>
      </c>
      <c r="E115" s="207"/>
      <c r="P115" s="135"/>
    </row>
    <row r="116" spans="1:18" x14ac:dyDescent="0.35">
      <c r="A116" s="14" t="str">
        <f>E41</f>
        <v>INTERNA -
Banheiros</v>
      </c>
      <c r="B116" s="26">
        <f>SUM(J41:J52)</f>
        <v>11348.81</v>
      </c>
      <c r="C116" s="18">
        <f>F41</f>
        <v>200</v>
      </c>
      <c r="D116" s="63">
        <f t="shared" si="36"/>
        <v>2063.42</v>
      </c>
      <c r="E116" s="207"/>
      <c r="P116" s="135"/>
    </row>
    <row r="117" spans="1:18" x14ac:dyDescent="0.35">
      <c r="B117" s="26">
        <f>SUM(B111:B116)</f>
        <v>64689.515799999994</v>
      </c>
      <c r="C117" s="18"/>
      <c r="D117" s="63"/>
      <c r="E117" s="208"/>
      <c r="P117" s="135"/>
    </row>
    <row r="118" spans="1:18" ht="15" thickBot="1" x14ac:dyDescent="0.4">
      <c r="A118" s="230" t="s">
        <v>34</v>
      </c>
      <c r="B118" s="231"/>
      <c r="C118" s="231"/>
      <c r="D118" s="64">
        <f>SUM(D111:D117)</f>
        <v>4351.0280678787876</v>
      </c>
      <c r="E118" s="23">
        <f>D118/800</f>
        <v>5.4387850848484849</v>
      </c>
      <c r="G118" s="9"/>
      <c r="H118" s="9"/>
      <c r="P118" s="135"/>
    </row>
    <row r="119" spans="1:18" x14ac:dyDescent="0.35">
      <c r="A119" s="12"/>
      <c r="B119" s="12"/>
      <c r="C119" s="12"/>
      <c r="D119" s="24"/>
      <c r="E119" s="5"/>
      <c r="P119" s="135"/>
    </row>
    <row r="120" spans="1:18" ht="15" thickBot="1" x14ac:dyDescent="0.4">
      <c r="A120" s="12"/>
      <c r="B120" s="12"/>
      <c r="C120" s="12"/>
      <c r="D120" s="13"/>
      <c r="P120" s="4"/>
    </row>
    <row r="121" spans="1:18" x14ac:dyDescent="0.35">
      <c r="A121" s="216" t="s">
        <v>35</v>
      </c>
      <c r="B121" s="196"/>
      <c r="C121" s="196"/>
      <c r="D121" s="196"/>
      <c r="E121" s="197"/>
      <c r="P121" s="135"/>
    </row>
    <row r="122" spans="1:18" ht="72.5" x14ac:dyDescent="0.35">
      <c r="A122" s="21" t="s">
        <v>30</v>
      </c>
      <c r="B122" s="10" t="s">
        <v>36</v>
      </c>
      <c r="C122" s="10" t="s">
        <v>37</v>
      </c>
      <c r="D122" s="11" t="s">
        <v>38</v>
      </c>
      <c r="E122" s="22" t="s">
        <v>33</v>
      </c>
      <c r="P122" s="135"/>
    </row>
    <row r="123" spans="1:18" s="4" customFormat="1" ht="29" x14ac:dyDescent="0.35">
      <c r="A123" s="16" t="str">
        <f>E53</f>
        <v>EXTERNA - 
Pisos pavimentados adjacentes / contíguos às edificações</v>
      </c>
      <c r="B123" s="9">
        <f>SUM(J53:J59)</f>
        <v>1849.16</v>
      </c>
      <c r="C123" s="19">
        <f>F53</f>
        <v>1800</v>
      </c>
      <c r="D123" s="20">
        <f>((1800*B123)/C123)/22</f>
        <v>84.052727272727282</v>
      </c>
      <c r="E123" s="206"/>
      <c r="I123" s="3"/>
      <c r="J123"/>
      <c r="K123"/>
      <c r="L123"/>
      <c r="M123"/>
      <c r="N123"/>
      <c r="O123"/>
      <c r="P123" s="135"/>
      <c r="Q123"/>
      <c r="R123"/>
    </row>
    <row r="124" spans="1:18" s="4" customFormat="1" ht="29" x14ac:dyDescent="0.35">
      <c r="A124" s="16" t="str">
        <f>E60</f>
        <v>EXTERNA - 
Varriação de passeios e arruamentos</v>
      </c>
      <c r="B124" s="9">
        <f>SUM(J60:J62)</f>
        <v>0</v>
      </c>
      <c r="C124" s="19">
        <f>F60</f>
        <v>6000</v>
      </c>
      <c r="D124" s="20">
        <f>((1800*B124)/C124)/22</f>
        <v>0</v>
      </c>
      <c r="E124" s="207"/>
      <c r="I124" s="3"/>
      <c r="J124"/>
      <c r="K124"/>
      <c r="L124"/>
      <c r="M124"/>
      <c r="N124"/>
      <c r="O124"/>
      <c r="P124" s="135"/>
      <c r="Q124"/>
      <c r="R124"/>
    </row>
    <row r="125" spans="1:18" s="4" customFormat="1" ht="29" x14ac:dyDescent="0.35">
      <c r="A125" s="16" t="str">
        <f>E63</f>
        <v>EXTERNA - 
Pátios e áreas verdes com alta, média ou baixa frequência</v>
      </c>
      <c r="B125" s="9">
        <f>SUM(J63:J65)</f>
        <v>0</v>
      </c>
      <c r="C125" s="19">
        <f>F63</f>
        <v>1800</v>
      </c>
      <c r="D125" s="20">
        <f>((1800*B125)/C125)/22</f>
        <v>0</v>
      </c>
      <c r="E125" s="207"/>
      <c r="I125" s="3"/>
      <c r="J125"/>
      <c r="K125"/>
      <c r="L125"/>
      <c r="M125"/>
      <c r="N125"/>
      <c r="O125"/>
      <c r="P125" s="135"/>
      <c r="Q125"/>
      <c r="R125"/>
    </row>
    <row r="126" spans="1:18" s="4" customFormat="1" ht="29" x14ac:dyDescent="0.35">
      <c r="A126" s="16" t="str">
        <f>E66</f>
        <v>EXTERNA - 
Coleta de detritos em pátios e áreas verdes com frequência diária</v>
      </c>
      <c r="B126" s="9">
        <f>SUM(J66:J68)</f>
        <v>0</v>
      </c>
      <c r="C126" s="19">
        <f>F66</f>
        <v>100000</v>
      </c>
      <c r="D126" s="20">
        <f>((1800*B126)/C126)/22</f>
        <v>0</v>
      </c>
      <c r="E126" s="207"/>
      <c r="I126" s="3"/>
      <c r="J126"/>
      <c r="K126"/>
      <c r="L126"/>
      <c r="M126"/>
      <c r="N126"/>
      <c r="O126"/>
      <c r="P126" s="135"/>
      <c r="Q126"/>
      <c r="R126"/>
    </row>
    <row r="127" spans="1:18" s="4" customFormat="1" x14ac:dyDescent="0.35">
      <c r="A127" s="16"/>
      <c r="B127" s="9"/>
      <c r="C127" s="19"/>
      <c r="D127" s="20"/>
      <c r="E127" s="208"/>
      <c r="I127" s="3"/>
      <c r="J127"/>
      <c r="K127"/>
      <c r="L127"/>
      <c r="M127"/>
      <c r="N127"/>
      <c r="O127"/>
      <c r="P127" s="135"/>
      <c r="Q127"/>
      <c r="R127"/>
    </row>
    <row r="128" spans="1:18" s="4" customFormat="1" ht="15" thickBot="1" x14ac:dyDescent="0.4">
      <c r="A128" s="230" t="s">
        <v>39</v>
      </c>
      <c r="B128" s="231"/>
      <c r="C128" s="231"/>
      <c r="D128" s="64">
        <f>SUM(D123:D127)</f>
        <v>84.052727272727282</v>
      </c>
      <c r="E128" s="23">
        <f>D128/1800</f>
        <v>4.6695959595959603E-2</v>
      </c>
      <c r="I128" s="3"/>
      <c r="J128"/>
      <c r="K128"/>
      <c r="L128"/>
      <c r="M128"/>
      <c r="N128"/>
      <c r="O128"/>
      <c r="P128" s="135"/>
      <c r="Q128"/>
      <c r="R128"/>
    </row>
    <row r="129" spans="1:18" s="4" customFormat="1" x14ac:dyDescent="0.35">
      <c r="A129" s="12"/>
      <c r="B129" s="12"/>
      <c r="C129" s="12"/>
      <c r="D129" s="15"/>
      <c r="I129" s="3"/>
      <c r="J129"/>
      <c r="K129"/>
      <c r="L129"/>
      <c r="M129"/>
      <c r="N129"/>
      <c r="O129"/>
      <c r="P129" s="135"/>
      <c r="Q129"/>
      <c r="R129"/>
    </row>
    <row r="130" spans="1:18" s="4" customFormat="1" ht="15" thickBot="1" x14ac:dyDescent="0.4">
      <c r="A130" s="12"/>
      <c r="B130" s="12"/>
      <c r="C130" s="12"/>
      <c r="D130" s="15"/>
      <c r="I130" s="3"/>
      <c r="J130"/>
      <c r="K130"/>
      <c r="L130"/>
      <c r="M130"/>
      <c r="N130"/>
      <c r="O130"/>
      <c r="P130" s="135"/>
      <c r="Q130"/>
      <c r="R130"/>
    </row>
    <row r="131" spans="1:18" s="4" customFormat="1" x14ac:dyDescent="0.35">
      <c r="A131" s="216" t="s">
        <v>40</v>
      </c>
      <c r="B131" s="196"/>
      <c r="C131" s="196"/>
      <c r="D131" s="196"/>
      <c r="E131" s="197"/>
      <c r="I131" s="3"/>
      <c r="J131"/>
      <c r="K131"/>
      <c r="L131"/>
      <c r="M131"/>
      <c r="N131"/>
      <c r="O131"/>
      <c r="P131" s="135"/>
      <c r="Q131"/>
      <c r="R131"/>
    </row>
    <row r="132" spans="1:18" s="4" customFormat="1" ht="72.5" x14ac:dyDescent="0.35">
      <c r="A132" s="21" t="s">
        <v>30</v>
      </c>
      <c r="B132" s="10" t="s">
        <v>36</v>
      </c>
      <c r="C132" s="10" t="s">
        <v>37</v>
      </c>
      <c r="D132" s="11" t="s">
        <v>41</v>
      </c>
      <c r="E132" s="22" t="s">
        <v>33</v>
      </c>
      <c r="I132" s="3"/>
      <c r="J132"/>
      <c r="K132"/>
      <c r="L132"/>
      <c r="M132"/>
      <c r="N132"/>
      <c r="O132"/>
      <c r="P132" s="135"/>
      <c r="Q132"/>
      <c r="R132"/>
    </row>
    <row r="133" spans="1:18" s="4" customFormat="1" ht="29" x14ac:dyDescent="0.35">
      <c r="A133" s="17" t="str">
        <f>E69</f>
        <v>ESQUADRIAS EXTERNAS - 
Face externa COM exposição a situação de risco</v>
      </c>
      <c r="B133" s="9">
        <f>SUM(J69:J71)</f>
        <v>0</v>
      </c>
      <c r="C133" s="18">
        <f>F69</f>
        <v>130</v>
      </c>
      <c r="D133" s="20">
        <f>((300*B133)/C133)/22</f>
        <v>0</v>
      </c>
      <c r="E133" s="206"/>
      <c r="I133" s="3"/>
      <c r="J133"/>
      <c r="K133"/>
      <c r="L133"/>
      <c r="M133"/>
      <c r="N133"/>
      <c r="O133"/>
      <c r="P133" s="135"/>
      <c r="Q133"/>
      <c r="R133"/>
    </row>
    <row r="134" spans="1:18" s="4" customFormat="1" ht="29" x14ac:dyDescent="0.35">
      <c r="A134" s="17" t="str">
        <f>E72</f>
        <v>ESQUADRIAS EXTERNAS - 
Face externa SEM exposição a situação de risco</v>
      </c>
      <c r="B134" s="9">
        <f>SUM(J72:J82)</f>
        <v>334.70870000000002</v>
      </c>
      <c r="C134" s="18">
        <f>F72</f>
        <v>300</v>
      </c>
      <c r="D134" s="20">
        <f>((300*B134)/C134)/22</f>
        <v>15.214031818181819</v>
      </c>
      <c r="E134" s="207"/>
      <c r="I134" s="3"/>
      <c r="J134"/>
      <c r="K134"/>
      <c r="L134"/>
      <c r="M134"/>
      <c r="N134"/>
      <c r="O134"/>
      <c r="P134" s="135"/>
      <c r="Q134"/>
      <c r="R134"/>
    </row>
    <row r="135" spans="1:18" s="4" customFormat="1" ht="29" x14ac:dyDescent="0.35">
      <c r="A135" s="17" t="str">
        <f>E83</f>
        <v>ESQUADRIAS EXTERNAS / INTERNAS - 
Face interna</v>
      </c>
      <c r="B135" s="9">
        <f>SUM(J83:J94)</f>
        <v>2575.6324000000004</v>
      </c>
      <c r="C135" s="18">
        <f>F83</f>
        <v>300</v>
      </c>
      <c r="D135" s="20">
        <f>((300*B135)/C135)/22</f>
        <v>117.07420000000002</v>
      </c>
      <c r="E135" s="207"/>
      <c r="I135" s="3"/>
      <c r="J135"/>
      <c r="K135"/>
      <c r="L135"/>
      <c r="M135"/>
      <c r="N135"/>
      <c r="O135"/>
      <c r="P135" s="135"/>
      <c r="Q135"/>
      <c r="R135"/>
    </row>
    <row r="136" spans="1:18" s="4" customFormat="1" x14ac:dyDescent="0.35">
      <c r="A136" s="17"/>
      <c r="B136" s="9">
        <f>SUM(B134:B135)</f>
        <v>2910.3411000000006</v>
      </c>
      <c r="C136" s="18"/>
      <c r="D136" s="20"/>
      <c r="E136" s="208"/>
      <c r="I136" s="3"/>
      <c r="J136"/>
      <c r="K136"/>
      <c r="L136"/>
      <c r="M136"/>
      <c r="N136"/>
      <c r="O136"/>
      <c r="P136" s="135"/>
      <c r="Q136"/>
      <c r="R136"/>
    </row>
    <row r="137" spans="1:18" s="4" customFormat="1" ht="15" thickBot="1" x14ac:dyDescent="0.4">
      <c r="A137" s="230" t="s">
        <v>42</v>
      </c>
      <c r="B137" s="231"/>
      <c r="C137" s="231"/>
      <c r="D137" s="64">
        <f>SUM(D133:D136)</f>
        <v>132.28823181818183</v>
      </c>
      <c r="E137" s="23">
        <f>D137/300</f>
        <v>0.44096077272727274</v>
      </c>
      <c r="I137" s="3"/>
      <c r="J137"/>
      <c r="K137"/>
      <c r="L137"/>
      <c r="M137"/>
      <c r="N137"/>
      <c r="O137"/>
      <c r="P137" s="135"/>
      <c r="Q137"/>
      <c r="R137"/>
    </row>
    <row r="138" spans="1:18" x14ac:dyDescent="0.35">
      <c r="P138" s="135"/>
    </row>
    <row r="139" spans="1:18" ht="15" thickBot="1" x14ac:dyDescent="0.4">
      <c r="P139" s="135"/>
    </row>
    <row r="140" spans="1:18" x14ac:dyDescent="0.35">
      <c r="A140" s="195" t="s">
        <v>130</v>
      </c>
      <c r="B140" s="196"/>
      <c r="C140" s="196"/>
      <c r="D140" s="196"/>
      <c r="E140" s="197"/>
      <c r="P140" s="135"/>
    </row>
    <row r="141" spans="1:18" ht="72.5" x14ac:dyDescent="0.35">
      <c r="A141" s="21" t="s">
        <v>30</v>
      </c>
      <c r="B141" s="10" t="s">
        <v>127</v>
      </c>
      <c r="C141" s="10" t="s">
        <v>128</v>
      </c>
      <c r="D141" s="11" t="s">
        <v>129</v>
      </c>
      <c r="E141" s="22" t="s">
        <v>33</v>
      </c>
      <c r="P141" s="135"/>
    </row>
    <row r="142" spans="1:18" x14ac:dyDescent="0.35">
      <c r="A142" s="139" t="s">
        <v>122</v>
      </c>
      <c r="B142" s="140">
        <v>15</v>
      </c>
      <c r="C142" s="141"/>
      <c r="D142" s="13"/>
      <c r="E142" s="145">
        <f>K95</f>
        <v>2.2727272727272728E-2</v>
      </c>
      <c r="P142" s="135"/>
    </row>
    <row r="143" spans="1:18" x14ac:dyDescent="0.35">
      <c r="A143" s="139" t="s">
        <v>124</v>
      </c>
      <c r="B143" s="140">
        <v>1</v>
      </c>
      <c r="C143" s="18"/>
      <c r="D143" s="13"/>
      <c r="E143" s="145">
        <f>K96</f>
        <v>7.5757575757575751E-3</v>
      </c>
      <c r="P143" s="135"/>
    </row>
    <row r="144" spans="1:18" ht="29" x14ac:dyDescent="0.35">
      <c r="A144" s="184" t="s">
        <v>135</v>
      </c>
      <c r="B144" s="9"/>
      <c r="C144" s="18"/>
      <c r="D144" s="13"/>
      <c r="E144" s="145">
        <f>K97</f>
        <v>4.5454545454545456E-2</v>
      </c>
      <c r="P144" s="135"/>
    </row>
    <row r="145" spans="1:18" ht="15" thickBot="1" x14ac:dyDescent="0.4">
      <c r="A145" s="198"/>
      <c r="B145" s="199"/>
      <c r="C145" s="199"/>
      <c r="D145" s="137">
        <f>SUM(D142:D144)</f>
        <v>0</v>
      </c>
      <c r="E145" s="138">
        <f>E143+E142+E144</f>
        <v>7.575757575757576E-2</v>
      </c>
      <c r="P145" s="135"/>
    </row>
    <row r="146" spans="1:18" x14ac:dyDescent="0.35">
      <c r="E146" s="93"/>
      <c r="P146" s="135"/>
    </row>
    <row r="147" spans="1:18" s="4" customFormat="1" x14ac:dyDescent="0.35">
      <c r="A147"/>
      <c r="B147"/>
      <c r="C147"/>
      <c r="D147" s="2"/>
      <c r="I147" s="3"/>
      <c r="J147"/>
      <c r="K147"/>
      <c r="L147"/>
      <c r="M147"/>
      <c r="N147"/>
      <c r="O147"/>
      <c r="P147" s="135"/>
      <c r="Q147"/>
      <c r="R147"/>
    </row>
    <row r="148" spans="1:18" s="4" customFormat="1" ht="15" thickBot="1" x14ac:dyDescent="0.4">
      <c r="A148"/>
      <c r="B148"/>
      <c r="C148"/>
      <c r="D148" s="2"/>
      <c r="I148" s="3"/>
      <c r="J148"/>
      <c r="K148"/>
      <c r="L148"/>
      <c r="M148"/>
      <c r="N148"/>
      <c r="O148"/>
      <c r="P148" s="135"/>
      <c r="Q148"/>
      <c r="R148"/>
    </row>
    <row r="149" spans="1:18" s="4" customFormat="1" ht="15" thickBot="1" x14ac:dyDescent="0.4">
      <c r="A149" s="235" t="s">
        <v>43</v>
      </c>
      <c r="B149" s="236"/>
      <c r="C149" s="236"/>
      <c r="D149" s="236"/>
      <c r="E149" s="144">
        <f>TRUNC(E118+E128+E137+E145,2)</f>
        <v>6</v>
      </c>
      <c r="I149" s="3"/>
      <c r="J149"/>
      <c r="K149"/>
      <c r="L149"/>
      <c r="M149"/>
      <c r="N149"/>
      <c r="O149"/>
      <c r="P149" s="135"/>
      <c r="Q149"/>
      <c r="R149"/>
    </row>
    <row r="150" spans="1:18" x14ac:dyDescent="0.35">
      <c r="P150" s="135"/>
    </row>
    <row r="151" spans="1:18" ht="15" thickBot="1" x14ac:dyDescent="0.4">
      <c r="P151" s="135"/>
    </row>
    <row r="152" spans="1:18" x14ac:dyDescent="0.35">
      <c r="A152" s="232" t="s">
        <v>131</v>
      </c>
      <c r="B152" s="233"/>
      <c r="C152" s="233"/>
      <c r="D152" s="233"/>
      <c r="E152" s="234"/>
      <c r="P152" s="135"/>
    </row>
    <row r="153" spans="1:18" x14ac:dyDescent="0.35">
      <c r="A153" s="200" t="s">
        <v>132</v>
      </c>
      <c r="B153" s="201"/>
      <c r="C153" s="201"/>
      <c r="D153" s="201"/>
      <c r="E153" s="202"/>
      <c r="P153" s="135"/>
    </row>
    <row r="154" spans="1:18" ht="43.5" x14ac:dyDescent="0.35">
      <c r="A154" s="200" t="s">
        <v>30</v>
      </c>
      <c r="B154" s="201"/>
      <c r="C154" s="237"/>
      <c r="D154" s="10" t="s">
        <v>37</v>
      </c>
      <c r="E154" s="142" t="s">
        <v>133</v>
      </c>
      <c r="P154" s="135"/>
    </row>
    <row r="155" spans="1:18" ht="15" thickBot="1" x14ac:dyDescent="0.4">
      <c r="A155" s="238" t="s">
        <v>134</v>
      </c>
      <c r="B155" s="239"/>
      <c r="C155" s="240"/>
      <c r="D155" s="143">
        <v>800</v>
      </c>
      <c r="E155" s="146">
        <f>TRUNC(E149*D155,2)</f>
        <v>4800</v>
      </c>
      <c r="P155" s="135"/>
    </row>
    <row r="156" spans="1:18" x14ac:dyDescent="0.35">
      <c r="A156" s="4"/>
      <c r="B156" s="4"/>
      <c r="C156" s="4"/>
      <c r="D156" s="181"/>
      <c r="E156" s="182"/>
      <c r="P156" s="135"/>
    </row>
    <row r="157" spans="1:18" x14ac:dyDescent="0.35">
      <c r="A157" s="4"/>
      <c r="B157" s="4"/>
      <c r="C157" s="4"/>
      <c r="D157" s="181"/>
      <c r="E157" s="182"/>
      <c r="P157" s="135"/>
    </row>
    <row r="158" spans="1:18" x14ac:dyDescent="0.35">
      <c r="D158" s="183"/>
      <c r="P158" s="135"/>
    </row>
    <row r="159" spans="1:18" ht="15" thickBot="1" x14ac:dyDescent="0.4">
      <c r="P159" s="135"/>
    </row>
    <row r="160" spans="1:18" ht="31.5" thickBot="1" x14ac:dyDescent="0.4">
      <c r="A160" s="186" t="s">
        <v>140</v>
      </c>
      <c r="B160" s="187"/>
      <c r="C160" s="187"/>
      <c r="D160" s="187"/>
      <c r="E160" s="187"/>
      <c r="F160" s="187"/>
      <c r="G160" s="187"/>
      <c r="H160" s="187"/>
      <c r="I160" s="187"/>
      <c r="J160" s="187"/>
      <c r="K160" s="188"/>
      <c r="P160" s="135"/>
    </row>
    <row r="161" spans="1:16" ht="15" thickBot="1" x14ac:dyDescent="0.4">
      <c r="P161" s="135"/>
    </row>
    <row r="162" spans="1:16" ht="58.5" thickBot="1" x14ac:dyDescent="0.4">
      <c r="A162" s="105" t="s">
        <v>0</v>
      </c>
      <c r="B162" s="106" t="s">
        <v>144</v>
      </c>
      <c r="C162" s="109"/>
      <c r="D162" s="113"/>
      <c r="E162" s="132" t="s">
        <v>4</v>
      </c>
      <c r="F162" s="112" t="s">
        <v>5</v>
      </c>
      <c r="G162" s="106" t="s">
        <v>6</v>
      </c>
      <c r="H162" s="106" t="s">
        <v>7</v>
      </c>
      <c r="I162" s="109" t="s">
        <v>143</v>
      </c>
      <c r="J162" s="120" t="s">
        <v>142</v>
      </c>
      <c r="K162" s="117"/>
      <c r="P162" s="135"/>
    </row>
    <row r="163" spans="1:16" ht="29" x14ac:dyDescent="0.35">
      <c r="A163" s="28" t="s">
        <v>139</v>
      </c>
      <c r="B163" s="166">
        <v>1234</v>
      </c>
      <c r="C163" s="166"/>
      <c r="D163" s="167"/>
      <c r="E163" s="189" t="s">
        <v>23</v>
      </c>
      <c r="F163" s="134">
        <v>130</v>
      </c>
      <c r="G163" s="29" t="s">
        <v>46</v>
      </c>
      <c r="H163" s="37">
        <v>1</v>
      </c>
      <c r="I163" s="168">
        <v>4</v>
      </c>
      <c r="J163" s="82">
        <f>I163*B163</f>
        <v>4936</v>
      </c>
      <c r="K163" s="84"/>
      <c r="P163" s="135"/>
    </row>
    <row r="164" spans="1:16" x14ac:dyDescent="0.35">
      <c r="A164" s="30"/>
      <c r="B164" s="31"/>
      <c r="C164" s="65"/>
      <c r="D164" s="6"/>
      <c r="E164" s="190"/>
      <c r="F164" s="123">
        <v>130</v>
      </c>
      <c r="G164" s="32"/>
      <c r="H164" s="36"/>
      <c r="I164" s="74"/>
      <c r="J164" s="8">
        <f t="shared" ref="J164" si="37">D164*I164</f>
        <v>0</v>
      </c>
      <c r="K164" s="85"/>
      <c r="P164" s="135"/>
    </row>
    <row r="165" spans="1:16" ht="15" thickBot="1" x14ac:dyDescent="0.4">
      <c r="A165" s="33"/>
      <c r="B165" s="34"/>
      <c r="C165" s="66"/>
      <c r="D165" s="27"/>
      <c r="E165" s="191"/>
      <c r="F165" s="131">
        <v>130</v>
      </c>
      <c r="G165" s="35"/>
      <c r="H165" s="38"/>
      <c r="I165" s="75"/>
      <c r="J165" s="83">
        <f>D165*I165</f>
        <v>0</v>
      </c>
      <c r="K165" s="86"/>
      <c r="P165" s="135"/>
    </row>
    <row r="166" spans="1:16" x14ac:dyDescent="0.35">
      <c r="A166" s="169" t="s">
        <v>121</v>
      </c>
      <c r="B166" s="170">
        <v>3490</v>
      </c>
      <c r="C166" s="170"/>
      <c r="D166" s="171"/>
      <c r="E166" s="172" t="s">
        <v>125</v>
      </c>
      <c r="F166" s="173"/>
      <c r="G166" s="174" t="s">
        <v>46</v>
      </c>
      <c r="H166" s="175">
        <v>1</v>
      </c>
      <c r="I166" s="176">
        <v>4</v>
      </c>
      <c r="J166" s="177">
        <f>I166*B166</f>
        <v>13960</v>
      </c>
      <c r="K166" s="178"/>
      <c r="M166" s="136"/>
      <c r="N166" s="26"/>
      <c r="P166" s="135"/>
    </row>
    <row r="167" spans="1:16" x14ac:dyDescent="0.35">
      <c r="A167" s="169"/>
      <c r="B167" s="179"/>
      <c r="C167" s="170"/>
      <c r="D167" s="171"/>
      <c r="E167" s="172"/>
      <c r="F167" s="173"/>
      <c r="G167" s="174"/>
      <c r="H167" s="175"/>
      <c r="I167" s="176"/>
      <c r="J167" s="177">
        <f t="shared" ref="J167:J171" si="38">D167*I167</f>
        <v>0</v>
      </c>
      <c r="K167" s="178"/>
      <c r="M167" s="136"/>
      <c r="N167" s="26"/>
      <c r="P167" s="135"/>
    </row>
    <row r="168" spans="1:16" x14ac:dyDescent="0.35">
      <c r="A168" s="180"/>
      <c r="B168" s="179"/>
      <c r="C168" s="170"/>
      <c r="D168" s="171"/>
      <c r="E168" s="172"/>
      <c r="F168" s="173"/>
      <c r="G168" s="174"/>
      <c r="H168" s="175"/>
      <c r="I168" s="176"/>
      <c r="J168" s="177">
        <f t="shared" si="38"/>
        <v>0</v>
      </c>
      <c r="K168" s="178"/>
      <c r="M168" s="136"/>
      <c r="N168" s="26"/>
      <c r="P168" s="135"/>
    </row>
    <row r="169" spans="1:16" x14ac:dyDescent="0.35">
      <c r="A169" s="169"/>
      <c r="B169" s="179"/>
      <c r="C169" s="170"/>
      <c r="D169" s="171"/>
      <c r="E169" s="172"/>
      <c r="F169" s="173"/>
      <c r="G169" s="174"/>
      <c r="H169" s="175"/>
      <c r="I169" s="176"/>
      <c r="J169" s="177">
        <f t="shared" si="38"/>
        <v>0</v>
      </c>
      <c r="K169" s="178"/>
      <c r="M169" s="136"/>
      <c r="P169" s="135"/>
    </row>
    <row r="170" spans="1:16" s="4" customFormat="1" x14ac:dyDescent="0.35">
      <c r="A170" s="164" t="s">
        <v>137</v>
      </c>
      <c r="B170" s="148">
        <v>10</v>
      </c>
      <c r="C170" s="149"/>
      <c r="D170" s="165"/>
      <c r="E170" s="133" t="s">
        <v>138</v>
      </c>
      <c r="F170" s="130">
        <v>1</v>
      </c>
      <c r="G170" s="100" t="s">
        <v>46</v>
      </c>
      <c r="H170" s="101">
        <v>1</v>
      </c>
      <c r="I170" s="151">
        <v>4</v>
      </c>
      <c r="J170" s="121">
        <f>I170*B170</f>
        <v>40</v>
      </c>
      <c r="K170" s="119"/>
      <c r="M170" s="152"/>
    </row>
    <row r="171" spans="1:16" x14ac:dyDescent="0.35">
      <c r="A171" s="108" t="s">
        <v>141</v>
      </c>
      <c r="B171" s="99"/>
      <c r="C171" s="111"/>
      <c r="D171" s="97"/>
      <c r="E171" s="133"/>
      <c r="F171" s="130"/>
      <c r="G171" s="100"/>
      <c r="H171" s="101"/>
      <c r="I171" s="116"/>
      <c r="J171" s="121">
        <f t="shared" si="38"/>
        <v>0</v>
      </c>
      <c r="K171" s="119"/>
      <c r="M171" s="136"/>
      <c r="P171" s="135"/>
    </row>
    <row r="172" spans="1:16" x14ac:dyDescent="0.35">
      <c r="P172" s="135"/>
    </row>
    <row r="173" spans="1:16" x14ac:dyDescent="0.35">
      <c r="P173" s="135"/>
    </row>
    <row r="174" spans="1:16" x14ac:dyDescent="0.35">
      <c r="P174" s="135"/>
    </row>
    <row r="175" spans="1:16" x14ac:dyDescent="0.35">
      <c r="P175" s="135"/>
    </row>
    <row r="176" spans="1:16" x14ac:dyDescent="0.35">
      <c r="P176" s="135"/>
    </row>
    <row r="177" spans="16:16" x14ac:dyDescent="0.35">
      <c r="P177" s="135"/>
    </row>
    <row r="178" spans="16:16" x14ac:dyDescent="0.35">
      <c r="P178" s="135"/>
    </row>
    <row r="179" spans="16:16" x14ac:dyDescent="0.35">
      <c r="P179" s="135"/>
    </row>
    <row r="180" spans="16:16" x14ac:dyDescent="0.35">
      <c r="P180" s="135"/>
    </row>
    <row r="181" spans="16:16" x14ac:dyDescent="0.35">
      <c r="P181" s="135"/>
    </row>
    <row r="182" spans="16:16" x14ac:dyDescent="0.35">
      <c r="P182" s="135"/>
    </row>
    <row r="183" spans="16:16" x14ac:dyDescent="0.35">
      <c r="P183" s="135"/>
    </row>
    <row r="184" spans="16:16" x14ac:dyDescent="0.35">
      <c r="P184" s="135"/>
    </row>
    <row r="185" spans="16:16" x14ac:dyDescent="0.35">
      <c r="P185" s="135"/>
    </row>
    <row r="186" spans="16:16" x14ac:dyDescent="0.35">
      <c r="P186" s="135"/>
    </row>
    <row r="187" spans="16:16" x14ac:dyDescent="0.35">
      <c r="P187" s="135"/>
    </row>
    <row r="188" spans="16:16" x14ac:dyDescent="0.35">
      <c r="P188" s="135"/>
    </row>
    <row r="189" spans="16:16" x14ac:dyDescent="0.35">
      <c r="P189" s="135"/>
    </row>
    <row r="190" spans="16:16" x14ac:dyDescent="0.35">
      <c r="P190" s="135"/>
    </row>
    <row r="191" spans="16:16" x14ac:dyDescent="0.35">
      <c r="P191" s="135"/>
    </row>
    <row r="192" spans="16:16" x14ac:dyDescent="0.35">
      <c r="P192" s="135"/>
    </row>
    <row r="193" spans="16:16" x14ac:dyDescent="0.35">
      <c r="P193" s="135"/>
    </row>
    <row r="194" spans="16:16" x14ac:dyDescent="0.35">
      <c r="P194" s="135"/>
    </row>
    <row r="195" spans="16:16" x14ac:dyDescent="0.35">
      <c r="P195" s="135"/>
    </row>
    <row r="196" spans="16:16" x14ac:dyDescent="0.35">
      <c r="P196" s="135"/>
    </row>
    <row r="197" spans="16:16" x14ac:dyDescent="0.35">
      <c r="P197" s="135"/>
    </row>
    <row r="198" spans="16:16" x14ac:dyDescent="0.35">
      <c r="P198" s="135"/>
    </row>
    <row r="199" spans="16:16" x14ac:dyDescent="0.35">
      <c r="P199" s="135"/>
    </row>
  </sheetData>
  <mergeCells count="39">
    <mergeCell ref="A152:E152"/>
    <mergeCell ref="A137:C137"/>
    <mergeCell ref="A149:D149"/>
    <mergeCell ref="A154:C154"/>
    <mergeCell ref="A155:C155"/>
    <mergeCell ref="E123:E127"/>
    <mergeCell ref="E133:E136"/>
    <mergeCell ref="A118:C118"/>
    <mergeCell ref="A121:E121"/>
    <mergeCell ref="A128:C128"/>
    <mergeCell ref="A131:E131"/>
    <mergeCell ref="A109:E109"/>
    <mergeCell ref="E18:E22"/>
    <mergeCell ref="E23:E25"/>
    <mergeCell ref="E14:E17"/>
    <mergeCell ref="E26:E40"/>
    <mergeCell ref="E41:E52"/>
    <mergeCell ref="E83:E94"/>
    <mergeCell ref="A101:C101"/>
    <mergeCell ref="A102:I102"/>
    <mergeCell ref="A103:J103"/>
    <mergeCell ref="A107:E107"/>
    <mergeCell ref="E101:G101"/>
    <mergeCell ref="A1:K1"/>
    <mergeCell ref="A160:K160"/>
    <mergeCell ref="E163:E165"/>
    <mergeCell ref="E95:E100"/>
    <mergeCell ref="A140:E140"/>
    <mergeCell ref="A145:C145"/>
    <mergeCell ref="A153:E153"/>
    <mergeCell ref="E69:E71"/>
    <mergeCell ref="E3:E13"/>
    <mergeCell ref="E111:E117"/>
    <mergeCell ref="A106:E106"/>
    <mergeCell ref="E53:E59"/>
    <mergeCell ref="E60:E62"/>
    <mergeCell ref="E63:E65"/>
    <mergeCell ref="E66:E68"/>
    <mergeCell ref="E72:E82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G3:G100 G163:G171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H3:H101 H163:H171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47</v>
      </c>
    </row>
    <row r="2" spans="1:1" x14ac:dyDescent="0.35">
      <c r="A2" t="s">
        <v>48</v>
      </c>
    </row>
    <row r="3" spans="1:1" x14ac:dyDescent="0.35">
      <c r="A3" t="s">
        <v>49</v>
      </c>
    </row>
    <row r="4" spans="1:1" x14ac:dyDescent="0.35">
      <c r="A4" t="s">
        <v>50</v>
      </c>
    </row>
    <row r="5" spans="1:1" x14ac:dyDescent="0.35">
      <c r="A5" t="s">
        <v>45</v>
      </c>
    </row>
    <row r="6" spans="1:1" x14ac:dyDescent="0.35">
      <c r="A6" t="s">
        <v>44</v>
      </c>
    </row>
    <row r="7" spans="1:1" x14ac:dyDescent="0.35">
      <c r="A7" t="s">
        <v>51</v>
      </c>
    </row>
    <row r="8" spans="1:1" x14ac:dyDescent="0.35">
      <c r="A8" t="s">
        <v>46</v>
      </c>
    </row>
    <row r="9" spans="1:1" x14ac:dyDescent="0.35">
      <c r="A9" t="s">
        <v>52</v>
      </c>
    </row>
    <row r="14" spans="1:1" x14ac:dyDescent="0.35">
      <c r="A14" t="s">
        <v>53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Areas (m²)-Preencher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2024-09-05T20:10:20Z</dcterms:modified>
  <cp:category/>
  <cp:contentStatus/>
</cp:coreProperties>
</file>