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9" documentId="8_{F790F1AB-6148-4884-A6D7-1FC937964C2F}" xr6:coauthVersionLast="47" xr6:coauthVersionMax="47" xr10:uidLastSave="{E2AD1046-5F62-4088-8D05-DA82BA5304EF}"/>
  <bookViews>
    <workbookView xWindow="28680" yWindow="-120" windowWidth="29040" windowHeight="15840" tabRatio="661" xr2:uid="{00000000-000D-0000-FFFF-FFFF00000000}"/>
  </bookViews>
  <sheets>
    <sheet name=" Custo est. total" sheetId="18" r:id="rId1"/>
    <sheet name="Secretario Nivel Médio II"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FatorK" sheetId="7" r:id="rId11"/>
    <sheet name="MemóriaCálculo" sheetId="16" r:id="rId1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 i="18" l="1"/>
  <c r="H55" i="4"/>
  <c r="K57" i="11"/>
  <c r="K60" i="11" l="1"/>
  <c r="K15" i="11"/>
  <c r="K12" i="11"/>
  <c r="L57" i="11" l="1"/>
  <c r="K59" i="11"/>
  <c r="L59" i="11" s="1"/>
  <c r="K62" i="11"/>
  <c r="L62" i="11" s="1"/>
  <c r="K61" i="11"/>
  <c r="L61" i="11" s="1"/>
  <c r="L60" i="11"/>
  <c r="K58" i="11"/>
  <c r="L58" i="11" s="1"/>
  <c r="K14" i="11"/>
  <c r="K13" i="11"/>
  <c r="K11" i="11"/>
  <c r="L63" i="11"/>
  <c r="K65" i="11" l="1"/>
  <c r="K67" i="11" s="1"/>
  <c r="I70" i="16" l="1"/>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70" i="11" s="1"/>
  <c r="I72" i="16"/>
  <c r="I73" i="16" s="1"/>
  <c r="K58" i="14"/>
  <c r="K26" i="15"/>
  <c r="I142" i="4" l="1" a="1"/>
  <c r="I142" i="4" s="1"/>
  <c r="E33" i="12"/>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6" i="4"/>
  <c r="I85" i="4"/>
  <c r="C17" i="9"/>
  <c r="C16" i="9"/>
  <c r="H52" i="4"/>
  <c r="H54" i="4" s="1"/>
  <c r="H56" i="4" s="1"/>
  <c r="I87" i="4" l="1"/>
  <c r="G52" i="8"/>
  <c r="G65" i="8" l="1"/>
  <c r="C52" i="8"/>
  <c r="I169" i="4" l="1"/>
  <c r="G63" i="8"/>
  <c r="G37" i="8"/>
  <c r="H9" i="9"/>
  <c r="C9" i="9"/>
  <c r="F19" i="9" l="1"/>
  <c r="I39" i="4"/>
  <c r="E10" i="12" s="1"/>
  <c r="E12" i="12" s="1"/>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I88" i="4"/>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l="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c r="I156" i="4" l="1"/>
  <c r="I155" i="4"/>
  <c r="I8" i="6"/>
  <c r="I158" i="4" l="1"/>
  <c r="I171" i="4" s="1"/>
  <c r="H16" i="18" s="1"/>
  <c r="J16" i="18" s="1"/>
  <c r="I16" i="18" l="1"/>
  <c r="J17" i="18" s="1"/>
  <c r="B3" i="7"/>
  <c r="I17"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<sst xmlns="http://schemas.openxmlformats.org/spreadsheetml/2006/main" count="904" uniqueCount="477">
  <si>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</si>
  <si>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</si>
  <si>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</si>
  <si>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</si>
  <si>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</si>
  <si>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</si>
  <si>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</si>
  <si>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</si>
  <si>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</si>
  <si>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</si>
  <si>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</si>
  <si>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</si>
  <si>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</si>
  <si>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</si>
  <si>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</si>
  <si>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</si>
  <si>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</si>
  <si>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</si>
  <si>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</si>
  <si>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</si>
  <si>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</si>
  <si>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</si>
  <si>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</si>
  <si>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</si>
  <si>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</si>
  <si>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</si>
  <si>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</si>
  <si>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</si>
  <si>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</si>
  <si>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</si>
  <si>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</si>
  <si>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</si>
  <si>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</si>
  <si>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</si>
  <si>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</si>
  <si>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</si>
  <si>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</si>
  <si>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</si>
  <si>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</si>
  <si>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</si>
  <si>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</si>
  <si>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</si>
  <si>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</si>
  <si>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</si>
  <si>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</si>
  <si>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</si>
  <si>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</si>
  <si>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</si>
  <si>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</si>
  <si>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</si>
  <si>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</si>
  <si>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</si>
  <si>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</si>
  <si>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</si>
  <si>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</si>
  <si>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</si>
  <si>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</si>
  <si>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</si>
  <si>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</si>
  <si>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</si>
  <si>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</si>
  <si>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</si>
  <si>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</si>
  <si>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</si>
  <si>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</si>
  <si>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</si>
  <si>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</si>
  <si>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</si>
  <si>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</si>
  <si>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</si>
  <si>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</si>
  <si>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</si>
  <si>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</si>
  <si>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</si>
  <si>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</si>
  <si>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</si>
  <si>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</si>
  <si>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</si>
  <si>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</si>
  <si>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</si>
  <si>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</si>
  <si>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</si>
  <si>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</si>
  <si>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</si>
  <si>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</si>
  <si>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</si>
  <si>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</si>
  <si>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</si>
  <si>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</si>
  <si>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</si>
  <si>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</si>
  <si>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</si>
  <si>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</si>
  <si>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</si>
  <si>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</si>
  <si>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</si>
  <si>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</si>
  <si>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</si>
  <si>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</si>
  <si>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</si>
  <si>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</si>
  <si>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</si>
  <si>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</si>
  <si>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</si>
  <si>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</si>
  <si>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</si>
  <si>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</si>
  <si>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</si>
  <si>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</si>
  <si>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</si>
  <si>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</si>
  <si>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</si>
  <si>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</si>
  <si>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</si>
  <si>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</si>
  <si>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</si>
  <si>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</si>
  <si>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</si>
  <si>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</si>
  <si>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</si>
  <si>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</si>
  <si>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</si>
  <si>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</si>
  <si>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</si>
  <si>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</si>
  <si>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</si>
  <si>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</si>
  <si>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</si>
  <si>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</si>
  <si>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</si>
  <si>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</si>
  <si>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</si>
  <si>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</si>
  <si>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</si>
  <si>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</si>
  <si>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</si>
  <si>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</si>
  <si>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</si>
  <si>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</si>
  <si>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</si>
  <si>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</si>
  <si>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</si>
  <si>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</si>
  <si>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</si>
  <si>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</si>
  <si>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</si>
  <si>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</si>
  <si>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</si>
  <si>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</si>
  <si>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</si>
  <si>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</si>
  <si>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</si>
  <si>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</si>
  <si>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</si>
  <si>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</si>
  <si>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</si>
  <si>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</si>
  <si>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</si>
  <si>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</si>
  <si>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</si>
  <si>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</si>
  <si>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</si>
  <si>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</si>
  <si>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</si>
  <si>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</si>
  <si>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</si>
  <si>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</si>
  <si>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</si>
  <si>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</si>
  <si>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</si>
  <si>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</si>
  <si>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</si>
  <si>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</si>
  <si>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</si>
  <si>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</si>
  <si>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</si>
  <si>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</si>
  <si>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</si>
  <si>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</si>
  <si>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</si>
  <si>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</si>
  <si>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</si>
  <si>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</si>
  <si>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</si>
  <si>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</si>
  <si>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</si>
  <si>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</si>
  <si>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</si>
  <si>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</si>
  <si>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</si>
  <si>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</si>
  <si>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</si>
  <si>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</si>
  <si>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</si>
  <si>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</si>
  <si>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</si>
  <si>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</si>
  <si>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</si>
  <si>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</si>
  <si>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</si>
  <si>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</si>
  <si>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</si>
  <si>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</si>
  <si>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</si>
  <si>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</si>
  <si>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</si>
  <si>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</si>
  <si>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</si>
  <si>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</si>
  <si>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</si>
  <si>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</si>
  <si>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</si>
  <si>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</si>
  <si>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</si>
  <si>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</si>
  <si>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</si>
  <si>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</si>
  <si>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</si>
  <si>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</si>
  <si>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</si>
  <si>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</si>
  <si>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</si>
  <si>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</si>
  <si>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</si>
  <si>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</si>
  <si>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</si>
  <si>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</si>
  <si>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</si>
  <si>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</si>
  <si>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</si>
  <si>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</si>
  <si>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</si>
  <si>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</si>
  <si>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</si>
  <si>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</si>
  <si>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</si>
  <si>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</si>
  <si>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</si>
  <si>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</si>
  <si>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</si>
  <si>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</si>
  <si>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</si>
  <si>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</si>
  <si>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</si>
  <si>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</si>
  <si>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</si>
  <si>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</si>
  <si>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</si>
  <si>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</si>
  <si>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</si>
  <si>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</si>
  <si>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</si>
  <si>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</si>
  <si>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</si>
  <si>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</si>
  <si>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</si>
  <si>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</si>
  <si>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</si>
  <si>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</si>
  <si>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</si>
  <si>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</si>
  <si>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</si>
  <si>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</si>
  <si>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</si>
  <si>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</si>
  <si>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</si>
  <si>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</si>
  <si>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</si>
  <si>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</si>
  <si>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</si>
  <si>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</si>
  <si>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</si>
  <si>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</si>
  <si>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</si>
  <si>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</si>
  <si>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</si>
  <si>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</si>
  <si>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</si>
  <si>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</si>
  <si>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</si>
  <si>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</si>
  <si>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</si>
  <si>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</si>
  <si>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</si>
  <si>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</si>
  <si>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</si>
  <si>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</si>
  <si>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</si>
  <si>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</si>
  <si>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</si>
  <si>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</si>
  <si>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</si>
  <si>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</si>
  <si>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</si>
  <si>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</si>
  <si>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</si>
  <si>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</si>
  <si>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</si>
  <si>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</si>
  <si>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</si>
  <si>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</si>
  <si>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</si>
  <si>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</si>
  <si>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</si>
  <si>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</si>
  <si>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</si>
  <si>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</si>
  <si>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</si>
  <si>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</si>
  <si>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</si>
  <si>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</si>
  <si>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</si>
  <si>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</si>
  <si>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</si>
  <si>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</si>
  <si>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</si>
  <si>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</si>
  <si>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</si>
  <si>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</si>
  <si>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</si>
  <si>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</si>
  <si>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</si>
  <si>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</si>
  <si>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</si>
  <si>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</si>
  <si>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</si>
  <si>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</si>
  <si>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</si>
  <si>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</si>
  <si>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</si>
  <si>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</si>
  <si>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</si>
  <si>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</si>
  <si>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</si>
  <si>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</si>
  <si>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</si>
  <si>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</si>
  <si>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</si>
  <si>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</si>
  <si>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</si>
  <si>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</si>
  <si>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</si>
  <si>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</si>
  <si>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</si>
  <si>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</si>
  <si>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</si>
  <si>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</si>
  <si>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</si>
  <si>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</si>
  <si>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</si>
  <si>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</si>
  <si>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</si>
  <si>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</si>
  <si>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</si>
  <si>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</si>
  <si>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</si>
  <si>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</si>
  <si>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</si>
  <si>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</si>
  <si>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</si>
  <si>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</si>
  <si>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</si>
  <si>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</si>
  <si>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</si>
  <si>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</si>
  <si>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</si>
  <si>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</si>
  <si>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</si>
  <si>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</si>
  <si>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</si>
  <si>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</si>
  <si>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</si>
  <si>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</si>
  <si>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</si>
  <si>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</si>
  <si>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</si>
  <si>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</si>
  <si>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</si>
  <si>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</si>
  <si>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</si>
  <si>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</si>
  <si>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</si>
  <si>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</si>
  <si>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</si>
  <si>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</si>
  <si>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</si>
  <si>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</si>
  <si>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</si>
  <si>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</si>
  <si>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</si>
  <si>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</si>
  <si>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</si>
  <si>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</si>
  <si>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</si>
  <si>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</si>
  <si>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</si>
  <si>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</si>
  <si>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</si>
  <si>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</si>
  <si>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</si>
  <si>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</si>
  <si>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</si>
  <si>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</si>
  <si>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</si>
  <si>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</si>
  <si>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</si>
  <si>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</si>
  <si>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</si>
  <si>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</si>
  <si>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</si>
  <si>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</si>
  <si>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</si>
  <si>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</si>
  <si>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</si>
  <si>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</si>
  <si>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</si>
  <si>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</si>
  <si>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</si>
  <si>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</si>
  <si>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</si>
  <si>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</si>
  <si>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</si>
  <si>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</si>
  <si>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</si>
  <si>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</si>
  <si>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</si>
  <si>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</si>
  <si>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</si>
  <si>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</si>
  <si>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</si>
  <si>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</si>
  <si>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Apoio Administrativo</t>
  </si>
  <si>
    <t>Fardamento e seus complementos - MASCULINO</t>
  </si>
  <si>
    <t>Fardamento e seus complementos - FEMININO</t>
  </si>
  <si>
    <t>Categoria Profissional</t>
  </si>
  <si>
    <t>CBO</t>
  </si>
  <si>
    <t>Valor mensal</t>
  </si>
  <si>
    <t>posto</t>
  </si>
  <si>
    <t>Valor Global</t>
  </si>
  <si>
    <t>Quant</t>
  </si>
  <si>
    <t>Vl unit</t>
  </si>
  <si>
    <t>Planilha de Custo e Formação de Preços</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</si>
  <si>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</si>
  <si>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</si>
  <si>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</si>
  <si>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</si>
  <si>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</si>
  <si>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</si>
  <si>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</si>
  <si>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</si>
  <si>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</si>
  <si>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</si>
  <si>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r>
      <rPr>
        <b/>
        <sz val="10"/>
        <rFont val="Arial"/>
        <family val="2"/>
      </rPr>
      <t>Nº do Processo</t>
    </r>
    <r>
      <rPr>
        <sz val="10"/>
        <rFont val="Arial"/>
        <family val="2"/>
      </rPr>
      <t>: 48051.007041-2023-52</t>
    </r>
  </si>
  <si>
    <t>3515-05</t>
  </si>
  <si>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</si>
  <si>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</si>
  <si>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</si>
  <si>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</si>
  <si>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</si>
  <si>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</si>
  <si>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</si>
  <si>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</si>
  <si>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</si>
  <si>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</si>
  <si>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</si>
  <si>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</si>
  <si>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 xml:space="preserve">item </t>
  </si>
  <si>
    <t>CATSER</t>
  </si>
  <si>
    <t>Tecnico Secretariado/Secretário Nivel II</t>
  </si>
  <si>
    <t>Belém/PA</t>
  </si>
  <si>
    <t>PA000056/2024</t>
  </si>
  <si>
    <t>Tecnico Secretariada/Secretária(o) Nivel II</t>
  </si>
  <si>
    <t xml:space="preserve">                Declaro que foi realizada pesquisa mercadológica conforme dados abaixo: Documento SEI nº 11218921</t>
  </si>
  <si>
    <t>Secretária</t>
  </si>
  <si>
    <t>Valor do Premio Morte</t>
  </si>
  <si>
    <t xml:space="preserve">Valor do Premio Invalidez </t>
  </si>
  <si>
    <t>Valor total do Item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</si>
</sst>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0"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16">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48" fillId="0" borderId="0" xfId="0" applyFont="1" applyAlignment="1">
      <alignment wrapText="1"/>
    </xf>
    <xf numFmtId="0" fontId="48"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9" fillId="3" borderId="46" xfId="0" applyFont="1" applyFill="1" applyBorder="1" applyAlignment="1">
      <alignment horizontal="justify" vertical="center"/>
    </xf>
    <xf numFmtId="0" fontId="49" fillId="3" borderId="1" xfId="0" applyFont="1" applyFill="1" applyBorder="1" applyAlignment="1">
      <alignment horizontal="justify" vertical="center"/>
    </xf>
    <xf numFmtId="0" fontId="49" fillId="0" borderId="1" xfId="0" applyFont="1" applyBorder="1"/>
    <xf numFmtId="0" fontId="49" fillId="0" borderId="0" xfId="0" applyFont="1"/>
    <xf numFmtId="4" fontId="9" fillId="3" borderId="1" xfId="0" applyNumberFormat="1" applyFont="1" applyFill="1" applyBorder="1" applyAlignment="1">
      <alignment vertical="top" wrapText="1"/>
    </xf>
    <xf numFmtId="0" fontId="49" fillId="0" borderId="0" xfId="0" applyFont="1" applyAlignment="1">
      <alignment wrapText="1"/>
    </xf>
    <xf numFmtId="0" fontId="49" fillId="0" borderId="1" xfId="0" applyFont="1" applyBorder="1" applyAlignment="1">
      <alignment wrapText="1"/>
    </xf>
    <xf numFmtId="166" fontId="2" fillId="0" borderId="0" xfId="0" applyNumberFormat="1" applyFont="1" applyAlignment="1">
      <alignment horizontal="center" vertical="center"/>
    </xf>
    <xf numFmtId="0" fontId="2" fillId="7" borderId="1" xfId="0" applyFont="1" applyFill="1" applyBorder="1" applyAlignment="1">
      <alignment horizontal="center" vertical="center"/>
    </xf>
    <xf numFmtId="169" fontId="0" fillId="0" borderId="1" xfId="0" applyNumberFormat="1" applyBorder="1" applyAlignment="1">
      <alignment horizontal="center" vertical="center"/>
    </xf>
    <xf numFmtId="169" fontId="0" fillId="0" borderId="4" xfId="0" applyNumberFormat="1" applyBorder="1" applyAlignment="1">
      <alignment horizontal="center" vertical="center"/>
    </xf>
    <xf numFmtId="0" fontId="0" fillId="0" borderId="47" xfId="0" applyBorder="1" applyAlignment="1">
      <alignment horizontal="center" vertical="center"/>
    </xf>
    <xf numFmtId="169" fontId="2" fillId="0" borderId="47" xfId="0" applyNumberFormat="1" applyFont="1" applyBorder="1" applyAlignment="1">
      <alignment horizontal="center" vertical="center"/>
    </xf>
    <xf numFmtId="169" fontId="2" fillId="0" borderId="7" xfId="0" applyNumberFormat="1" applyFont="1" applyBorder="1" applyAlignment="1">
      <alignment horizontal="center" vertical="center"/>
    </xf>
    <xf numFmtId="49" fontId="0" fillId="0" borderId="0" xfId="0" applyNumberFormat="1" applyAlignment="1">
      <alignment horizontal="center" vertical="center"/>
    </xf>
    <xf numFmtId="169" fontId="0" fillId="0" borderId="0" xfId="0" applyNumberFormat="1" applyAlignment="1">
      <alignment horizontal="center" vertical="center"/>
    </xf>
    <xf numFmtId="0" fontId="2" fillId="7" borderId="4" xfId="0" applyFont="1" applyFill="1" applyBorder="1" applyAlignment="1">
      <alignment horizontal="center" vertical="center"/>
    </xf>
    <xf numFmtId="0" fontId="2" fillId="0" borderId="0" xfId="0" applyFont="1"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2" fillId="0" borderId="0" xfId="0" applyFont="1" applyAlignment="1">
      <alignment horizontal="center" vertical="center"/>
    </xf>
    <xf numFmtId="0" fontId="0" fillId="0" borderId="0" xfId="0" applyAlignment="1">
      <alignment horizontal="center"/>
    </xf>
    <xf numFmtId="0" fontId="0" fillId="0" borderId="47" xfId="0" applyBorder="1" applyAlignment="1">
      <alignment horizontal="center" vertic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0" fontId="2" fillId="0" borderId="40" xfId="0" applyFont="1" applyBorder="1" applyAlignment="1">
      <alignment horizontal="center" vertical="center"/>
    </xf>
    <xf numFmtId="0" fontId="2" fillId="0" borderId="24" xfId="0" applyFont="1" applyBorder="1" applyAlignment="1">
      <alignment horizontal="center" vertical="center"/>
    </xf>
    <xf numFmtId="0" fontId="2" fillId="0" borderId="71" xfId="0" applyFont="1" applyBorder="1" applyAlignment="1">
      <alignment horizontal="center" vertical="center"/>
    </xf>
    <xf numFmtId="0" fontId="2" fillId="4" borderId="28" xfId="0" applyFont="1" applyFill="1" applyBorder="1" applyAlignment="1">
      <alignment horizontal="center" vertical="center"/>
    </xf>
    <xf numFmtId="0" fontId="2" fillId="4" borderId="72" xfId="0" applyFont="1" applyFill="1" applyBorder="1" applyAlignment="1">
      <alignment horizontal="center" vertical="center"/>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12</xdr:col>
      <xdr:colOff>353421</xdr:colOff>
      <xdr:row>5</xdr:row>
      <xdr:rowOff>18407</xdr:rowOff>
    </xdr:to>
    <xdr:pic>
      <xdr:nvPicPr>
        <xdr:cNvPr id="2" name="Imagem 1">
          <a:extLst>
            <a:ext uri="{FF2B5EF4-FFF2-40B4-BE49-F238E27FC236}">
              <a16:creationId xmlns:a16="http://schemas.microsoft.com/office/drawing/2014/main" id="{40D6FDE4-30DD-9A95-2281-3A1DF1E233B9}"/>
            </a:ext>
          </a:extLst>
        </xdr:cNvPr>
        <xdr:cNvPicPr>
          <a:picLocks noChangeAspect="1"/>
        </xdr:cNvPicPr>
      </xdr:nvPicPr>
      <xdr:blipFill>
        <a:blip xmlns:r="http://schemas.openxmlformats.org/officeDocument/2006/relationships" r:embed="rId1"/>
        <a:stretch>
          <a:fillRect/>
        </a:stretch>
      </xdr:blipFill>
      <xdr:spPr>
        <a:xfrm>
          <a:off x="5614147" y="156882"/>
          <a:ext cx="3980952" cy="657143"/>
        </a:xfrm>
        <a:prstGeom prst="rect">
          <a:avLst/>
        </a:prstGeom>
      </xdr:spPr>
    </xdr:pic>
    <xdr:clientData/>
  </xdr:twoCellAnchor>
  <xdr:twoCellAnchor editAs="oneCell">
    <xdr:from>
      <xdr:col>6</xdr:col>
      <xdr:colOff>0</xdr:colOff>
      <xdr:row>14</xdr:row>
      <xdr:rowOff>0</xdr:rowOff>
    </xdr:from>
    <xdr:to>
      <xdr:col>15</xdr:col>
      <xdr:colOff>382512</xdr:colOff>
      <xdr:row>20</xdr:row>
      <xdr:rowOff>126865</xdr:rowOff>
    </xdr:to>
    <xdr:pic>
      <xdr:nvPicPr>
        <xdr:cNvPr id="3" name="Imagem 2">
          <a:extLst>
            <a:ext uri="{FF2B5EF4-FFF2-40B4-BE49-F238E27FC236}">
              <a16:creationId xmlns:a16="http://schemas.microsoft.com/office/drawing/2014/main" id="{3D69C0D8-9747-32FF-59F1-6423BCE3F9F8}"/>
            </a:ext>
          </a:extLst>
        </xdr:cNvPr>
        <xdr:cNvPicPr>
          <a:picLocks noChangeAspect="1"/>
        </xdr:cNvPicPr>
      </xdr:nvPicPr>
      <xdr:blipFill>
        <a:blip xmlns:r="http://schemas.openxmlformats.org/officeDocument/2006/relationships" r:embed="rId2"/>
        <a:stretch>
          <a:fillRect/>
        </a:stretch>
      </xdr:blipFill>
      <xdr:spPr>
        <a:xfrm>
          <a:off x="5614147" y="2218765"/>
          <a:ext cx="5828571" cy="1076190"/>
        </a:xfrm>
        <a:prstGeom prst="rect">
          <a:avLst/>
        </a:prstGeom>
      </xdr:spPr>
    </xdr:pic>
    <xdr:clientData/>
  </xdr:twoCellAnchor>
  <xdr:twoCellAnchor editAs="oneCell">
    <xdr:from>
      <xdr:col>6</xdr:col>
      <xdr:colOff>78442</xdr:colOff>
      <xdr:row>21</xdr:row>
      <xdr:rowOff>22412</xdr:rowOff>
    </xdr:from>
    <xdr:to>
      <xdr:col>15</xdr:col>
      <xdr:colOff>483176</xdr:colOff>
      <xdr:row>24</xdr:row>
      <xdr:rowOff>2559</xdr:rowOff>
    </xdr:to>
    <xdr:pic>
      <xdr:nvPicPr>
        <xdr:cNvPr id="4" name="Imagem 3">
          <a:extLst>
            <a:ext uri="{FF2B5EF4-FFF2-40B4-BE49-F238E27FC236}">
              <a16:creationId xmlns:a16="http://schemas.microsoft.com/office/drawing/2014/main" id="{F36FEAE1-EA79-8955-D4E1-7CB64A74CB4F}"/>
            </a:ext>
          </a:extLst>
        </xdr:cNvPr>
        <xdr:cNvPicPr>
          <a:picLocks noChangeAspect="1"/>
        </xdr:cNvPicPr>
      </xdr:nvPicPr>
      <xdr:blipFill>
        <a:blip xmlns:r="http://schemas.openxmlformats.org/officeDocument/2006/relationships" r:embed="rId3"/>
        <a:stretch>
          <a:fillRect/>
        </a:stretch>
      </xdr:blipFill>
      <xdr:spPr>
        <a:xfrm>
          <a:off x="5692589" y="3350559"/>
          <a:ext cx="5853968" cy="447619"/>
        </a:xfrm>
        <a:prstGeom prst="rect">
          <a:avLst/>
        </a:prstGeom>
      </xdr:spPr>
    </xdr:pic>
    <xdr:clientData/>
  </xdr:twoCellAnchor>
  <xdr:twoCellAnchor editAs="oneCell">
    <xdr:from>
      <xdr:col>5</xdr:col>
      <xdr:colOff>571500</xdr:colOff>
      <xdr:row>42</xdr:row>
      <xdr:rowOff>123264</xdr:rowOff>
    </xdr:from>
    <xdr:to>
      <xdr:col>15</xdr:col>
      <xdr:colOff>164767</xdr:colOff>
      <xdr:row>56</xdr:row>
      <xdr:rowOff>100946</xdr:rowOff>
    </xdr:to>
    <xdr:pic>
      <xdr:nvPicPr>
        <xdr:cNvPr id="5" name="Imagem 4">
          <a:extLst>
            <a:ext uri="{FF2B5EF4-FFF2-40B4-BE49-F238E27FC236}">
              <a16:creationId xmlns:a16="http://schemas.microsoft.com/office/drawing/2014/main" id="{1683827A-0804-E8DA-D8C0-F141C37FA072}"/>
            </a:ext>
          </a:extLst>
        </xdr:cNvPr>
        <xdr:cNvPicPr>
          <a:picLocks noChangeAspect="1"/>
        </xdr:cNvPicPr>
      </xdr:nvPicPr>
      <xdr:blipFill>
        <a:blip xmlns:r="http://schemas.openxmlformats.org/officeDocument/2006/relationships" r:embed="rId4"/>
        <a:stretch>
          <a:fillRect/>
        </a:stretch>
      </xdr:blipFill>
      <xdr:spPr>
        <a:xfrm>
          <a:off x="5580529" y="6813176"/>
          <a:ext cx="5644444" cy="2241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82</xdr:row>
      <xdr:rowOff>57150</xdr:rowOff>
    </xdr:from>
    <xdr:to>
      <xdr:col>1</xdr:col>
      <xdr:colOff>361950</xdr:colOff>
      <xdr:row>83</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73</xdr:row>
      <xdr:rowOff>104775</xdr:rowOff>
    </xdr:from>
    <xdr:to>
      <xdr:col>1</xdr:col>
      <xdr:colOff>1962150</xdr:colOff>
      <xdr:row>74</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73</xdr:row>
      <xdr:rowOff>104775</xdr:rowOff>
    </xdr:from>
    <xdr:to>
      <xdr:col>1</xdr:col>
      <xdr:colOff>1962150</xdr:colOff>
      <xdr:row>74</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6:N29"/>
  <sheetViews>
    <sheetView tabSelected="1" zoomScale="85" zoomScaleNormal="85" workbookViewId="0">
      <selection activeCell="C18" sqref="C18"/>
    </sheetView>
  </sheetViews>
  <sheetFormatPr defaultRowHeight="12.5" x14ac:dyDescent="0.25"/>
  <cols>
    <col min="3" max="3" width="32.54296875" bestFit="1" customWidth="1"/>
    <col min="4" max="4" width="16.08984375" customWidth="1"/>
    <col min="5" max="5" width="13.7265625" customWidth="1"/>
    <col min="6" max="6" width="11.7265625" customWidth="1"/>
    <col min="7" max="7" width="10.1796875" customWidth="1"/>
    <col min="8" max="8" width="13.81640625" customWidth="1"/>
    <col min="9" max="9" width="13.453125" customWidth="1"/>
    <col min="10" max="10" width="14" customWidth="1"/>
    <col min="11" max="11" width="8.453125" customWidth="1"/>
    <col min="12" max="12" width="22.81640625" customWidth="1"/>
    <col min="13" max="13" width="23.7265625" customWidth="1"/>
    <col min="14" max="14" width="23.453125" customWidth="1"/>
  </cols>
  <sheetData>
    <row r="6" spans="2:14" ht="13" x14ac:dyDescent="0.3">
      <c r="D6" s="349"/>
      <c r="E6" s="349"/>
      <c r="F6" s="349"/>
      <c r="G6" s="349"/>
      <c r="H6" s="349"/>
      <c r="I6" s="349"/>
      <c r="J6" s="349"/>
    </row>
    <row r="7" spans="2:14" ht="13" x14ac:dyDescent="0.3">
      <c r="D7" s="350"/>
      <c r="E7" s="350"/>
      <c r="F7" s="350"/>
      <c r="G7" s="351"/>
      <c r="H7" s="351"/>
      <c r="I7" s="351"/>
      <c r="J7" s="349"/>
    </row>
    <row r="11" spans="2:14" ht="13" thickBot="1" x14ac:dyDescent="0.3"/>
    <row r="12" spans="2:14" ht="12.5" customHeight="1" x14ac:dyDescent="0.25">
      <c r="B12" s="608" t="s">
        <v>465</v>
      </c>
      <c r="C12" s="609"/>
      <c r="D12" s="609"/>
      <c r="E12" s="609"/>
      <c r="F12" s="609"/>
      <c r="G12" s="609"/>
      <c r="H12" s="609"/>
      <c r="I12" s="609"/>
      <c r="J12" s="610"/>
    </row>
    <row r="13" spans="2:14" ht="13" customHeight="1" x14ac:dyDescent="0.25">
      <c r="B13" s="611"/>
      <c r="C13" s="612"/>
      <c r="D13" s="612"/>
      <c r="E13" s="612"/>
      <c r="F13" s="612"/>
      <c r="G13" s="612"/>
      <c r="H13" s="612"/>
      <c r="I13" s="612"/>
      <c r="J13" s="613"/>
    </row>
    <row r="14" spans="2:14" s="41" customFormat="1" ht="25" customHeight="1" x14ac:dyDescent="0.25">
      <c r="B14" s="614" t="s">
        <v>441</v>
      </c>
      <c r="C14" s="398"/>
      <c r="D14" s="398"/>
      <c r="E14" s="398"/>
      <c r="F14" s="398"/>
      <c r="G14" s="398"/>
      <c r="H14" s="398"/>
      <c r="I14" s="398"/>
      <c r="J14" s="615"/>
    </row>
    <row r="15" spans="2:14" s="41" customFormat="1" ht="25" customHeight="1" x14ac:dyDescent="0.25">
      <c r="B15" s="340" t="s">
        <v>466</v>
      </c>
      <c r="C15" s="340" t="s">
        <v>434</v>
      </c>
      <c r="D15" s="340" t="s">
        <v>435</v>
      </c>
      <c r="E15" s="340" t="s">
        <v>467</v>
      </c>
      <c r="F15" s="340" t="s">
        <v>316</v>
      </c>
      <c r="G15" s="340" t="s">
        <v>439</v>
      </c>
      <c r="H15" s="340" t="s">
        <v>440</v>
      </c>
      <c r="I15" s="340" t="s">
        <v>436</v>
      </c>
      <c r="J15" s="348" t="s">
        <v>438</v>
      </c>
      <c r="K15" s="352"/>
      <c r="L15" s="352"/>
      <c r="M15" s="352"/>
      <c r="N15" s="352"/>
    </row>
    <row r="16" spans="2:14" s="41" customFormat="1" ht="25" customHeight="1" x14ac:dyDescent="0.25">
      <c r="B16" s="36">
        <v>1</v>
      </c>
      <c r="C16" s="187" t="s">
        <v>468</v>
      </c>
      <c r="D16" s="36" t="str">
        <f>'Secretario Nivel Médio II'!I29</f>
        <v>3515-05</v>
      </c>
      <c r="E16" s="36">
        <v>16578</v>
      </c>
      <c r="F16" s="36" t="s">
        <v>437</v>
      </c>
      <c r="G16" s="36">
        <v>1</v>
      </c>
      <c r="H16" s="341">
        <f>'Secretario Nivel Médio II'!I172</f>
        <v>7523.99</v>
      </c>
      <c r="I16" s="341">
        <f>G16*H16</f>
        <v>7523.99</v>
      </c>
      <c r="J16" s="342">
        <f>H16*24</f>
        <v>180575.76</v>
      </c>
      <c r="K16" s="183"/>
      <c r="L16" s="339"/>
      <c r="M16" s="352"/>
      <c r="N16" s="352"/>
    </row>
    <row r="17" spans="2:14" s="41" customFormat="1" ht="25" customHeight="1" thickBot="1" x14ac:dyDescent="0.3">
      <c r="B17" s="343"/>
      <c r="C17" s="354" t="s">
        <v>476</v>
      </c>
      <c r="D17" s="354"/>
      <c r="E17" s="354"/>
      <c r="F17" s="354"/>
      <c r="G17" s="354"/>
      <c r="H17" s="354"/>
      <c r="I17" s="344">
        <f>SUM(I16:I16)</f>
        <v>7523.99</v>
      </c>
      <c r="J17" s="345">
        <f>SUM(J16:J16)</f>
        <v>180575.76</v>
      </c>
      <c r="K17" s="346"/>
      <c r="M17" s="347"/>
      <c r="N17" s="347"/>
    </row>
    <row r="18" spans="2:14" x14ac:dyDescent="0.25">
      <c r="K18" s="325"/>
      <c r="L18" s="216"/>
      <c r="M18" s="331"/>
      <c r="N18" s="326"/>
    </row>
    <row r="19" spans="2:14" x14ac:dyDescent="0.25">
      <c r="K19" s="216"/>
      <c r="L19" s="216"/>
      <c r="M19" s="326"/>
      <c r="N19" s="326"/>
    </row>
    <row r="20" spans="2:14" x14ac:dyDescent="0.25">
      <c r="K20" s="325"/>
      <c r="L20" s="216"/>
      <c r="M20" s="326"/>
      <c r="N20" s="326"/>
    </row>
    <row r="21" spans="2:14" x14ac:dyDescent="0.25">
      <c r="K21" s="325"/>
      <c r="L21" s="216"/>
      <c r="N21" s="326"/>
    </row>
    <row r="22" spans="2:14" ht="14.5" x14ac:dyDescent="0.35">
      <c r="M22" s="327"/>
      <c r="N22" s="327"/>
    </row>
    <row r="25" spans="2:14" ht="13" x14ac:dyDescent="0.3">
      <c r="C25" s="349"/>
      <c r="D25" s="349"/>
      <c r="E25" s="349"/>
      <c r="F25" s="349"/>
      <c r="G25" s="349"/>
      <c r="H25" s="349"/>
      <c r="I25" s="349"/>
      <c r="J25" s="349"/>
    </row>
    <row r="26" spans="2:14" ht="13" x14ac:dyDescent="0.25">
      <c r="C26" s="183"/>
      <c r="D26" s="183"/>
      <c r="E26" s="183"/>
      <c r="F26" s="183"/>
      <c r="G26" s="183"/>
      <c r="H26" s="306"/>
      <c r="I26" s="183"/>
      <c r="J26" s="183"/>
    </row>
    <row r="27" spans="2:14" x14ac:dyDescent="0.25">
      <c r="D27" s="216"/>
      <c r="E27" s="353"/>
      <c r="F27" s="328"/>
      <c r="G27" s="328"/>
      <c r="H27" s="328"/>
      <c r="I27" s="326"/>
      <c r="J27" s="326"/>
    </row>
    <row r="28" spans="2:14" x14ac:dyDescent="0.25">
      <c r="D28" s="216"/>
      <c r="E28" s="353"/>
      <c r="F28" s="328"/>
      <c r="G28" s="328"/>
      <c r="H28" s="328"/>
      <c r="I28" s="326"/>
      <c r="J28" s="326"/>
    </row>
    <row r="29" spans="2:14" ht="13" x14ac:dyDescent="0.3">
      <c r="C29" s="353"/>
      <c r="D29" s="353"/>
      <c r="E29" s="353"/>
      <c r="F29" s="353"/>
      <c r="G29" s="353"/>
      <c r="H29" s="353"/>
      <c r="I29" s="329"/>
      <c r="J29" s="329"/>
    </row>
  </sheetData>
  <mergeCells count="12">
    <mergeCell ref="B12:J13"/>
    <mergeCell ref="B14:J14"/>
    <mergeCell ref="K15:N15"/>
    <mergeCell ref="M16:N16"/>
    <mergeCell ref="E27:E28"/>
    <mergeCell ref="C29:H29"/>
    <mergeCell ref="C17:H17"/>
    <mergeCell ref="C25:J25"/>
    <mergeCell ref="D6:J6"/>
    <mergeCell ref="D7:F7"/>
    <mergeCell ref="G7:H7"/>
    <mergeCell ref="I7:J7"/>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6"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77" t="s">
        <v>362</v>
      </c>
      <c r="B1" s="578"/>
      <c r="C1" s="578"/>
      <c r="D1" s="578"/>
      <c r="E1" s="578"/>
      <c r="F1" s="578"/>
      <c r="G1" s="578"/>
      <c r="H1" s="578"/>
      <c r="I1" s="578"/>
      <c r="J1" s="578"/>
      <c r="K1" s="578"/>
      <c r="L1" s="579"/>
    </row>
    <row r="2" spans="1:14" ht="13" x14ac:dyDescent="0.25">
      <c r="A2" s="229" t="s">
        <v>4</v>
      </c>
      <c r="B2" s="516" t="s">
        <v>293</v>
      </c>
      <c r="C2" s="506"/>
      <c r="D2" s="506"/>
      <c r="E2" s="189" t="s">
        <v>294</v>
      </c>
      <c r="F2" s="517"/>
      <c r="G2" s="506"/>
      <c r="H2" s="506"/>
      <c r="I2" s="506"/>
      <c r="J2" s="189" t="s">
        <v>295</v>
      </c>
      <c r="K2" s="506"/>
      <c r="L2" s="507"/>
    </row>
    <row r="3" spans="1:14" ht="13" x14ac:dyDescent="0.25">
      <c r="A3" s="230" t="s">
        <v>6</v>
      </c>
      <c r="B3" s="512"/>
      <c r="C3" s="512"/>
      <c r="D3" s="512"/>
      <c r="E3" s="275" t="s">
        <v>294</v>
      </c>
      <c r="F3" s="514"/>
      <c r="G3" s="508"/>
      <c r="H3" s="508"/>
      <c r="I3" s="508"/>
      <c r="J3" s="191" t="s">
        <v>295</v>
      </c>
      <c r="K3" s="512"/>
      <c r="L3" s="513"/>
    </row>
    <row r="4" spans="1:14" ht="13" x14ac:dyDescent="0.25">
      <c r="A4" s="231" t="s">
        <v>8</v>
      </c>
      <c r="B4" s="510"/>
      <c r="C4" s="510"/>
      <c r="D4" s="510"/>
      <c r="E4" s="193" t="s">
        <v>294</v>
      </c>
      <c r="F4" s="515"/>
      <c r="G4" s="566"/>
      <c r="H4" s="566"/>
      <c r="I4" s="566"/>
      <c r="J4" s="193" t="s">
        <v>295</v>
      </c>
      <c r="K4" s="510"/>
      <c r="L4" s="511"/>
    </row>
    <row r="5" spans="1:14" ht="13" x14ac:dyDescent="0.25">
      <c r="A5" s="230" t="s">
        <v>10</v>
      </c>
      <c r="B5" s="512"/>
      <c r="C5" s="512"/>
      <c r="D5" s="512"/>
      <c r="E5" s="191" t="s">
        <v>294</v>
      </c>
      <c r="F5" s="514"/>
      <c r="G5" s="508"/>
      <c r="H5" s="508"/>
      <c r="I5" s="508"/>
      <c r="J5" s="191" t="s">
        <v>295</v>
      </c>
      <c r="K5" s="580"/>
      <c r="L5" s="513"/>
    </row>
    <row r="6" spans="1:14" ht="13" x14ac:dyDescent="0.25">
      <c r="A6" s="231" t="s">
        <v>39</v>
      </c>
      <c r="B6" s="510"/>
      <c r="C6" s="510"/>
      <c r="D6" s="510"/>
      <c r="E6" s="193" t="s">
        <v>294</v>
      </c>
      <c r="F6" s="515"/>
      <c r="G6" s="510"/>
      <c r="H6" s="510"/>
      <c r="I6" s="510"/>
      <c r="J6" s="193" t="s">
        <v>295</v>
      </c>
      <c r="K6" s="510"/>
      <c r="L6" s="511"/>
    </row>
    <row r="7" spans="1:14" ht="13.5" thickBot="1" x14ac:dyDescent="0.3">
      <c r="A7" s="232" t="s">
        <v>41</v>
      </c>
      <c r="B7" s="538"/>
      <c r="C7" s="538"/>
      <c r="D7" s="538"/>
      <c r="E7" s="233" t="s">
        <v>294</v>
      </c>
      <c r="F7" s="585"/>
      <c r="G7" s="586"/>
      <c r="H7" s="586"/>
      <c r="I7" s="586"/>
      <c r="J7" s="234" t="s">
        <v>295</v>
      </c>
      <c r="K7" s="538"/>
      <c r="L7" s="587"/>
    </row>
    <row r="8" spans="1:14" ht="13" x14ac:dyDescent="0.25">
      <c r="A8" s="478" t="s">
        <v>296</v>
      </c>
      <c r="B8" s="481" t="s">
        <v>363</v>
      </c>
      <c r="C8" s="484" t="s">
        <v>297</v>
      </c>
      <c r="D8" s="484" t="s">
        <v>298</v>
      </c>
      <c r="E8" s="588" t="s">
        <v>299</v>
      </c>
      <c r="F8" s="588"/>
      <c r="G8" s="588"/>
      <c r="H8" s="588"/>
      <c r="I8" s="588"/>
      <c r="J8" s="588"/>
      <c r="K8" s="581" t="s">
        <v>300</v>
      </c>
      <c r="L8" s="582"/>
    </row>
    <row r="9" spans="1:14" ht="13.5" x14ac:dyDescent="0.25">
      <c r="A9" s="479"/>
      <c r="B9" s="482"/>
      <c r="C9" s="485"/>
      <c r="D9" s="485"/>
      <c r="E9" s="235" t="s">
        <v>4</v>
      </c>
      <c r="F9" s="200" t="s">
        <v>6</v>
      </c>
      <c r="G9" s="200" t="s">
        <v>8</v>
      </c>
      <c r="H9" s="200" t="s">
        <v>10</v>
      </c>
      <c r="I9" s="200" t="s">
        <v>39</v>
      </c>
      <c r="J9" s="200" t="s">
        <v>41</v>
      </c>
      <c r="K9" s="482" t="s">
        <v>301</v>
      </c>
      <c r="L9" s="583" t="s">
        <v>302</v>
      </c>
    </row>
    <row r="10" spans="1:14" ht="13" thickBot="1" x14ac:dyDescent="0.3">
      <c r="A10" s="480"/>
      <c r="B10" s="483"/>
      <c r="C10" s="486"/>
      <c r="D10" s="486"/>
      <c r="E10" s="203" t="s">
        <v>303</v>
      </c>
      <c r="F10" s="203" t="s">
        <v>303</v>
      </c>
      <c r="G10" s="203" t="s">
        <v>303</v>
      </c>
      <c r="H10" s="203" t="s">
        <v>303</v>
      </c>
      <c r="I10" s="203" t="s">
        <v>303</v>
      </c>
      <c r="J10" s="203" t="s">
        <v>303</v>
      </c>
      <c r="K10" s="483"/>
      <c r="L10" s="584"/>
    </row>
    <row r="11" spans="1:14" s="208" customFormat="1" x14ac:dyDescent="0.25">
      <c r="A11" s="205">
        <v>1</v>
      </c>
      <c r="B11" s="206" t="s">
        <v>364</v>
      </c>
      <c r="C11" s="266" t="s">
        <v>297</v>
      </c>
      <c r="D11" s="267"/>
      <c r="E11" s="276">
        <v>516.42999999999995</v>
      </c>
      <c r="F11" s="276">
        <v>793.12</v>
      </c>
      <c r="G11" s="276">
        <v>1271.25</v>
      </c>
      <c r="H11" s="276"/>
      <c r="I11" s="276"/>
      <c r="J11" s="276"/>
      <c r="K11" s="286">
        <f>AVERAGE(E11:J11)</f>
        <v>860.26666666666677</v>
      </c>
      <c r="L11" s="287">
        <f>K11*D11</f>
        <v>0</v>
      </c>
    </row>
    <row r="12" spans="1:14" s="208" customFormat="1" ht="12.75" customHeight="1" x14ac:dyDescent="0.25">
      <c r="A12" s="209">
        <v>2</v>
      </c>
      <c r="B12" s="210" t="s">
        <v>365</v>
      </c>
      <c r="C12" s="253" t="s">
        <v>297</v>
      </c>
      <c r="D12" s="251">
        <v>1</v>
      </c>
      <c r="E12" s="279">
        <v>729</v>
      </c>
      <c r="F12" s="279">
        <v>814.98</v>
      </c>
      <c r="G12" s="279">
        <v>907.83</v>
      </c>
      <c r="H12" s="279"/>
      <c r="I12" s="279"/>
      <c r="J12" s="279"/>
      <c r="K12" s="286">
        <f>AVERAGE(E12:J12)</f>
        <v>817.27</v>
      </c>
      <c r="L12" s="287">
        <f>K12*D12</f>
        <v>817.27</v>
      </c>
    </row>
    <row r="13" spans="1:14" s="208" customFormat="1" x14ac:dyDescent="0.25">
      <c r="A13" s="209">
        <v>3</v>
      </c>
      <c r="B13" s="210" t="s">
        <v>366</v>
      </c>
      <c r="C13" s="268" t="s">
        <v>297</v>
      </c>
      <c r="D13" s="251">
        <v>1</v>
      </c>
      <c r="E13" s="279">
        <v>108.87</v>
      </c>
      <c r="F13" s="279">
        <v>115</v>
      </c>
      <c r="G13" s="279">
        <v>120</v>
      </c>
      <c r="H13" s="279"/>
      <c r="I13" s="279"/>
      <c r="J13" s="279"/>
      <c r="K13" s="286">
        <f>AVERAGE(E13:J13)</f>
        <v>114.62333333333333</v>
      </c>
      <c r="L13" s="287">
        <f>K13*D13</f>
        <v>114.62333333333333</v>
      </c>
    </row>
    <row r="14" spans="1:14" s="208" customFormat="1" x14ac:dyDescent="0.25">
      <c r="A14" s="209">
        <v>4</v>
      </c>
      <c r="B14" s="210" t="s">
        <v>367</v>
      </c>
      <c r="C14" s="211" t="s">
        <v>297</v>
      </c>
      <c r="D14" s="251"/>
      <c r="E14" s="279">
        <v>32.68</v>
      </c>
      <c r="F14" s="279">
        <v>39.85</v>
      </c>
      <c r="G14" s="279">
        <v>47</v>
      </c>
      <c r="H14" s="279"/>
      <c r="I14" s="279"/>
      <c r="J14" s="279"/>
      <c r="K14" s="286">
        <f t="shared" ref="K14:K25" si="0">AVERAGE(E14:J14)</f>
        <v>39.843333333333334</v>
      </c>
      <c r="L14" s="287">
        <f t="shared" ref="L14:L25" si="1">K14*D14</f>
        <v>0</v>
      </c>
      <c r="N14" s="227"/>
    </row>
    <row r="15" spans="1:14" s="208" customFormat="1" x14ac:dyDescent="0.25">
      <c r="A15" s="209">
        <v>5</v>
      </c>
      <c r="B15" s="210" t="s">
        <v>368</v>
      </c>
      <c r="C15" s="211" t="s">
        <v>297</v>
      </c>
      <c r="D15" s="251">
        <v>1</v>
      </c>
      <c r="E15" s="279">
        <v>301.29000000000002</v>
      </c>
      <c r="F15" s="279">
        <v>445.85</v>
      </c>
      <c r="G15" s="279">
        <v>449</v>
      </c>
      <c r="H15" s="279"/>
      <c r="I15" s="279"/>
      <c r="J15" s="279"/>
      <c r="K15" s="286">
        <f t="shared" si="0"/>
        <v>398.71333333333337</v>
      </c>
      <c r="L15" s="287">
        <f t="shared" si="1"/>
        <v>398.71333333333337</v>
      </c>
    </row>
    <row r="16" spans="1:14" s="208" customFormat="1" x14ac:dyDescent="0.25">
      <c r="A16" s="209">
        <v>6</v>
      </c>
      <c r="B16" s="226"/>
      <c r="C16" s="211"/>
      <c r="D16" s="251"/>
      <c r="E16" s="279">
        <v>0</v>
      </c>
      <c r="F16" s="279"/>
      <c r="G16" s="279"/>
      <c r="H16" s="279"/>
      <c r="I16" s="279"/>
      <c r="J16" s="279"/>
      <c r="K16" s="286">
        <f t="shared" si="0"/>
        <v>0</v>
      </c>
      <c r="L16" s="287">
        <f t="shared" si="1"/>
        <v>0</v>
      </c>
    </row>
    <row r="17" spans="1:12" s="208" customFormat="1" x14ac:dyDescent="0.25">
      <c r="A17" s="209">
        <v>7</v>
      </c>
      <c r="B17" s="217"/>
      <c r="C17" s="211"/>
      <c r="D17" s="251"/>
      <c r="E17" s="279">
        <v>0</v>
      </c>
      <c r="F17" s="279"/>
      <c r="G17" s="279"/>
      <c r="H17" s="279"/>
      <c r="I17" s="279"/>
      <c r="J17" s="279"/>
      <c r="K17" s="286">
        <f t="shared" si="0"/>
        <v>0</v>
      </c>
      <c r="L17" s="287">
        <f t="shared" si="1"/>
        <v>0</v>
      </c>
    </row>
    <row r="18" spans="1:12" s="208" customFormat="1" x14ac:dyDescent="0.25">
      <c r="A18" s="209">
        <v>8</v>
      </c>
      <c r="B18" s="217"/>
      <c r="C18" s="211"/>
      <c r="D18" s="251"/>
      <c r="E18" s="279">
        <v>0</v>
      </c>
      <c r="F18" s="279"/>
      <c r="G18" s="279"/>
      <c r="H18" s="279"/>
      <c r="I18" s="279"/>
      <c r="J18" s="279"/>
      <c r="K18" s="286">
        <f t="shared" si="0"/>
        <v>0</v>
      </c>
      <c r="L18" s="287">
        <f t="shared" si="1"/>
        <v>0</v>
      </c>
    </row>
    <row r="19" spans="1:12" s="208" customFormat="1" x14ac:dyDescent="0.25">
      <c r="A19" s="209">
        <v>9</v>
      </c>
      <c r="B19" s="217"/>
      <c r="C19" s="211"/>
      <c r="D19" s="251"/>
      <c r="E19" s="279">
        <v>0</v>
      </c>
      <c r="F19" s="279"/>
      <c r="G19" s="279"/>
      <c r="H19" s="279"/>
      <c r="I19" s="279"/>
      <c r="J19" s="279"/>
      <c r="K19" s="286">
        <f t="shared" si="0"/>
        <v>0</v>
      </c>
      <c r="L19" s="287">
        <f t="shared" si="1"/>
        <v>0</v>
      </c>
    </row>
    <row r="20" spans="1:12" s="208" customFormat="1" x14ac:dyDescent="0.25">
      <c r="A20" s="209">
        <v>10</v>
      </c>
      <c r="B20" s="217"/>
      <c r="C20" s="211"/>
      <c r="D20" s="251"/>
      <c r="E20" s="279">
        <v>0</v>
      </c>
      <c r="F20" s="279"/>
      <c r="G20" s="279"/>
      <c r="H20" s="279"/>
      <c r="I20" s="279"/>
      <c r="J20" s="279"/>
      <c r="K20" s="286">
        <f t="shared" si="0"/>
        <v>0</v>
      </c>
      <c r="L20" s="287">
        <f t="shared" si="1"/>
        <v>0</v>
      </c>
    </row>
    <row r="21" spans="1:12" s="208" customFormat="1" x14ac:dyDescent="0.25">
      <c r="A21" s="209">
        <v>11</v>
      </c>
      <c r="B21" s="217"/>
      <c r="C21" s="211"/>
      <c r="D21" s="251"/>
      <c r="E21" s="279">
        <v>0</v>
      </c>
      <c r="F21" s="279"/>
      <c r="G21" s="279"/>
      <c r="H21" s="279"/>
      <c r="I21" s="279"/>
      <c r="J21" s="279"/>
      <c r="K21" s="286">
        <f t="shared" si="0"/>
        <v>0</v>
      </c>
      <c r="L21" s="287">
        <f t="shared" si="1"/>
        <v>0</v>
      </c>
    </row>
    <row r="22" spans="1:12" s="208" customFormat="1" x14ac:dyDescent="0.25">
      <c r="A22" s="209">
        <v>12</v>
      </c>
      <c r="B22" s="210"/>
      <c r="C22" s="211"/>
      <c r="D22" s="251"/>
      <c r="E22" s="279">
        <v>0</v>
      </c>
      <c r="F22" s="279"/>
      <c r="G22" s="279"/>
      <c r="H22" s="279"/>
      <c r="I22" s="279"/>
      <c r="J22" s="279"/>
      <c r="K22" s="286">
        <f t="shared" si="0"/>
        <v>0</v>
      </c>
      <c r="L22" s="287">
        <f t="shared" si="1"/>
        <v>0</v>
      </c>
    </row>
    <row r="23" spans="1:12" s="208" customFormat="1" x14ac:dyDescent="0.25">
      <c r="A23" s="209">
        <v>13</v>
      </c>
      <c r="B23" s="228"/>
      <c r="C23" s="211"/>
      <c r="D23" s="254"/>
      <c r="E23" s="279">
        <v>0</v>
      </c>
      <c r="F23" s="279"/>
      <c r="G23" s="279"/>
      <c r="H23" s="279"/>
      <c r="I23" s="279"/>
      <c r="J23" s="279"/>
      <c r="K23" s="286">
        <f t="shared" si="0"/>
        <v>0</v>
      </c>
      <c r="L23" s="287">
        <f t="shared" si="1"/>
        <v>0</v>
      </c>
    </row>
    <row r="24" spans="1:12" s="208" customFormat="1" x14ac:dyDescent="0.25">
      <c r="A24" s="209">
        <v>14</v>
      </c>
      <c r="B24" s="228"/>
      <c r="C24" s="211"/>
      <c r="D24" s="254"/>
      <c r="E24" s="279">
        <v>0</v>
      </c>
      <c r="F24" s="279"/>
      <c r="G24" s="279"/>
      <c r="H24" s="279"/>
      <c r="I24" s="279"/>
      <c r="J24" s="279"/>
      <c r="K24" s="286">
        <f t="shared" si="0"/>
        <v>0</v>
      </c>
      <c r="L24" s="287">
        <f t="shared" si="1"/>
        <v>0</v>
      </c>
    </row>
    <row r="25" spans="1:12" s="208" customFormat="1" ht="13" thickBot="1" x14ac:dyDescent="0.3">
      <c r="A25" s="209">
        <v>15</v>
      </c>
      <c r="B25" s="217"/>
      <c r="C25" s="211"/>
      <c r="D25" s="255"/>
      <c r="E25" s="279">
        <v>0</v>
      </c>
      <c r="F25" s="279"/>
      <c r="G25" s="279"/>
      <c r="H25" s="279"/>
      <c r="I25" s="279"/>
      <c r="J25" s="279"/>
      <c r="K25" s="286">
        <f t="shared" si="0"/>
        <v>0</v>
      </c>
      <c r="L25" s="287">
        <f t="shared" si="1"/>
        <v>0</v>
      </c>
    </row>
    <row r="26" spans="1:12" ht="13.5" thickBot="1" x14ac:dyDescent="0.3">
      <c r="A26" s="519" t="s">
        <v>369</v>
      </c>
      <c r="B26" s="520"/>
      <c r="C26" s="520"/>
      <c r="D26" s="520"/>
      <c r="E26" s="520"/>
      <c r="F26" s="520"/>
      <c r="G26" s="520"/>
      <c r="H26" s="520"/>
      <c r="I26" s="520"/>
      <c r="J26" s="521"/>
      <c r="K26" s="590">
        <f>SUM(L11:L25)</f>
        <v>1330.6066666666666</v>
      </c>
      <c r="L26" s="591"/>
    </row>
    <row r="27" spans="1:12" ht="13.5" thickBot="1" x14ac:dyDescent="0.3">
      <c r="A27" s="183"/>
      <c r="B27" s="183"/>
      <c r="C27" s="183"/>
      <c r="D27" s="183"/>
      <c r="E27" s="183"/>
      <c r="F27" s="183"/>
      <c r="G27" s="183"/>
      <c r="H27" s="183"/>
      <c r="I27" s="183"/>
      <c r="J27" s="183"/>
      <c r="K27" s="289"/>
      <c r="L27" s="289"/>
    </row>
    <row r="28" spans="1:12" ht="13.5" thickBot="1" x14ac:dyDescent="0.35">
      <c r="A28" s="519" t="s">
        <v>370</v>
      </c>
      <c r="B28" s="520"/>
      <c r="C28" s="520"/>
      <c r="D28" s="520"/>
      <c r="E28" s="520"/>
      <c r="F28" s="520"/>
      <c r="G28" s="520"/>
      <c r="H28" s="520"/>
      <c r="I28" s="520"/>
      <c r="J28" s="521"/>
      <c r="K28" s="524" t="e">
        <f>(K26*10%)/12/'Secretario Nivel Médio II'!I250</f>
        <v>#DIV/0!</v>
      </c>
      <c r="L28" s="525"/>
    </row>
    <row r="29" spans="1:12" ht="13.5" thickBot="1" x14ac:dyDescent="0.3">
      <c r="A29" s="183"/>
      <c r="B29" s="183"/>
      <c r="C29" s="183"/>
      <c r="D29" s="183"/>
      <c r="E29" s="183"/>
      <c r="F29" s="183"/>
      <c r="G29" s="183"/>
      <c r="H29" s="183"/>
      <c r="I29" s="183"/>
      <c r="J29" s="183"/>
      <c r="K29" s="265"/>
      <c r="L29" s="265"/>
    </row>
    <row r="30" spans="1:12" ht="20.25" customHeight="1" x14ac:dyDescent="0.25">
      <c r="A30" s="439"/>
      <c r="B30" s="440"/>
      <c r="C30" s="445" t="s">
        <v>309</v>
      </c>
      <c r="D30" s="448"/>
      <c r="E30" s="449"/>
      <c r="F30" s="449"/>
      <c r="G30" s="449"/>
      <c r="H30" s="449"/>
      <c r="I30" s="449"/>
      <c r="J30" s="449"/>
      <c r="K30" s="449"/>
      <c r="L30" s="450"/>
    </row>
    <row r="31" spans="1:12" x14ac:dyDescent="0.25">
      <c r="A31" s="441"/>
      <c r="B31" s="442"/>
      <c r="C31" s="446"/>
      <c r="D31" s="451"/>
      <c r="E31" s="452"/>
      <c r="F31" s="452"/>
      <c r="G31" s="452"/>
      <c r="H31" s="452"/>
      <c r="I31" s="452"/>
      <c r="J31" s="452"/>
      <c r="K31" s="452"/>
      <c r="L31" s="453"/>
    </row>
    <row r="32" spans="1:12" ht="14.25" customHeight="1" x14ac:dyDescent="0.25">
      <c r="A32" s="441"/>
      <c r="B32" s="442"/>
      <c r="C32" s="446"/>
      <c r="D32" s="451"/>
      <c r="E32" s="452"/>
      <c r="F32" s="452"/>
      <c r="G32" s="452"/>
      <c r="H32" s="452"/>
      <c r="I32" s="452"/>
      <c r="J32" s="452"/>
      <c r="K32" s="452"/>
      <c r="L32" s="453"/>
    </row>
    <row r="33" spans="1:12" ht="13" thickBot="1" x14ac:dyDescent="0.3">
      <c r="A33" s="443"/>
      <c r="B33" s="444"/>
      <c r="C33" s="447"/>
      <c r="D33" s="454"/>
      <c r="E33" s="455"/>
      <c r="F33" s="455"/>
      <c r="G33" s="455"/>
      <c r="H33" s="455"/>
      <c r="I33" s="455"/>
      <c r="J33" s="455"/>
      <c r="K33" s="455"/>
      <c r="L33" s="456"/>
    </row>
    <row r="34" spans="1:12" ht="13" thickBot="1" x14ac:dyDescent="0.3"/>
    <row r="35" spans="1:12" x14ac:dyDescent="0.25">
      <c r="A35" s="589" t="s">
        <v>371</v>
      </c>
      <c r="B35" s="458"/>
      <c r="C35" s="458"/>
      <c r="D35" s="458"/>
      <c r="E35" s="458"/>
      <c r="F35" s="458"/>
      <c r="G35" s="458"/>
      <c r="H35" s="458"/>
      <c r="I35" s="458"/>
      <c r="J35" s="458"/>
      <c r="K35" s="458"/>
      <c r="L35" s="459"/>
    </row>
    <row r="36" spans="1:12" x14ac:dyDescent="0.25">
      <c r="A36" s="460"/>
      <c r="B36" s="408"/>
      <c r="C36" s="408"/>
      <c r="D36" s="408"/>
      <c r="E36" s="408"/>
      <c r="F36" s="408"/>
      <c r="G36" s="408"/>
      <c r="H36" s="408"/>
      <c r="I36" s="408"/>
      <c r="J36" s="408"/>
      <c r="K36" s="408"/>
      <c r="L36" s="461"/>
    </row>
    <row r="37" spans="1:12" x14ac:dyDescent="0.25">
      <c r="A37" s="460"/>
      <c r="B37" s="408"/>
      <c r="C37" s="408"/>
      <c r="D37" s="408"/>
      <c r="E37" s="408"/>
      <c r="F37" s="408"/>
      <c r="G37" s="408"/>
      <c r="H37" s="408"/>
      <c r="I37" s="408"/>
      <c r="J37" s="408"/>
      <c r="K37" s="408"/>
      <c r="L37" s="461"/>
    </row>
    <row r="38" spans="1:12" x14ac:dyDescent="0.25">
      <c r="A38" s="460"/>
      <c r="B38" s="408"/>
      <c r="C38" s="408"/>
      <c r="D38" s="408"/>
      <c r="E38" s="408"/>
      <c r="F38" s="408"/>
      <c r="G38" s="408"/>
      <c r="H38" s="408"/>
      <c r="I38" s="408"/>
      <c r="J38" s="408"/>
      <c r="K38" s="408"/>
      <c r="L38" s="461"/>
    </row>
    <row r="39" spans="1:12" ht="13" thickBot="1" x14ac:dyDescent="0.3">
      <c r="A39" s="462"/>
      <c r="B39" s="463"/>
      <c r="C39" s="463"/>
      <c r="D39" s="463"/>
      <c r="E39" s="463"/>
      <c r="F39" s="463"/>
      <c r="G39" s="463"/>
      <c r="H39" s="463"/>
      <c r="I39" s="463"/>
      <c r="J39" s="463"/>
      <c r="K39" s="463"/>
      <c r="L39" s="464"/>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372</v>
      </c>
    </row>
    <row r="3" spans="1:4" ht="13" x14ac:dyDescent="0.3">
      <c r="A3" s="10" t="s">
        <v>373</v>
      </c>
      <c r="B3">
        <f>'Secretario Nivel Médio II'!I172/'Secretario Nivel Médio II'!I39</f>
        <v>2.6141212767657676</v>
      </c>
    </row>
    <row r="5" spans="1:4" x14ac:dyDescent="0.25">
      <c r="A5" t="s">
        <v>374</v>
      </c>
    </row>
    <row r="7" spans="1:4" x14ac:dyDescent="0.25">
      <c r="A7" t="s">
        <v>375</v>
      </c>
    </row>
    <row r="9" spans="1:4" x14ac:dyDescent="0.25">
      <c r="A9" s="41">
        <v>2.2799999999999998</v>
      </c>
      <c r="B9" t="s">
        <v>376</v>
      </c>
      <c r="D9" s="162" t="s">
        <v>377</v>
      </c>
    </row>
    <row r="10" spans="1:4" x14ac:dyDescent="0.25">
      <c r="A10" s="41" t="s">
        <v>378</v>
      </c>
      <c r="B10" t="s">
        <v>379</v>
      </c>
      <c r="D10" t="s">
        <v>380</v>
      </c>
    </row>
    <row r="11" spans="1:4" x14ac:dyDescent="0.25">
      <c r="A11" s="41" t="s">
        <v>381</v>
      </c>
      <c r="B11" t="s">
        <v>382</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1"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82" t="s">
        <v>383</v>
      </c>
      <c r="B1" s="383"/>
      <c r="C1" s="383"/>
      <c r="D1" s="383"/>
      <c r="E1" s="383"/>
      <c r="F1" s="383"/>
      <c r="G1" s="383"/>
      <c r="H1" s="383"/>
      <c r="I1" s="384"/>
    </row>
    <row r="2" spans="1:9" ht="13" x14ac:dyDescent="0.25">
      <c r="A2" s="38"/>
      <c r="B2" s="38"/>
      <c r="C2" s="38"/>
      <c r="D2" s="38"/>
      <c r="E2" s="38"/>
      <c r="F2" s="38"/>
      <c r="G2" s="38"/>
      <c r="H2" s="38"/>
      <c r="I2" s="38"/>
    </row>
    <row r="3" spans="1:9" ht="13" x14ac:dyDescent="0.25">
      <c r="A3" s="38" t="s">
        <v>384</v>
      </c>
      <c r="B3" s="38"/>
      <c r="C3" s="38"/>
      <c r="D3" s="38"/>
      <c r="E3" s="38"/>
      <c r="F3" s="38"/>
      <c r="G3" s="38"/>
      <c r="H3" s="38"/>
      <c r="I3" s="38"/>
    </row>
    <row r="4" spans="1:9" ht="15" customHeight="1" x14ac:dyDescent="0.25">
      <c r="A4" s="605" t="s">
        <v>385</v>
      </c>
      <c r="B4" s="605"/>
      <c r="C4" s="605"/>
      <c r="D4" s="605"/>
      <c r="E4" s="605"/>
      <c r="F4" s="605"/>
      <c r="G4" s="605"/>
      <c r="H4" s="605"/>
      <c r="I4" s="605"/>
    </row>
    <row r="5" spans="1:9" ht="15" customHeight="1" x14ac:dyDescent="0.25">
      <c r="A5" s="605" t="s">
        <v>386</v>
      </c>
      <c r="B5" s="605"/>
      <c r="C5" s="605"/>
      <c r="D5" s="605"/>
      <c r="E5" s="605"/>
      <c r="F5" s="605"/>
      <c r="G5" s="605"/>
      <c r="H5" s="605"/>
      <c r="I5" s="605"/>
    </row>
    <row r="6" spans="1:9" ht="15" customHeight="1" x14ac:dyDescent="0.25">
      <c r="A6" s="605" t="s">
        <v>387</v>
      </c>
      <c r="B6" s="605"/>
      <c r="C6" s="605"/>
      <c r="D6" s="605"/>
      <c r="E6" s="605"/>
      <c r="F6" s="605"/>
      <c r="G6" s="605"/>
      <c r="H6" s="605"/>
      <c r="I6" s="605"/>
    </row>
    <row r="7" spans="1:9" ht="15" customHeight="1" x14ac:dyDescent="0.25">
      <c r="A7" s="605"/>
      <c r="B7" s="605"/>
      <c r="C7" s="605"/>
      <c r="D7" s="605"/>
      <c r="E7" s="605"/>
      <c r="F7" s="605"/>
      <c r="G7" s="605"/>
      <c r="H7" s="605"/>
      <c r="I7" s="605"/>
    </row>
    <row r="8" spans="1:9" ht="30.75" customHeight="1" x14ac:dyDescent="0.25">
      <c r="A8" s="605" t="s">
        <v>450</v>
      </c>
      <c r="B8" s="605"/>
      <c r="C8" s="605"/>
      <c r="D8" s="605"/>
      <c r="E8" s="605"/>
      <c r="F8" s="605"/>
      <c r="G8" s="605"/>
      <c r="H8" s="605"/>
      <c r="I8" s="605"/>
    </row>
    <row r="9" spans="1:9" ht="15" customHeight="1" x14ac:dyDescent="0.25">
      <c r="A9" s="599" t="s">
        <v>388</v>
      </c>
      <c r="B9" s="599"/>
      <c r="C9" s="599"/>
      <c r="D9" s="599"/>
      <c r="E9" s="599"/>
      <c r="F9" s="599"/>
      <c r="G9" s="599"/>
      <c r="H9" s="599"/>
      <c r="I9" s="599"/>
    </row>
    <row r="10" spans="1:9" ht="15" customHeight="1" x14ac:dyDescent="0.25">
      <c r="A10" s="599"/>
      <c r="B10" s="599"/>
      <c r="C10" s="599"/>
      <c r="D10" s="599"/>
      <c r="E10" s="599"/>
      <c r="F10" s="599"/>
      <c r="G10" s="599"/>
      <c r="H10" s="599"/>
      <c r="I10" s="599"/>
    </row>
    <row r="11" spans="1:9" ht="30" customHeight="1" x14ac:dyDescent="0.25">
      <c r="A11" s="605" t="s">
        <v>389</v>
      </c>
      <c r="B11" s="605"/>
      <c r="C11" s="605"/>
      <c r="D11" s="605"/>
      <c r="E11" s="605"/>
      <c r="F11" s="605"/>
      <c r="G11" s="605"/>
      <c r="H11" s="605"/>
      <c r="I11" s="605"/>
    </row>
    <row r="12" spans="1:9" ht="30" customHeight="1" x14ac:dyDescent="0.25">
      <c r="A12" s="605" t="s">
        <v>390</v>
      </c>
      <c r="B12" s="605"/>
      <c r="C12" s="605"/>
      <c r="D12" s="605"/>
      <c r="E12" s="605"/>
      <c r="F12" s="605"/>
      <c r="G12" s="605"/>
      <c r="H12" s="605"/>
      <c r="I12" s="605"/>
    </row>
    <row r="13" spans="1:9" ht="30" customHeight="1" x14ac:dyDescent="0.25">
      <c r="A13" s="605" t="s">
        <v>391</v>
      </c>
      <c r="B13" s="605"/>
      <c r="C13" s="605"/>
      <c r="D13" s="605"/>
      <c r="E13" s="605"/>
      <c r="F13" s="605"/>
      <c r="G13" s="605"/>
      <c r="H13" s="605"/>
      <c r="I13" s="605"/>
    </row>
    <row r="14" spans="1:9" ht="30" customHeight="1" x14ac:dyDescent="0.25">
      <c r="A14" s="605" t="s">
        <v>392</v>
      </c>
      <c r="B14" s="605"/>
      <c r="C14" s="605"/>
      <c r="D14" s="605"/>
      <c r="E14" s="605"/>
      <c r="F14" s="605"/>
      <c r="G14" s="605"/>
      <c r="H14" s="605"/>
      <c r="I14" s="605"/>
    </row>
    <row r="15" spans="1:9" ht="30" customHeight="1" x14ac:dyDescent="0.25">
      <c r="A15" s="600" t="s">
        <v>393</v>
      </c>
      <c r="B15" s="600"/>
      <c r="C15" s="600"/>
      <c r="D15" s="600"/>
      <c r="E15" s="600"/>
      <c r="F15" s="600"/>
      <c r="G15" s="600"/>
      <c r="H15" s="600"/>
      <c r="I15" s="600"/>
    </row>
    <row r="16" spans="1:9" ht="12.75" customHeight="1" thickBot="1" x14ac:dyDescent="0.3">
      <c r="A16" s="600"/>
      <c r="B16" s="600"/>
      <c r="C16" s="600"/>
      <c r="D16" s="600"/>
      <c r="E16" s="600"/>
      <c r="F16" s="600"/>
      <c r="G16" s="600"/>
      <c r="H16" s="600"/>
      <c r="I16" s="600"/>
    </row>
    <row r="17" spans="1:11" ht="13.5" thickBot="1" x14ac:dyDescent="0.3">
      <c r="A17" s="602" t="s">
        <v>394</v>
      </c>
      <c r="B17" s="603"/>
      <c r="C17" s="603"/>
      <c r="D17" s="603"/>
      <c r="E17" s="603"/>
      <c r="F17" s="603"/>
      <c r="G17" s="603"/>
      <c r="H17" s="603"/>
      <c r="I17" s="604"/>
    </row>
    <row r="19" spans="1:11" ht="13" x14ac:dyDescent="0.3">
      <c r="A19" s="365" t="s">
        <v>46</v>
      </c>
      <c r="B19" s="365"/>
      <c r="C19" s="365"/>
      <c r="D19" s="365"/>
      <c r="E19" s="365"/>
      <c r="F19" s="365"/>
      <c r="G19" s="365"/>
      <c r="H19" s="365"/>
      <c r="I19" s="365"/>
    </row>
    <row r="20" spans="1:11" ht="13" x14ac:dyDescent="0.3">
      <c r="A20" s="47" t="s">
        <v>47</v>
      </c>
      <c r="B20" s="394" t="s">
        <v>48</v>
      </c>
      <c r="C20" s="395"/>
      <c r="D20" s="395"/>
      <c r="E20" s="395"/>
      <c r="F20" s="395"/>
      <c r="G20" s="395"/>
      <c r="H20" s="396"/>
      <c r="I20" s="8" t="s">
        <v>33</v>
      </c>
    </row>
    <row r="21" spans="1:11" ht="24.75" customHeight="1" x14ac:dyDescent="0.25">
      <c r="A21" s="47" t="s">
        <v>4</v>
      </c>
      <c r="B21" s="601" t="s">
        <v>395</v>
      </c>
      <c r="C21" s="362"/>
      <c r="D21" s="362"/>
      <c r="E21" s="362"/>
      <c r="F21" s="362"/>
      <c r="G21" s="362"/>
      <c r="H21" s="363"/>
      <c r="I21" s="163">
        <f>1/12</f>
        <v>8.3333333333333329E-2</v>
      </c>
    </row>
    <row r="22" spans="1:11" ht="24.75" customHeight="1" x14ac:dyDescent="0.3">
      <c r="A22" s="8" t="s">
        <v>6</v>
      </c>
      <c r="B22" s="601" t="s">
        <v>396</v>
      </c>
      <c r="C22" s="606"/>
      <c r="D22" s="606"/>
      <c r="E22" s="606"/>
      <c r="F22" s="606"/>
      <c r="G22" s="606"/>
      <c r="H22" s="607"/>
      <c r="I22" s="24">
        <v>0.121</v>
      </c>
    </row>
    <row r="23" spans="1:11" ht="13" x14ac:dyDescent="0.3">
      <c r="A23" s="355" t="s">
        <v>51</v>
      </c>
      <c r="B23" s="355"/>
      <c r="C23" s="355"/>
      <c r="D23" s="355"/>
      <c r="E23" s="355"/>
      <c r="F23" s="355"/>
      <c r="G23" s="355"/>
      <c r="H23" s="42"/>
      <c r="I23" s="42">
        <f>TRUNC(SUM(I21:I22),4)</f>
        <v>0.20430000000000001</v>
      </c>
    </row>
    <row r="24" spans="1:11" ht="13" x14ac:dyDescent="0.3">
      <c r="A24" s="3"/>
      <c r="B24" s="3"/>
      <c r="C24" s="3"/>
      <c r="D24" s="3"/>
      <c r="E24" s="3"/>
      <c r="F24" s="3"/>
      <c r="G24" s="3"/>
      <c r="H24" s="3"/>
      <c r="I24" s="4"/>
    </row>
    <row r="25" spans="1:11" s="10" customFormat="1" ht="13" x14ac:dyDescent="0.3">
      <c r="A25" s="365" t="s">
        <v>96</v>
      </c>
      <c r="B25" s="365"/>
      <c r="C25" s="365"/>
      <c r="D25" s="365"/>
      <c r="E25" s="365"/>
      <c r="F25" s="365"/>
      <c r="G25" s="365"/>
      <c r="H25" s="365"/>
      <c r="I25" s="365"/>
    </row>
    <row r="26" spans="1:11" ht="13" x14ac:dyDescent="0.3">
      <c r="A26" s="8">
        <v>3</v>
      </c>
      <c r="B26" s="366" t="s">
        <v>97</v>
      </c>
      <c r="C26" s="366"/>
      <c r="D26" s="366"/>
      <c r="E26" s="366"/>
      <c r="F26" s="366"/>
      <c r="G26" s="366"/>
      <c r="H26" s="8" t="s">
        <v>33</v>
      </c>
      <c r="I26" s="8" t="s">
        <v>34</v>
      </c>
    </row>
    <row r="27" spans="1:11" ht="13" x14ac:dyDescent="0.3">
      <c r="A27" s="8" t="s">
        <v>4</v>
      </c>
      <c r="B27" s="356" t="s">
        <v>98</v>
      </c>
      <c r="C27" s="356"/>
      <c r="D27" s="356"/>
      <c r="E27" s="356"/>
      <c r="F27" s="356"/>
      <c r="G27" s="356"/>
      <c r="H27" s="1">
        <v>4.1999999999999997E-3</v>
      </c>
      <c r="I27" s="25"/>
    </row>
    <row r="28" spans="1:11" ht="13" x14ac:dyDescent="0.25">
      <c r="A28" s="47" t="s">
        <v>6</v>
      </c>
      <c r="B28" s="379" t="s">
        <v>99</v>
      </c>
      <c r="C28" s="379"/>
      <c r="D28" s="379"/>
      <c r="E28" s="379"/>
      <c r="F28" s="379"/>
      <c r="G28" s="379"/>
      <c r="H28" s="163">
        <v>0.08</v>
      </c>
      <c r="I28" s="164"/>
    </row>
    <row r="29" spans="1:11" ht="39" customHeight="1" x14ac:dyDescent="0.25">
      <c r="A29" s="47" t="s">
        <v>8</v>
      </c>
      <c r="B29" s="379" t="s">
        <v>397</v>
      </c>
      <c r="C29" s="379"/>
      <c r="D29" s="379"/>
      <c r="E29" s="379"/>
      <c r="F29" s="379"/>
      <c r="G29" s="379"/>
      <c r="H29" s="163">
        <v>2E-3</v>
      </c>
      <c r="I29" s="164"/>
      <c r="K29" s="87"/>
    </row>
    <row r="30" spans="1:11" ht="13" x14ac:dyDescent="0.3">
      <c r="A30" s="8" t="s">
        <v>10</v>
      </c>
      <c r="B30" s="356" t="s">
        <v>101</v>
      </c>
      <c r="C30" s="356"/>
      <c r="D30" s="356"/>
      <c r="E30" s="356"/>
      <c r="F30" s="356"/>
      <c r="G30" s="356"/>
      <c r="H30" s="1">
        <v>1.9400000000000001E-2</v>
      </c>
      <c r="I30" s="25"/>
    </row>
    <row r="31" spans="1:11" ht="13" x14ac:dyDescent="0.3">
      <c r="A31" s="8" t="s">
        <v>39</v>
      </c>
      <c r="B31" s="378" t="s">
        <v>102</v>
      </c>
      <c r="C31" s="378"/>
      <c r="D31" s="378"/>
      <c r="E31" s="378"/>
      <c r="F31" s="378"/>
      <c r="G31" s="378"/>
      <c r="H31" s="24">
        <v>0.36799999999999999</v>
      </c>
      <c r="I31" s="25"/>
    </row>
    <row r="32" spans="1:11" ht="37.5" customHeight="1" x14ac:dyDescent="0.25">
      <c r="A32" s="47" t="s">
        <v>41</v>
      </c>
      <c r="B32" s="379" t="s">
        <v>398</v>
      </c>
      <c r="C32" s="379"/>
      <c r="D32" s="379"/>
      <c r="E32" s="379"/>
      <c r="F32" s="379"/>
      <c r="G32" s="379"/>
      <c r="H32" s="163">
        <v>3.7999999999999999E-2</v>
      </c>
      <c r="I32" s="164"/>
    </row>
    <row r="33" spans="1:9" ht="13" x14ac:dyDescent="0.3">
      <c r="A33" s="364" t="s">
        <v>104</v>
      </c>
      <c r="B33" s="364"/>
      <c r="C33" s="364"/>
      <c r="D33" s="364"/>
      <c r="E33" s="364"/>
      <c r="F33" s="364"/>
      <c r="G33" s="364"/>
      <c r="H33" s="42"/>
      <c r="I33" s="129"/>
    </row>
    <row r="34" spans="1:9" ht="13" x14ac:dyDescent="0.3">
      <c r="A34" s="3"/>
      <c r="B34" s="3"/>
      <c r="C34" s="3"/>
      <c r="D34" s="3"/>
      <c r="E34" s="3"/>
      <c r="F34" s="3"/>
      <c r="G34" s="3"/>
      <c r="H34" s="44"/>
      <c r="I34" s="4"/>
    </row>
    <row r="35" spans="1:9" ht="13" x14ac:dyDescent="0.3">
      <c r="A35" s="352" t="s">
        <v>399</v>
      </c>
      <c r="B35" s="10" t="s">
        <v>400</v>
      </c>
      <c r="C35" s="3"/>
      <c r="D35" s="3"/>
      <c r="E35" s="3"/>
      <c r="F35" s="3"/>
      <c r="G35" s="3"/>
      <c r="H35" s="44"/>
      <c r="I35" s="4"/>
    </row>
    <row r="36" spans="1:9" ht="13" x14ac:dyDescent="0.3">
      <c r="A36" s="352"/>
      <c r="B36" s="170" t="s">
        <v>401</v>
      </c>
      <c r="C36" s="3"/>
      <c r="D36" s="3"/>
      <c r="E36" s="3"/>
      <c r="F36" s="3"/>
      <c r="G36" s="3"/>
      <c r="H36" s="44"/>
      <c r="I36" s="4"/>
    </row>
    <row r="37" spans="1:9" ht="13" x14ac:dyDescent="0.3">
      <c r="A37" s="352"/>
      <c r="B37" t="s">
        <v>402</v>
      </c>
      <c r="C37" s="3"/>
      <c r="D37" s="3"/>
      <c r="E37" s="3"/>
      <c r="F37" s="3"/>
      <c r="G37" s="3"/>
      <c r="H37" s="44"/>
      <c r="I37" s="4"/>
    </row>
    <row r="38" spans="1:9" ht="13" x14ac:dyDescent="0.3">
      <c r="A38" s="352"/>
      <c r="B38" s="170" t="s">
        <v>403</v>
      </c>
      <c r="C38" s="3"/>
      <c r="D38" s="3"/>
      <c r="E38" s="3"/>
      <c r="F38" s="3"/>
      <c r="G38" s="3"/>
      <c r="H38" s="44"/>
      <c r="I38" s="4"/>
    </row>
    <row r="39" spans="1:9" ht="13" x14ac:dyDescent="0.3">
      <c r="A39" s="352"/>
      <c r="B39" s="170" t="s">
        <v>404</v>
      </c>
      <c r="C39" s="3"/>
      <c r="D39" s="3"/>
      <c r="E39" s="3"/>
      <c r="F39" s="3"/>
      <c r="G39" s="3"/>
      <c r="H39" s="44"/>
      <c r="I39" s="4"/>
    </row>
    <row r="40" spans="1:9" ht="13" x14ac:dyDescent="0.3">
      <c r="A40" s="352"/>
      <c r="B40" s="170" t="s">
        <v>405</v>
      </c>
      <c r="C40" s="3"/>
      <c r="D40" s="3"/>
      <c r="E40" s="3"/>
      <c r="F40" s="3"/>
      <c r="G40" s="3"/>
      <c r="H40" s="44"/>
      <c r="I40" s="4"/>
    </row>
    <row r="41" spans="1:9" ht="13" x14ac:dyDescent="0.3">
      <c r="A41" s="352"/>
      <c r="B41" s="171" t="s">
        <v>406</v>
      </c>
      <c r="C41" s="3"/>
      <c r="D41" s="3"/>
      <c r="E41" s="3"/>
      <c r="F41" s="3"/>
      <c r="G41" s="3"/>
      <c r="H41" s="44"/>
      <c r="I41" s="4"/>
    </row>
    <row r="42" spans="1:9" ht="13" x14ac:dyDescent="0.3">
      <c r="A42" s="3"/>
      <c r="C42" s="3"/>
      <c r="D42" s="3"/>
      <c r="E42" s="3"/>
      <c r="F42" s="3"/>
      <c r="G42" s="3"/>
      <c r="H42" s="44"/>
      <c r="I42" s="4"/>
    </row>
    <row r="43" spans="1:9" ht="13" x14ac:dyDescent="0.3">
      <c r="A43" s="352" t="s">
        <v>407</v>
      </c>
      <c r="B43" s="170" t="s">
        <v>408</v>
      </c>
      <c r="C43" s="3"/>
      <c r="D43" s="3"/>
      <c r="E43" s="3"/>
      <c r="F43" s="3"/>
      <c r="G43" s="3"/>
      <c r="H43" s="44"/>
      <c r="I43" s="4"/>
    </row>
    <row r="44" spans="1:9" ht="13" x14ac:dyDescent="0.3">
      <c r="A44" s="352"/>
      <c r="B44" s="170" t="s">
        <v>409</v>
      </c>
      <c r="C44" s="3"/>
      <c r="D44" s="3"/>
      <c r="E44" s="3"/>
      <c r="F44" s="3"/>
      <c r="G44" s="3"/>
      <c r="H44" s="44"/>
      <c r="I44" s="4"/>
    </row>
    <row r="45" spans="1:9" ht="13" x14ac:dyDescent="0.3">
      <c r="A45" s="3"/>
      <c r="B45" s="171"/>
      <c r="C45" s="3"/>
      <c r="D45" s="3"/>
      <c r="E45" s="3"/>
      <c r="F45" s="3"/>
      <c r="G45" s="3"/>
      <c r="H45" s="44"/>
      <c r="I45" s="4"/>
    </row>
    <row r="46" spans="1:9" ht="27" customHeight="1" x14ac:dyDescent="0.25">
      <c r="A46" s="352" t="s">
        <v>410</v>
      </c>
      <c r="B46" s="596" t="s">
        <v>411</v>
      </c>
      <c r="C46" s="596"/>
      <c r="D46" s="596"/>
      <c r="E46" s="596"/>
      <c r="F46" s="596"/>
      <c r="G46" s="596"/>
      <c r="H46" s="596"/>
      <c r="I46" s="596"/>
    </row>
    <row r="47" spans="1:9" ht="13" x14ac:dyDescent="0.3">
      <c r="A47" s="352"/>
      <c r="B47" s="170" t="s">
        <v>412</v>
      </c>
      <c r="C47" s="3"/>
      <c r="D47" s="3"/>
      <c r="E47" s="3"/>
      <c r="F47" s="3"/>
      <c r="G47" s="3"/>
      <c r="H47" s="44"/>
      <c r="I47" s="4"/>
    </row>
    <row r="48" spans="1:9" ht="13" x14ac:dyDescent="0.3">
      <c r="A48" s="3"/>
      <c r="B48" s="171"/>
      <c r="C48" s="3"/>
      <c r="D48" s="3"/>
      <c r="E48" s="3"/>
      <c r="F48" s="3"/>
      <c r="G48" s="3"/>
      <c r="H48" s="44"/>
      <c r="I48" s="4"/>
    </row>
    <row r="49" spans="1:10" ht="13" x14ac:dyDescent="0.3">
      <c r="A49" s="3" t="s">
        <v>413</v>
      </c>
      <c r="B49" s="86" t="s">
        <v>223</v>
      </c>
      <c r="C49" s="3"/>
      <c r="D49" s="3"/>
      <c r="E49" s="3"/>
      <c r="F49" s="3"/>
      <c r="G49" s="3"/>
      <c r="H49" s="44"/>
      <c r="I49" s="4"/>
    </row>
    <row r="51" spans="1:10" ht="12.75" customHeight="1" x14ac:dyDescent="0.25">
      <c r="A51" s="408" t="s">
        <v>224</v>
      </c>
      <c r="B51" s="408"/>
      <c r="C51" s="408"/>
      <c r="D51" s="408"/>
      <c r="E51" s="408"/>
      <c r="F51" s="408"/>
      <c r="G51" s="408"/>
      <c r="H51" s="408"/>
      <c r="I51" s="408"/>
      <c r="J51" s="408"/>
    </row>
    <row r="52" spans="1:10" x14ac:dyDescent="0.25">
      <c r="A52" s="408"/>
      <c r="B52" s="408"/>
      <c r="C52" s="408"/>
      <c r="D52" s="408"/>
      <c r="E52" s="408"/>
      <c r="F52" s="408"/>
      <c r="G52" s="408"/>
      <c r="H52" s="408"/>
      <c r="I52" s="408"/>
      <c r="J52" s="408"/>
    </row>
    <row r="53" spans="1:10" x14ac:dyDescent="0.25">
      <c r="A53" s="408"/>
      <c r="B53" s="408"/>
      <c r="C53" s="408"/>
      <c r="D53" s="408"/>
      <c r="E53" s="408"/>
      <c r="F53" s="408"/>
      <c r="G53" s="408"/>
      <c r="H53" s="408"/>
      <c r="I53" s="408"/>
      <c r="J53" s="408"/>
    </row>
    <row r="54" spans="1:10" x14ac:dyDescent="0.25">
      <c r="A54" s="408"/>
      <c r="B54" s="408"/>
      <c r="C54" s="408"/>
      <c r="D54" s="408"/>
      <c r="E54" s="408"/>
      <c r="F54" s="408"/>
      <c r="G54" s="408"/>
      <c r="H54" s="408"/>
      <c r="I54" s="408"/>
      <c r="J54" s="408"/>
    </row>
    <row r="55" spans="1:10" x14ac:dyDescent="0.25">
      <c r="A55" s="408"/>
      <c r="B55" s="408"/>
      <c r="C55" s="408"/>
      <c r="D55" s="408"/>
      <c r="E55" s="408"/>
      <c r="F55" s="408"/>
      <c r="G55" s="408"/>
      <c r="H55" s="408"/>
      <c r="I55" s="408"/>
      <c r="J55" s="408"/>
    </row>
    <row r="56" spans="1:10" x14ac:dyDescent="0.25">
      <c r="A56" s="165"/>
      <c r="B56" s="165"/>
      <c r="C56" s="165"/>
      <c r="D56" s="165"/>
      <c r="E56" s="165"/>
      <c r="F56" s="165"/>
      <c r="G56" s="165"/>
      <c r="H56" s="165"/>
      <c r="I56" s="165"/>
      <c r="J56" s="165"/>
    </row>
    <row r="57" spans="1:10" ht="13" x14ac:dyDescent="0.3">
      <c r="A57" s="352" t="s">
        <v>414</v>
      </c>
      <c r="B57" s="170" t="s">
        <v>415</v>
      </c>
      <c r="C57" s="3"/>
      <c r="D57" s="3"/>
      <c r="E57" s="3"/>
      <c r="F57" s="3"/>
      <c r="G57" s="165"/>
      <c r="H57" s="165"/>
      <c r="I57" s="165"/>
      <c r="J57" s="165"/>
    </row>
    <row r="58" spans="1:10" ht="13" x14ac:dyDescent="0.3">
      <c r="A58" s="352"/>
      <c r="B58" s="170" t="s">
        <v>416</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352" t="s">
        <v>417</v>
      </c>
      <c r="B60" s="596" t="s">
        <v>411</v>
      </c>
      <c r="C60" s="596"/>
      <c r="D60" s="596"/>
      <c r="E60" s="596"/>
      <c r="F60" s="596"/>
      <c r="G60" s="596"/>
      <c r="H60" s="596"/>
      <c r="I60" s="596"/>
      <c r="J60" s="165"/>
    </row>
    <row r="61" spans="1:10" ht="13" x14ac:dyDescent="0.3">
      <c r="A61" s="352"/>
      <c r="B61" s="170" t="s">
        <v>418</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108</v>
      </c>
      <c r="B64" s="355" t="s">
        <v>109</v>
      </c>
      <c r="C64" s="355"/>
      <c r="D64" s="355"/>
      <c r="E64" s="355"/>
      <c r="F64" s="355"/>
      <c r="G64" s="355"/>
      <c r="H64" s="34" t="s">
        <v>33</v>
      </c>
      <c r="I64" s="34" t="s">
        <v>34</v>
      </c>
      <c r="J64" s="165"/>
    </row>
    <row r="65" spans="1:10" ht="13" x14ac:dyDescent="0.3">
      <c r="A65" s="49" t="s">
        <v>4</v>
      </c>
      <c r="B65" s="356" t="s">
        <v>110</v>
      </c>
      <c r="C65" s="356"/>
      <c r="D65" s="356"/>
      <c r="E65" s="356"/>
      <c r="F65" s="356"/>
      <c r="G65" s="356"/>
      <c r="H65" s="43"/>
      <c r="I65" s="43"/>
      <c r="J65" s="165"/>
    </row>
    <row r="66" spans="1:10" ht="24" customHeight="1" x14ac:dyDescent="0.25">
      <c r="A66" s="56" t="s">
        <v>6</v>
      </c>
      <c r="B66" s="598" t="s">
        <v>419</v>
      </c>
      <c r="C66" s="598"/>
      <c r="D66" s="598"/>
      <c r="E66" s="598"/>
      <c r="F66" s="598"/>
      <c r="G66" s="598"/>
      <c r="H66" s="172">
        <v>1.67E-2</v>
      </c>
      <c r="I66" s="164">
        <f>H66*$I$40</f>
        <v>0</v>
      </c>
      <c r="J66" s="165"/>
    </row>
    <row r="67" spans="1:10" ht="36" customHeight="1" x14ac:dyDescent="0.25">
      <c r="A67" s="56" t="s">
        <v>8</v>
      </c>
      <c r="B67" s="597" t="s">
        <v>420</v>
      </c>
      <c r="C67" s="597"/>
      <c r="D67" s="597"/>
      <c r="E67" s="597"/>
      <c r="F67" s="597"/>
      <c r="G67" s="597"/>
      <c r="H67" s="172">
        <v>2.0000000000000001E-4</v>
      </c>
      <c r="I67" s="164">
        <f>H67*$I$40</f>
        <v>0</v>
      </c>
      <c r="J67" s="165"/>
    </row>
    <row r="68" spans="1:10" ht="42.75" customHeight="1" x14ac:dyDescent="0.25">
      <c r="A68" s="56" t="s">
        <v>10</v>
      </c>
      <c r="B68" s="597" t="s">
        <v>421</v>
      </c>
      <c r="C68" s="597"/>
      <c r="D68" s="597"/>
      <c r="E68" s="597"/>
      <c r="F68" s="597"/>
      <c r="G68" s="597"/>
      <c r="H68" s="163">
        <v>6.9999999999999999E-4</v>
      </c>
      <c r="I68" s="164">
        <f>H68*$I$40</f>
        <v>0</v>
      </c>
      <c r="J68" s="165"/>
    </row>
    <row r="69" spans="1:10" ht="35.25" customHeight="1" x14ac:dyDescent="0.25">
      <c r="A69" s="47" t="s">
        <v>39</v>
      </c>
      <c r="B69" s="597" t="s">
        <v>422</v>
      </c>
      <c r="C69" s="597"/>
      <c r="D69" s="597"/>
      <c r="E69" s="597"/>
      <c r="F69" s="597"/>
      <c r="G69" s="597"/>
      <c r="H69" s="172">
        <v>2.8999999999999998E-3</v>
      </c>
      <c r="I69" s="164">
        <f>H69*$I$40</f>
        <v>0</v>
      </c>
      <c r="J69" s="165"/>
    </row>
    <row r="70" spans="1:10" ht="13" x14ac:dyDescent="0.3">
      <c r="A70" s="8" t="s">
        <v>41</v>
      </c>
      <c r="B70" s="356" t="s">
        <v>115</v>
      </c>
      <c r="C70" s="356"/>
      <c r="D70" s="356"/>
      <c r="E70" s="356"/>
      <c r="F70" s="356"/>
      <c r="G70" s="356"/>
      <c r="H70" s="173"/>
      <c r="I70" s="25">
        <f t="shared" ref="I70" si="0">H70*$I$40</f>
        <v>0</v>
      </c>
      <c r="J70" s="165"/>
    </row>
    <row r="71" spans="1:10" ht="13" x14ac:dyDescent="0.3">
      <c r="A71" s="355" t="s">
        <v>116</v>
      </c>
      <c r="B71" s="355"/>
      <c r="C71" s="355"/>
      <c r="D71" s="355"/>
      <c r="E71" s="355"/>
      <c r="F71" s="355"/>
      <c r="G71" s="355"/>
      <c r="H71" s="42"/>
      <c r="I71" s="43">
        <f>SUM(I66:I70)</f>
        <v>0</v>
      </c>
      <c r="J71" s="165"/>
    </row>
    <row r="72" spans="1:10" ht="13" x14ac:dyDescent="0.3">
      <c r="A72" s="8" t="s">
        <v>66</v>
      </c>
      <c r="B72" s="356" t="s">
        <v>117</v>
      </c>
      <c r="C72" s="356"/>
      <c r="D72" s="356"/>
      <c r="E72" s="356"/>
      <c r="F72" s="356"/>
      <c r="G72" s="356"/>
      <c r="H72" s="1">
        <v>0.36799999999999999</v>
      </c>
      <c r="I72" s="25">
        <f>I71*H72</f>
        <v>0</v>
      </c>
      <c r="J72" s="165"/>
    </row>
    <row r="73" spans="1:10" ht="13" x14ac:dyDescent="0.3">
      <c r="A73" s="355" t="s">
        <v>118</v>
      </c>
      <c r="B73" s="355"/>
      <c r="C73" s="355"/>
      <c r="D73" s="355"/>
      <c r="E73" s="355"/>
      <c r="F73" s="355"/>
      <c r="G73" s="355"/>
      <c r="H73" s="42"/>
      <c r="I73" s="43">
        <f>SUM(I71:I72)</f>
        <v>0</v>
      </c>
    </row>
    <row r="74" spans="1:10" ht="13" x14ac:dyDescent="0.3">
      <c r="A74" s="8"/>
      <c r="B74" s="392"/>
      <c r="C74" s="392"/>
      <c r="D74" s="392"/>
      <c r="E74" s="392"/>
      <c r="F74" s="392"/>
      <c r="G74" s="392"/>
      <c r="H74" s="392"/>
      <c r="I74" s="25"/>
    </row>
    <row r="75" spans="1:10" ht="13" x14ac:dyDescent="0.3">
      <c r="A75" s="3"/>
      <c r="B75" s="37"/>
      <c r="C75" s="37"/>
      <c r="D75" s="37"/>
      <c r="E75" s="37"/>
      <c r="F75" s="37"/>
      <c r="G75" s="37"/>
      <c r="H75" s="37"/>
      <c r="I75" s="7"/>
    </row>
    <row r="76" spans="1:10" x14ac:dyDescent="0.25">
      <c r="A76" s="592" t="s">
        <v>423</v>
      </c>
      <c r="B76" s="592"/>
      <c r="C76" s="592"/>
      <c r="D76" s="592"/>
      <c r="E76" s="592"/>
      <c r="F76" s="592"/>
      <c r="G76" s="592"/>
      <c r="H76" s="592"/>
      <c r="I76" s="592"/>
    </row>
    <row r="77" spans="1:10" x14ac:dyDescent="0.25">
      <c r="A77" s="592"/>
      <c r="B77" s="592"/>
      <c r="C77" s="592"/>
      <c r="D77" s="592"/>
      <c r="E77" s="592"/>
      <c r="F77" s="592"/>
      <c r="G77" s="592"/>
      <c r="H77" s="592"/>
      <c r="I77" s="592"/>
    </row>
    <row r="78" spans="1:10" x14ac:dyDescent="0.25">
      <c r="A78" s="592"/>
      <c r="B78" s="592"/>
      <c r="C78" s="592"/>
      <c r="D78" s="592"/>
      <c r="E78" s="592"/>
      <c r="F78" s="592"/>
      <c r="G78" s="592"/>
      <c r="H78" s="592"/>
      <c r="I78" s="592"/>
    </row>
    <row r="79" spans="1:10" x14ac:dyDescent="0.25">
      <c r="A79" s="592"/>
      <c r="B79" s="592"/>
      <c r="C79" s="592"/>
      <c r="D79" s="592"/>
      <c r="E79" s="592"/>
      <c r="F79" s="592"/>
      <c r="G79" s="592"/>
      <c r="H79" s="592"/>
      <c r="I79" s="592"/>
    </row>
    <row r="80" spans="1:10" x14ac:dyDescent="0.25">
      <c r="A80" s="592"/>
      <c r="B80" s="592"/>
      <c r="C80" s="592"/>
      <c r="D80" s="592"/>
      <c r="E80" s="592"/>
      <c r="F80" s="592"/>
      <c r="G80" s="592"/>
      <c r="H80" s="592"/>
      <c r="I80" s="592"/>
    </row>
    <row r="81" spans="1:9" ht="13" x14ac:dyDescent="0.3">
      <c r="A81" s="291"/>
      <c r="B81" s="291"/>
      <c r="C81" s="291"/>
      <c r="D81" s="291"/>
      <c r="E81" s="291"/>
      <c r="F81" s="291"/>
      <c r="G81" s="291"/>
      <c r="H81" s="291"/>
      <c r="I81" s="291"/>
    </row>
    <row r="82" spans="1:9" ht="16" thickBot="1" x14ac:dyDescent="0.35">
      <c r="A82" s="290"/>
      <c r="D82" s="291"/>
      <c r="E82" s="291"/>
      <c r="F82" s="291"/>
      <c r="G82" s="291"/>
      <c r="H82" s="291"/>
      <c r="I82" s="291"/>
    </row>
    <row r="83" spans="1:9" ht="26.5" thickBot="1" x14ac:dyDescent="0.35">
      <c r="A83" s="177" t="s">
        <v>296</v>
      </c>
      <c r="B83" s="178" t="s">
        <v>424</v>
      </c>
      <c r="C83" s="178" t="s">
        <v>425</v>
      </c>
      <c r="D83" s="291"/>
      <c r="E83" s="291"/>
      <c r="F83" s="291"/>
      <c r="G83" s="291"/>
      <c r="H83" s="291"/>
      <c r="I83" s="291"/>
    </row>
    <row r="84" spans="1:9" ht="13.5" thickBot="1" x14ac:dyDescent="0.35">
      <c r="A84" s="179" t="s">
        <v>259</v>
      </c>
      <c r="B84" s="180">
        <v>8.3299999999999999E-2</v>
      </c>
      <c r="C84" s="180">
        <v>6.9410000000000001E-3</v>
      </c>
      <c r="D84" s="291"/>
      <c r="E84" s="291"/>
      <c r="F84" s="291"/>
      <c r="G84" s="291"/>
      <c r="H84" s="291"/>
      <c r="I84" s="291"/>
    </row>
    <row r="85" spans="1:9" ht="38" thickBot="1" x14ac:dyDescent="0.35">
      <c r="A85" s="179" t="s">
        <v>426</v>
      </c>
      <c r="B85" s="180">
        <v>2.7799999999999998E-2</v>
      </c>
      <c r="C85" s="180">
        <v>2.3159999999999999E-3</v>
      </c>
      <c r="D85" s="291"/>
      <c r="E85" s="291"/>
      <c r="F85" s="291"/>
      <c r="G85" s="291"/>
      <c r="H85" s="291"/>
      <c r="I85" s="291"/>
    </row>
    <row r="86" spans="1:9" ht="26.5" thickBot="1" x14ac:dyDescent="0.35">
      <c r="A86" s="181" t="s">
        <v>427</v>
      </c>
      <c r="B86" s="182">
        <v>0.1111</v>
      </c>
      <c r="C86" s="182">
        <v>9.2569999999999996E-3</v>
      </c>
      <c r="D86" s="291"/>
      <c r="E86" s="291"/>
      <c r="F86" s="291"/>
      <c r="G86" s="291"/>
      <c r="H86" s="291"/>
      <c r="I86" s="291"/>
    </row>
    <row r="87" spans="1:9" ht="84.75" customHeight="1" thickBot="1" x14ac:dyDescent="0.35">
      <c r="A87" s="181" t="s">
        <v>157</v>
      </c>
      <c r="B87" s="593">
        <v>0.12039999999999999</v>
      </c>
      <c r="C87" s="594"/>
      <c r="D87" s="291"/>
      <c r="E87" s="291"/>
      <c r="F87" s="291"/>
      <c r="G87" s="291"/>
      <c r="H87" s="291"/>
      <c r="I87" s="291"/>
    </row>
    <row r="88" spans="1:9" ht="69" customHeight="1" x14ac:dyDescent="0.3">
      <c r="A88" s="176"/>
      <c r="D88" s="291"/>
      <c r="E88" s="291"/>
      <c r="F88" s="291"/>
      <c r="G88" s="291"/>
      <c r="H88" s="291"/>
      <c r="I88" s="291"/>
    </row>
    <row r="89" spans="1:9" ht="15.5" x14ac:dyDescent="0.25">
      <c r="A89" s="595" t="s">
        <v>428</v>
      </c>
      <c r="B89" s="595"/>
      <c r="C89" s="595"/>
      <c r="D89" s="595"/>
      <c r="E89" s="595"/>
      <c r="F89" s="595"/>
      <c r="G89" s="595"/>
      <c r="H89" s="595"/>
      <c r="I89" s="595"/>
    </row>
    <row r="90" spans="1:9" ht="15.5" x14ac:dyDescent="0.25">
      <c r="A90" s="595" t="s">
        <v>429</v>
      </c>
      <c r="B90" s="595"/>
      <c r="C90" s="595"/>
      <c r="D90" s="595"/>
      <c r="E90" s="595"/>
      <c r="F90" s="595"/>
      <c r="G90" s="595"/>
      <c r="H90" s="595"/>
      <c r="I90" s="595"/>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430</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9" zoomScale="115" zoomScaleNormal="115" workbookViewId="0">
      <selection activeCell="E17" sqref="E17"/>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82" t="s">
        <v>0</v>
      </c>
      <c r="B1" s="383"/>
      <c r="C1" s="383"/>
      <c r="D1" s="383"/>
      <c r="E1" s="383"/>
      <c r="F1" s="383"/>
      <c r="G1" s="383"/>
      <c r="H1" s="383"/>
      <c r="I1" s="384"/>
    </row>
    <row r="2" spans="1:9" x14ac:dyDescent="0.25">
      <c r="A2" s="292"/>
      <c r="B2" s="292"/>
      <c r="C2" s="292"/>
      <c r="D2" s="292"/>
      <c r="E2" s="292"/>
      <c r="F2" s="292"/>
      <c r="G2" s="292"/>
      <c r="H2" s="292"/>
      <c r="I2" s="292"/>
    </row>
    <row r="3" spans="1:9" ht="15" customHeight="1" x14ac:dyDescent="0.25">
      <c r="A3" s="391" t="s">
        <v>452</v>
      </c>
      <c r="B3" s="391"/>
      <c r="C3" s="391"/>
      <c r="D3" s="391"/>
      <c r="E3" s="391"/>
      <c r="F3" s="391"/>
      <c r="G3" s="292"/>
      <c r="H3" s="292"/>
      <c r="I3" s="292"/>
    </row>
    <row r="4" spans="1:9" ht="15" customHeight="1" x14ac:dyDescent="0.25">
      <c r="A4" s="391" t="s">
        <v>1</v>
      </c>
      <c r="B4" s="391"/>
      <c r="C4" s="391"/>
      <c r="D4" s="391"/>
      <c r="E4" s="391"/>
      <c r="F4" s="391"/>
      <c r="G4" s="292"/>
      <c r="H4" s="292"/>
      <c r="I4" s="292"/>
    </row>
    <row r="5" spans="1:9" ht="13" x14ac:dyDescent="0.3">
      <c r="A5" s="10"/>
      <c r="B5" s="10"/>
      <c r="C5" s="10"/>
      <c r="D5" s="10"/>
      <c r="E5" s="10"/>
      <c r="F5" s="10"/>
      <c r="G5" s="10"/>
      <c r="H5" s="10"/>
      <c r="I5" s="10"/>
    </row>
    <row r="6" spans="1:9" ht="13" x14ac:dyDescent="0.3">
      <c r="A6" s="391" t="s">
        <v>2</v>
      </c>
      <c r="B6" s="391"/>
      <c r="C6" s="391"/>
      <c r="D6" s="391"/>
      <c r="E6" s="391"/>
      <c r="F6" s="391"/>
      <c r="G6" s="10"/>
      <c r="H6" s="10"/>
      <c r="I6" s="10"/>
    </row>
    <row r="7" spans="1:9" x14ac:dyDescent="0.25">
      <c r="A7" s="293"/>
      <c r="B7" s="293"/>
      <c r="C7" s="293"/>
      <c r="D7" s="293"/>
      <c r="E7" s="293"/>
      <c r="F7" s="293"/>
      <c r="G7" s="293"/>
      <c r="H7" s="293"/>
      <c r="I7" s="293"/>
    </row>
    <row r="8" spans="1:9" ht="13" x14ac:dyDescent="0.3">
      <c r="A8" s="355" t="s">
        <v>3</v>
      </c>
      <c r="B8" s="355"/>
      <c r="C8" s="355"/>
      <c r="D8" s="355"/>
      <c r="E8" s="355"/>
      <c r="F8" s="355"/>
      <c r="G8" s="355"/>
      <c r="H8" s="355"/>
      <c r="I8" s="355"/>
    </row>
    <row r="9" spans="1:9" x14ac:dyDescent="0.25">
      <c r="A9" s="294" t="s">
        <v>4</v>
      </c>
      <c r="B9" s="356" t="s">
        <v>5</v>
      </c>
      <c r="C9" s="357"/>
      <c r="D9" s="357"/>
      <c r="E9" s="357"/>
      <c r="F9" s="357"/>
      <c r="G9" s="357"/>
      <c r="H9" s="357"/>
      <c r="I9" s="131" t="s">
        <v>454</v>
      </c>
    </row>
    <row r="10" spans="1:9" x14ac:dyDescent="0.25">
      <c r="A10" s="294" t="s">
        <v>6</v>
      </c>
      <c r="B10" s="356" t="s">
        <v>7</v>
      </c>
      <c r="C10" s="357"/>
      <c r="D10" s="357"/>
      <c r="E10" s="357"/>
      <c r="F10" s="357"/>
      <c r="G10" s="357"/>
      <c r="H10" s="357"/>
      <c r="I10" s="184" t="s">
        <v>469</v>
      </c>
    </row>
    <row r="11" spans="1:9" x14ac:dyDescent="0.25">
      <c r="A11" s="294" t="s">
        <v>8</v>
      </c>
      <c r="B11" s="356" t="s">
        <v>9</v>
      </c>
      <c r="C11" s="356"/>
      <c r="D11" s="356"/>
      <c r="E11" s="356"/>
      <c r="F11" s="356"/>
      <c r="G11" s="356"/>
      <c r="H11" s="356"/>
      <c r="I11" s="184" t="s">
        <v>470</v>
      </c>
    </row>
    <row r="12" spans="1:9" x14ac:dyDescent="0.25">
      <c r="A12" s="294" t="s">
        <v>10</v>
      </c>
      <c r="B12" s="356" t="s">
        <v>11</v>
      </c>
      <c r="C12" s="357"/>
      <c r="D12" s="357"/>
      <c r="E12" s="357"/>
      <c r="F12" s="357"/>
      <c r="G12" s="357"/>
      <c r="H12" s="357"/>
      <c r="I12" s="185">
        <v>24</v>
      </c>
    </row>
    <row r="13" spans="1:9" x14ac:dyDescent="0.25">
      <c r="A13" s="292"/>
      <c r="B13" s="293"/>
      <c r="C13" s="293"/>
      <c r="D13" s="293"/>
      <c r="E13" s="293"/>
      <c r="F13" s="293"/>
      <c r="G13" s="293"/>
      <c r="H13" s="292"/>
      <c r="I13" s="292"/>
    </row>
    <row r="14" spans="1:9" ht="13" x14ac:dyDescent="0.3">
      <c r="A14" s="355" t="s">
        <v>12</v>
      </c>
      <c r="B14" s="355"/>
      <c r="C14" s="355"/>
      <c r="D14" s="355"/>
      <c r="E14" s="355"/>
      <c r="F14" s="355"/>
      <c r="G14" s="355"/>
      <c r="H14" s="355"/>
      <c r="I14" s="355"/>
    </row>
    <row r="15" spans="1:9" ht="13" x14ac:dyDescent="0.3">
      <c r="A15" s="366" t="s">
        <v>13</v>
      </c>
      <c r="B15" s="366"/>
      <c r="C15" s="366" t="s">
        <v>14</v>
      </c>
      <c r="D15" s="366"/>
      <c r="E15" s="366" t="s">
        <v>15</v>
      </c>
      <c r="F15" s="366"/>
      <c r="G15" s="366"/>
      <c r="H15" s="366"/>
      <c r="I15" s="366"/>
    </row>
    <row r="16" spans="1:9" ht="25.5" customHeight="1" x14ac:dyDescent="0.25">
      <c r="A16" s="385" t="s">
        <v>431</v>
      </c>
      <c r="B16" s="386"/>
      <c r="C16" s="387" t="s">
        <v>437</v>
      </c>
      <c r="D16" s="388"/>
      <c r="E16" s="389">
        <v>1</v>
      </c>
      <c r="F16" s="390"/>
      <c r="G16" s="390"/>
      <c r="H16" s="390"/>
      <c r="I16" s="390"/>
    </row>
    <row r="17" spans="1:9" ht="15" customHeight="1" x14ac:dyDescent="0.25">
      <c r="A17" s="39"/>
      <c r="B17" s="295"/>
      <c r="C17" s="40"/>
      <c r="D17" s="296"/>
      <c r="E17" s="41"/>
      <c r="F17" s="297"/>
      <c r="G17" s="297"/>
      <c r="H17" s="297"/>
      <c r="I17" s="297"/>
    </row>
    <row r="18" spans="1:9" ht="15" customHeight="1" x14ac:dyDescent="0.25">
      <c r="A18" s="37" t="s">
        <v>16</v>
      </c>
      <c r="B18" s="295"/>
      <c r="C18" s="40"/>
      <c r="D18" s="296"/>
      <c r="E18" s="41"/>
      <c r="F18" s="297"/>
      <c r="G18" s="297"/>
      <c r="H18" s="297"/>
      <c r="I18" s="297"/>
    </row>
    <row r="19" spans="1:9" ht="15" customHeight="1" x14ac:dyDescent="0.25">
      <c r="A19" s="37" t="s">
        <v>17</v>
      </c>
      <c r="B19" s="295"/>
      <c r="C19" s="40"/>
      <c r="D19" s="296"/>
      <c r="E19" s="41"/>
      <c r="F19" s="297"/>
      <c r="G19" s="297"/>
      <c r="H19" s="297"/>
      <c r="I19" s="297"/>
    </row>
    <row r="20" spans="1:9" ht="15" customHeight="1" x14ac:dyDescent="0.25">
      <c r="A20" s="37" t="s">
        <v>18</v>
      </c>
      <c r="B20" s="295"/>
      <c r="C20" s="40"/>
      <c r="D20" s="296"/>
      <c r="E20" s="41"/>
      <c r="F20" s="297"/>
      <c r="G20" s="297"/>
      <c r="H20" s="297"/>
      <c r="I20" s="297"/>
    </row>
    <row r="21" spans="1:9" ht="15" customHeight="1" x14ac:dyDescent="0.25">
      <c r="A21" s="37" t="s">
        <v>19</v>
      </c>
      <c r="B21" s="295"/>
      <c r="C21" s="40"/>
      <c r="D21" s="296"/>
      <c r="E21" s="41"/>
      <c r="F21" s="297"/>
      <c r="G21" s="297"/>
      <c r="H21" s="297"/>
      <c r="I21" s="297"/>
    </row>
    <row r="22" spans="1:9" ht="15" customHeight="1" x14ac:dyDescent="0.25">
      <c r="A22" s="55"/>
      <c r="B22" s="295"/>
      <c r="C22" s="40"/>
      <c r="D22" s="296"/>
      <c r="E22" s="41"/>
      <c r="F22" s="297"/>
      <c r="G22" s="297"/>
      <c r="H22" s="297"/>
      <c r="I22" s="297"/>
    </row>
    <row r="23" spans="1:9" ht="15" customHeight="1" x14ac:dyDescent="0.25">
      <c r="A23" s="38" t="s">
        <v>20</v>
      </c>
      <c r="B23" s="295"/>
      <c r="C23" s="40"/>
      <c r="D23" s="296"/>
      <c r="E23" s="41"/>
      <c r="F23" s="297"/>
      <c r="G23" s="297"/>
      <c r="H23" s="297"/>
      <c r="I23" s="297"/>
    </row>
    <row r="24" spans="1:9" ht="15" customHeight="1" x14ac:dyDescent="0.25">
      <c r="A24" s="39"/>
      <c r="B24" s="295"/>
      <c r="C24" s="40"/>
      <c r="D24" s="296"/>
      <c r="E24" s="41"/>
      <c r="F24" s="297"/>
      <c r="G24" s="297"/>
      <c r="H24" s="297"/>
      <c r="I24" s="297"/>
    </row>
    <row r="25" spans="1:9" ht="15" customHeight="1" x14ac:dyDescent="0.25">
      <c r="A25" s="38" t="s">
        <v>21</v>
      </c>
      <c r="B25" s="295"/>
      <c r="C25" s="40"/>
      <c r="D25" s="296"/>
      <c r="E25" s="41"/>
      <c r="F25" s="297"/>
      <c r="G25" s="297"/>
      <c r="H25" s="297"/>
      <c r="I25" s="297"/>
    </row>
    <row r="26" spans="1:9" ht="15" customHeight="1" x14ac:dyDescent="0.25">
      <c r="A26" s="37" t="s">
        <v>22</v>
      </c>
      <c r="B26" s="295"/>
      <c r="C26" s="40"/>
      <c r="D26" s="296"/>
      <c r="E26" s="41"/>
      <c r="F26" s="297"/>
      <c r="G26" s="297"/>
      <c r="H26" s="297"/>
      <c r="I26" s="297"/>
    </row>
    <row r="27" spans="1:9" ht="13" x14ac:dyDescent="0.3">
      <c r="A27" s="355" t="s">
        <v>23</v>
      </c>
      <c r="B27" s="355"/>
      <c r="C27" s="355"/>
      <c r="D27" s="355"/>
      <c r="E27" s="355"/>
      <c r="F27" s="355"/>
      <c r="G27" s="355"/>
      <c r="H27" s="355"/>
      <c r="I27" s="355"/>
    </row>
    <row r="28" spans="1:9" x14ac:dyDescent="0.25">
      <c r="A28" s="298">
        <v>1</v>
      </c>
      <c r="B28" s="393" t="s">
        <v>24</v>
      </c>
      <c r="C28" s="393"/>
      <c r="D28" s="393"/>
      <c r="E28" s="393"/>
      <c r="F28" s="393"/>
      <c r="G28" s="393"/>
      <c r="H28" s="393"/>
      <c r="I28" s="187" t="s">
        <v>473</v>
      </c>
    </row>
    <row r="29" spans="1:9" x14ac:dyDescent="0.25">
      <c r="A29" s="294">
        <v>2</v>
      </c>
      <c r="B29" s="356" t="s">
        <v>25</v>
      </c>
      <c r="C29" s="356"/>
      <c r="D29" s="356"/>
      <c r="E29" s="356"/>
      <c r="F29" s="356"/>
      <c r="G29" s="356"/>
      <c r="H29" s="356"/>
      <c r="I29" s="23" t="s">
        <v>453</v>
      </c>
    </row>
    <row r="30" spans="1:9" x14ac:dyDescent="0.25">
      <c r="A30" s="294">
        <v>3</v>
      </c>
      <c r="B30" s="357" t="s">
        <v>26</v>
      </c>
      <c r="C30" s="357"/>
      <c r="D30" s="357"/>
      <c r="E30" s="357"/>
      <c r="F30" s="357"/>
      <c r="G30" s="357"/>
      <c r="H30" s="357"/>
      <c r="I30" s="130">
        <v>2878.21</v>
      </c>
    </row>
    <row r="31" spans="1:9" ht="37.5" x14ac:dyDescent="0.25">
      <c r="A31" s="298">
        <v>4</v>
      </c>
      <c r="B31" s="393" t="s">
        <v>27</v>
      </c>
      <c r="C31" s="393"/>
      <c r="D31" s="393"/>
      <c r="E31" s="393"/>
      <c r="F31" s="393"/>
      <c r="G31" s="393"/>
      <c r="H31" s="393"/>
      <c r="I31" s="187" t="s">
        <v>471</v>
      </c>
    </row>
    <row r="32" spans="1:9" x14ac:dyDescent="0.25">
      <c r="A32" s="294">
        <v>5</v>
      </c>
      <c r="B32" s="356" t="s">
        <v>28</v>
      </c>
      <c r="C32" s="357"/>
      <c r="D32" s="357"/>
      <c r="E32" s="357"/>
      <c r="F32" s="357"/>
      <c r="G32" s="357"/>
      <c r="H32" s="357"/>
      <c r="I32" s="131">
        <v>45292</v>
      </c>
    </row>
    <row r="33" spans="1:10" x14ac:dyDescent="0.25">
      <c r="A33" s="292"/>
      <c r="B33" s="293"/>
      <c r="C33" s="293"/>
      <c r="D33" s="293"/>
      <c r="E33" s="293"/>
      <c r="F33" s="293"/>
      <c r="G33" s="293"/>
      <c r="H33" s="293"/>
      <c r="I33" s="299"/>
    </row>
    <row r="34" spans="1:10" ht="13" x14ac:dyDescent="0.25">
      <c r="A34" s="37" t="s">
        <v>29</v>
      </c>
      <c r="B34" s="293"/>
      <c r="C34" s="293"/>
      <c r="D34" s="293"/>
      <c r="E34" s="293"/>
      <c r="F34" s="293"/>
      <c r="G34" s="293"/>
      <c r="H34" s="293"/>
      <c r="I34" s="299"/>
    </row>
    <row r="35" spans="1:10" ht="13" x14ac:dyDescent="0.25">
      <c r="A35" s="37" t="s">
        <v>30</v>
      </c>
      <c r="B35" s="293"/>
      <c r="C35" s="293"/>
      <c r="D35" s="293"/>
      <c r="E35" s="293"/>
      <c r="F35" s="293"/>
      <c r="G35" s="293"/>
      <c r="H35" s="293"/>
      <c r="I35" s="299"/>
    </row>
    <row r="37" spans="1:10" ht="13" x14ac:dyDescent="0.3">
      <c r="A37" s="365" t="s">
        <v>31</v>
      </c>
      <c r="B37" s="365"/>
      <c r="C37" s="365"/>
      <c r="D37" s="365"/>
      <c r="E37" s="365"/>
      <c r="F37" s="365"/>
      <c r="G37" s="365"/>
      <c r="H37" s="365"/>
      <c r="I37" s="365"/>
    </row>
    <row r="38" spans="1:10" ht="13" x14ac:dyDescent="0.3">
      <c r="A38" s="8">
        <v>1</v>
      </c>
      <c r="B38" s="366" t="s">
        <v>32</v>
      </c>
      <c r="C38" s="366"/>
      <c r="D38" s="366"/>
      <c r="E38" s="366"/>
      <c r="F38" s="366"/>
      <c r="G38" s="366"/>
      <c r="H38" s="8" t="s">
        <v>33</v>
      </c>
      <c r="I38" s="8" t="s">
        <v>34</v>
      </c>
    </row>
    <row r="39" spans="1:10" ht="13" x14ac:dyDescent="0.3">
      <c r="A39" s="8" t="s">
        <v>4</v>
      </c>
      <c r="B39" s="356" t="s">
        <v>35</v>
      </c>
      <c r="C39" s="356"/>
      <c r="D39" s="356"/>
      <c r="E39" s="356"/>
      <c r="F39" s="356"/>
      <c r="G39" s="356"/>
      <c r="H39" s="22"/>
      <c r="I39" s="167">
        <f>I30</f>
        <v>2878.21</v>
      </c>
    </row>
    <row r="40" spans="1:10" ht="13" x14ac:dyDescent="0.3">
      <c r="A40" s="8" t="s">
        <v>6</v>
      </c>
      <c r="B40" s="356" t="s">
        <v>36</v>
      </c>
      <c r="C40" s="356"/>
      <c r="D40" s="356"/>
      <c r="E40" s="356"/>
      <c r="F40" s="356"/>
      <c r="G40" s="356"/>
      <c r="H40" s="2"/>
      <c r="I40" s="167">
        <f>I39*H40</f>
        <v>0</v>
      </c>
      <c r="J40" s="32" t="s">
        <v>444</v>
      </c>
    </row>
    <row r="41" spans="1:10" ht="13" x14ac:dyDescent="0.3">
      <c r="A41" s="8" t="s">
        <v>8</v>
      </c>
      <c r="B41" s="356" t="s">
        <v>37</v>
      </c>
      <c r="C41" s="356"/>
      <c r="D41" s="356"/>
      <c r="E41" s="356"/>
      <c r="F41" s="356"/>
      <c r="G41" s="356"/>
      <c r="H41" s="2"/>
      <c r="I41" s="167">
        <f>H41*I39</f>
        <v>0</v>
      </c>
    </row>
    <row r="42" spans="1:10" ht="13" x14ac:dyDescent="0.3">
      <c r="A42" s="8" t="s">
        <v>10</v>
      </c>
      <c r="B42" s="356" t="s">
        <v>38</v>
      </c>
      <c r="C42" s="356"/>
      <c r="D42" s="356"/>
      <c r="E42" s="356"/>
      <c r="F42" s="356"/>
      <c r="G42" s="356"/>
      <c r="H42" s="2"/>
      <c r="I42" s="167">
        <v>0</v>
      </c>
      <c r="J42" s="32" t="s">
        <v>445</v>
      </c>
    </row>
    <row r="43" spans="1:10" ht="13" x14ac:dyDescent="0.3">
      <c r="A43" s="8" t="s">
        <v>39</v>
      </c>
      <c r="B43" s="356" t="s">
        <v>40</v>
      </c>
      <c r="C43" s="356"/>
      <c r="D43" s="356"/>
      <c r="E43" s="356"/>
      <c r="F43" s="356"/>
      <c r="G43" s="356"/>
      <c r="H43" s="5"/>
      <c r="I43" s="167">
        <v>0</v>
      </c>
      <c r="J43" s="32" t="s">
        <v>445</v>
      </c>
    </row>
    <row r="44" spans="1:10" ht="13" x14ac:dyDescent="0.3">
      <c r="A44" s="8" t="s">
        <v>41</v>
      </c>
      <c r="B44" s="356" t="s">
        <v>42</v>
      </c>
      <c r="C44" s="356"/>
      <c r="D44" s="356"/>
      <c r="E44" s="356"/>
      <c r="F44" s="356"/>
      <c r="G44" s="356"/>
      <c r="H44" s="2"/>
      <c r="I44" s="167">
        <v>0</v>
      </c>
    </row>
    <row r="45" spans="1:10" ht="13" x14ac:dyDescent="0.3">
      <c r="A45" s="364" t="s">
        <v>43</v>
      </c>
      <c r="B45" s="355"/>
      <c r="C45" s="355"/>
      <c r="D45" s="355"/>
      <c r="E45" s="355"/>
      <c r="F45" s="355"/>
      <c r="G45" s="355"/>
      <c r="H45" s="355"/>
      <c r="I45" s="168">
        <f>SUM(I39:I44)</f>
        <v>2878.21</v>
      </c>
    </row>
    <row r="46" spans="1:10" s="10" customFormat="1" ht="13" x14ac:dyDescent="0.3"/>
    <row r="47" spans="1:10" s="10" customFormat="1" ht="13" x14ac:dyDescent="0.3">
      <c r="A47" s="37" t="s">
        <v>44</v>
      </c>
    </row>
    <row r="48" spans="1:10" s="10" customFormat="1" ht="13" x14ac:dyDescent="0.3">
      <c r="A48" s="37" t="s">
        <v>45</v>
      </c>
    </row>
    <row r="49" spans="1:11" ht="13" x14ac:dyDescent="0.3">
      <c r="A49" s="3"/>
      <c r="B49" s="3"/>
      <c r="C49" s="3"/>
      <c r="D49" s="3"/>
      <c r="E49" s="3"/>
      <c r="F49" s="3"/>
      <c r="G49" s="3"/>
      <c r="H49" s="3"/>
      <c r="I49" s="4"/>
    </row>
    <row r="50" spans="1:11" ht="13" x14ac:dyDescent="0.3">
      <c r="A50" s="365" t="s">
        <v>46</v>
      </c>
      <c r="B50" s="365"/>
      <c r="C50" s="365"/>
      <c r="D50" s="365"/>
      <c r="E50" s="365"/>
      <c r="F50" s="365"/>
      <c r="G50" s="365"/>
      <c r="H50" s="365"/>
      <c r="I50" s="365"/>
    </row>
    <row r="51" spans="1:11" ht="13" x14ac:dyDescent="0.3">
      <c r="A51" s="47" t="s">
        <v>47</v>
      </c>
      <c r="B51" s="394" t="s">
        <v>48</v>
      </c>
      <c r="C51" s="395"/>
      <c r="D51" s="395"/>
      <c r="E51" s="395"/>
      <c r="F51" s="395"/>
      <c r="G51" s="396"/>
      <c r="H51" s="8" t="s">
        <v>33</v>
      </c>
      <c r="I51" s="8" t="s">
        <v>34</v>
      </c>
    </row>
    <row r="52" spans="1:11" ht="13" x14ac:dyDescent="0.3">
      <c r="A52" s="8" t="s">
        <v>4</v>
      </c>
      <c r="B52" s="356" t="s">
        <v>49</v>
      </c>
      <c r="C52" s="356"/>
      <c r="D52" s="356"/>
      <c r="E52" s="356"/>
      <c r="F52" s="356"/>
      <c r="G52" s="356"/>
      <c r="H52" s="1">
        <f>1/12</f>
        <v>8.3333333333333329E-2</v>
      </c>
      <c r="I52" s="25">
        <f>$I$45*H52</f>
        <v>239.85083333333333</v>
      </c>
      <c r="K52" s="87"/>
    </row>
    <row r="53" spans="1:11" ht="13" x14ac:dyDescent="0.3">
      <c r="A53" s="8" t="s">
        <v>6</v>
      </c>
      <c r="B53" s="356" t="s">
        <v>50</v>
      </c>
      <c r="C53" s="356"/>
      <c r="D53" s="356"/>
      <c r="E53" s="356"/>
      <c r="F53" s="356"/>
      <c r="G53" s="356"/>
      <c r="H53" s="24">
        <v>0.121</v>
      </c>
      <c r="I53" s="25">
        <f>$I$45*H53</f>
        <v>348.26341000000002</v>
      </c>
    </row>
    <row r="54" spans="1:11" ht="13" x14ac:dyDescent="0.3">
      <c r="A54" s="355" t="s">
        <v>51</v>
      </c>
      <c r="B54" s="355"/>
      <c r="C54" s="355"/>
      <c r="D54" s="355"/>
      <c r="E54" s="355"/>
      <c r="F54" s="355"/>
      <c r="G54" s="355"/>
      <c r="H54" s="42">
        <f>TRUNC(SUM(H52:H53),4)</f>
        <v>0.20430000000000001</v>
      </c>
      <c r="I54" s="43">
        <f>SUM(I52:I53)</f>
        <v>588.11424333333332</v>
      </c>
    </row>
    <row r="55" spans="1:11" s="41" customFormat="1" ht="13" x14ac:dyDescent="0.25">
      <c r="A55" s="47" t="s">
        <v>8</v>
      </c>
      <c r="B55" s="387" t="s">
        <v>451</v>
      </c>
      <c r="C55" s="387"/>
      <c r="D55" s="387"/>
      <c r="E55" s="387"/>
      <c r="F55" s="387"/>
      <c r="G55" s="387"/>
      <c r="H55" s="163">
        <f>H54*H75</f>
        <v>7.518240000000001E-2</v>
      </c>
      <c r="I55" s="169">
        <f>$I$45*H55</f>
        <v>216.39073550400002</v>
      </c>
    </row>
    <row r="56" spans="1:11" ht="13" x14ac:dyDescent="0.3">
      <c r="A56" s="355" t="s">
        <v>52</v>
      </c>
      <c r="B56" s="355"/>
      <c r="C56" s="355"/>
      <c r="D56" s="355"/>
      <c r="E56" s="355"/>
      <c r="F56" s="355"/>
      <c r="G56" s="355"/>
      <c r="H56" s="42">
        <f>TRUNC(SUM(H54:H55),4)</f>
        <v>0.27939999999999998</v>
      </c>
      <c r="I56" s="43">
        <f>SUM(I54:I55)</f>
        <v>804.50497883733328</v>
      </c>
    </row>
    <row r="57" spans="1:11" ht="13" x14ac:dyDescent="0.3">
      <c r="A57" s="3"/>
      <c r="B57" s="3"/>
      <c r="C57" s="3"/>
      <c r="D57" s="3"/>
      <c r="E57" s="3"/>
      <c r="F57" s="3"/>
      <c r="G57" s="3"/>
      <c r="H57" s="44"/>
      <c r="I57" s="4"/>
    </row>
    <row r="58" spans="1:11" ht="13" x14ac:dyDescent="0.3">
      <c r="A58" s="37" t="s">
        <v>53</v>
      </c>
      <c r="B58" s="3"/>
      <c r="C58" s="3"/>
      <c r="D58" s="3"/>
      <c r="E58" s="3"/>
      <c r="F58" s="3"/>
      <c r="G58" s="3"/>
      <c r="H58" s="44"/>
      <c r="I58" s="4"/>
    </row>
    <row r="59" spans="1:11" ht="13" x14ac:dyDescent="0.3">
      <c r="A59" s="37" t="s">
        <v>54</v>
      </c>
      <c r="B59" s="3"/>
      <c r="C59" s="3"/>
      <c r="D59" s="3"/>
      <c r="E59" s="3"/>
      <c r="F59" s="3"/>
      <c r="G59" s="3"/>
      <c r="H59" s="44"/>
      <c r="I59" s="4"/>
    </row>
    <row r="60" spans="1:11" ht="13" x14ac:dyDescent="0.3">
      <c r="A60" s="37" t="s">
        <v>55</v>
      </c>
      <c r="B60" s="3"/>
      <c r="C60" s="3"/>
      <c r="D60" s="3"/>
      <c r="E60" s="3"/>
      <c r="F60" s="3"/>
      <c r="G60" s="3"/>
      <c r="H60" s="44"/>
      <c r="I60" s="4"/>
    </row>
    <row r="61" spans="1:11" ht="13" x14ac:dyDescent="0.3">
      <c r="A61" s="37" t="s">
        <v>56</v>
      </c>
      <c r="B61" s="10"/>
      <c r="C61" s="10"/>
      <c r="D61" s="10"/>
      <c r="E61" s="10"/>
      <c r="F61" s="10"/>
      <c r="G61" s="10"/>
      <c r="H61" s="10"/>
      <c r="I61" s="10"/>
    </row>
    <row r="62" spans="1:11" ht="13" x14ac:dyDescent="0.3">
      <c r="A62" s="37" t="s">
        <v>57</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58</v>
      </c>
      <c r="B66" s="397" t="s">
        <v>59</v>
      </c>
      <c r="C66" s="398"/>
      <c r="D66" s="398"/>
      <c r="E66" s="398"/>
      <c r="F66" s="398"/>
      <c r="G66" s="399"/>
      <c r="H66" s="34" t="s">
        <v>33</v>
      </c>
      <c r="I66" s="34" t="s">
        <v>34</v>
      </c>
      <c r="K66" s="32"/>
      <c r="L66" s="31"/>
    </row>
    <row r="67" spans="1:12" ht="13" x14ac:dyDescent="0.3">
      <c r="A67" s="8" t="s">
        <v>4</v>
      </c>
      <c r="B67" s="356" t="s">
        <v>60</v>
      </c>
      <c r="C67" s="356"/>
      <c r="D67" s="356"/>
      <c r="E67" s="356"/>
      <c r="F67" s="356"/>
      <c r="G67" s="356"/>
      <c r="H67" s="1">
        <v>0.2</v>
      </c>
      <c r="I67" s="25">
        <f t="shared" ref="I67:I74" si="0">H67*($I$45)</f>
        <v>575.64200000000005</v>
      </c>
      <c r="K67" s="33"/>
      <c r="L67" s="31"/>
    </row>
    <row r="68" spans="1:12" ht="13" x14ac:dyDescent="0.3">
      <c r="A68" s="8" t="s">
        <v>6</v>
      </c>
      <c r="B68" s="356" t="s">
        <v>61</v>
      </c>
      <c r="C68" s="356"/>
      <c r="D68" s="356"/>
      <c r="E68" s="356"/>
      <c r="F68" s="356"/>
      <c r="G68" s="356"/>
      <c r="H68" s="1">
        <v>2.5000000000000001E-2</v>
      </c>
      <c r="I68" s="25">
        <f t="shared" si="0"/>
        <v>71.955250000000007</v>
      </c>
      <c r="K68" s="32"/>
    </row>
    <row r="69" spans="1:12" ht="13" x14ac:dyDescent="0.3">
      <c r="A69" s="8" t="s">
        <v>8</v>
      </c>
      <c r="B69" s="356" t="s">
        <v>62</v>
      </c>
      <c r="C69" s="356"/>
      <c r="D69" s="356"/>
      <c r="E69" s="356"/>
      <c r="F69" s="356"/>
      <c r="G69" s="356"/>
      <c r="H69" s="1">
        <v>0.03</v>
      </c>
      <c r="I69" s="25">
        <f t="shared" si="0"/>
        <v>86.346299999999999</v>
      </c>
      <c r="J69" s="32" t="s">
        <v>446</v>
      </c>
      <c r="K69" s="32"/>
    </row>
    <row r="70" spans="1:12" ht="13" x14ac:dyDescent="0.3">
      <c r="A70" s="8" t="s">
        <v>10</v>
      </c>
      <c r="B70" s="356" t="s">
        <v>63</v>
      </c>
      <c r="C70" s="356"/>
      <c r="D70" s="356"/>
      <c r="E70" s="356"/>
      <c r="F70" s="356"/>
      <c r="G70" s="356"/>
      <c r="H70" s="1">
        <v>1.4999999999999999E-2</v>
      </c>
      <c r="I70" s="25">
        <f t="shared" si="0"/>
        <v>43.17315</v>
      </c>
    </row>
    <row r="71" spans="1:12" ht="13" x14ac:dyDescent="0.3">
      <c r="A71" s="8" t="s">
        <v>39</v>
      </c>
      <c r="B71" s="356" t="s">
        <v>64</v>
      </c>
      <c r="C71" s="356"/>
      <c r="D71" s="356"/>
      <c r="E71" s="356"/>
      <c r="F71" s="356"/>
      <c r="G71" s="356"/>
      <c r="H71" s="1">
        <v>0.01</v>
      </c>
      <c r="I71" s="25">
        <f t="shared" si="0"/>
        <v>28.7821</v>
      </c>
    </row>
    <row r="72" spans="1:12" ht="13" x14ac:dyDescent="0.3">
      <c r="A72" s="8" t="s">
        <v>41</v>
      </c>
      <c r="B72" s="356" t="s">
        <v>65</v>
      </c>
      <c r="C72" s="356"/>
      <c r="D72" s="356"/>
      <c r="E72" s="356"/>
      <c r="F72" s="356"/>
      <c r="G72" s="356"/>
      <c r="H72" s="1">
        <v>6.0000000000000001E-3</v>
      </c>
      <c r="I72" s="25">
        <f t="shared" si="0"/>
        <v>17.269259999999999</v>
      </c>
    </row>
    <row r="73" spans="1:12" ht="13" x14ac:dyDescent="0.3">
      <c r="A73" s="8" t="s">
        <v>66</v>
      </c>
      <c r="B73" s="356" t="s">
        <v>67</v>
      </c>
      <c r="C73" s="356"/>
      <c r="D73" s="356"/>
      <c r="E73" s="356"/>
      <c r="F73" s="356"/>
      <c r="G73" s="356"/>
      <c r="H73" s="1">
        <v>2E-3</v>
      </c>
      <c r="I73" s="25">
        <f t="shared" si="0"/>
        <v>5.7564200000000003</v>
      </c>
    </row>
    <row r="74" spans="1:12" ht="13" x14ac:dyDescent="0.3">
      <c r="A74" s="8" t="s">
        <v>68</v>
      </c>
      <c r="B74" s="356" t="s">
        <v>69</v>
      </c>
      <c r="C74" s="356"/>
      <c r="D74" s="356"/>
      <c r="E74" s="356"/>
      <c r="F74" s="356"/>
      <c r="G74" s="356"/>
      <c r="H74" s="1">
        <v>0.08</v>
      </c>
      <c r="I74" s="25">
        <f t="shared" si="0"/>
        <v>230.2568</v>
      </c>
    </row>
    <row r="75" spans="1:12" ht="13" x14ac:dyDescent="0.3">
      <c r="A75" s="355" t="s">
        <v>70</v>
      </c>
      <c r="B75" s="355"/>
      <c r="C75" s="355"/>
      <c r="D75" s="355"/>
      <c r="E75" s="355"/>
      <c r="F75" s="355"/>
      <c r="G75" s="355"/>
      <c r="H75" s="42">
        <f>SUM(H67:H74)</f>
        <v>0.36800000000000005</v>
      </c>
      <c r="I75" s="43">
        <f>SUM(I67:I74)</f>
        <v>1059.1812800000002</v>
      </c>
      <c r="K75" s="21"/>
    </row>
    <row r="76" spans="1:12" ht="13" x14ac:dyDescent="0.3">
      <c r="A76" s="3"/>
      <c r="B76" s="3"/>
      <c r="C76" s="3"/>
      <c r="D76" s="3"/>
      <c r="E76" s="3"/>
      <c r="F76" s="3"/>
      <c r="G76" s="3"/>
      <c r="H76" s="44"/>
      <c r="I76" s="4"/>
      <c r="K76" s="21"/>
    </row>
    <row r="77" spans="1:12" ht="13" x14ac:dyDescent="0.3">
      <c r="A77" s="37" t="s">
        <v>71</v>
      </c>
      <c r="B77" s="3"/>
      <c r="C77" s="3"/>
      <c r="D77" s="3"/>
      <c r="E77" s="3"/>
      <c r="F77" s="3"/>
      <c r="G77" s="3"/>
      <c r="H77" s="44"/>
      <c r="I77" s="4"/>
      <c r="K77" s="21"/>
    </row>
    <row r="78" spans="1:12" ht="13" x14ac:dyDescent="0.3">
      <c r="A78" s="37" t="s">
        <v>72</v>
      </c>
      <c r="B78" s="3"/>
      <c r="C78" s="3"/>
      <c r="D78" s="3"/>
      <c r="E78" s="3"/>
      <c r="F78" s="3"/>
      <c r="G78" s="3"/>
      <c r="H78" s="44"/>
      <c r="I78" s="4"/>
      <c r="K78" s="21"/>
    </row>
    <row r="79" spans="1:12" ht="13" x14ac:dyDescent="0.3">
      <c r="A79" s="37" t="s">
        <v>73</v>
      </c>
      <c r="B79" s="3"/>
      <c r="C79" s="3"/>
      <c r="D79" s="3"/>
      <c r="E79" s="3"/>
      <c r="F79" s="3"/>
      <c r="G79" s="3"/>
      <c r="H79" s="44"/>
      <c r="I79" s="4"/>
      <c r="K79" s="21"/>
    </row>
    <row r="80" spans="1:12" ht="13" x14ac:dyDescent="0.3">
      <c r="A80" s="37" t="s">
        <v>74</v>
      </c>
      <c r="B80" s="3"/>
      <c r="C80" s="3"/>
      <c r="D80" s="3"/>
      <c r="E80" s="3"/>
      <c r="F80" s="3"/>
      <c r="G80" s="3"/>
      <c r="H80" s="44"/>
      <c r="I80" s="4"/>
      <c r="K80" s="21"/>
    </row>
    <row r="81" spans="1:11" ht="13" x14ac:dyDescent="0.3">
      <c r="A81" s="37" t="s">
        <v>75</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76</v>
      </c>
      <c r="B83" s="358" t="s">
        <v>77</v>
      </c>
      <c r="C83" s="359"/>
      <c r="D83" s="359"/>
      <c r="E83" s="359"/>
      <c r="F83" s="359"/>
      <c r="G83" s="360"/>
      <c r="H83" s="42"/>
      <c r="I83" s="34" t="s">
        <v>34</v>
      </c>
    </row>
    <row r="84" spans="1:11" ht="13" x14ac:dyDescent="0.3">
      <c r="A84" s="8" t="s">
        <v>4</v>
      </c>
      <c r="B84" s="367" t="s">
        <v>78</v>
      </c>
      <c r="C84" s="367"/>
      <c r="D84" s="367"/>
      <c r="E84" s="367"/>
      <c r="F84" s="367"/>
      <c r="G84" s="367"/>
      <c r="H84" s="23" t="s">
        <v>79</v>
      </c>
      <c r="I84" s="27">
        <f>'Mód2.3'!E12</f>
        <v>3.3074000000000012</v>
      </c>
    </row>
    <row r="85" spans="1:11" ht="13" x14ac:dyDescent="0.3">
      <c r="A85" s="8" t="s">
        <v>6</v>
      </c>
      <c r="B85" s="367" t="s">
        <v>80</v>
      </c>
      <c r="C85" s="367"/>
      <c r="D85" s="367"/>
      <c r="E85" s="367"/>
      <c r="F85" s="367"/>
      <c r="G85" s="367"/>
      <c r="H85" s="23" t="s">
        <v>79</v>
      </c>
      <c r="I85" s="27">
        <f>'Mód2.3'!E25</f>
        <v>504.9</v>
      </c>
    </row>
    <row r="86" spans="1:11" ht="13" x14ac:dyDescent="0.3">
      <c r="A86" s="8" t="s">
        <v>8</v>
      </c>
      <c r="B86" s="367" t="s">
        <v>81</v>
      </c>
      <c r="C86" s="367"/>
      <c r="D86" s="367"/>
      <c r="E86" s="367"/>
      <c r="F86" s="367"/>
      <c r="G86" s="367"/>
      <c r="H86" s="23" t="s">
        <v>79</v>
      </c>
      <c r="I86" s="27">
        <f>'Mód2.3'!E33</f>
        <v>0</v>
      </c>
    </row>
    <row r="87" spans="1:11" ht="25.5" customHeight="1" x14ac:dyDescent="0.25">
      <c r="A87" s="47" t="s">
        <v>10</v>
      </c>
      <c r="B87" s="377" t="s">
        <v>82</v>
      </c>
      <c r="C87" s="377"/>
      <c r="D87" s="377"/>
      <c r="E87" s="377"/>
      <c r="F87" s="377"/>
      <c r="G87" s="377"/>
      <c r="H87" s="36" t="s">
        <v>79</v>
      </c>
      <c r="I87" s="169">
        <f>'Mód2.3'!E42</f>
        <v>0</v>
      </c>
    </row>
    <row r="88" spans="1:11" ht="13" x14ac:dyDescent="0.3">
      <c r="A88" s="8" t="s">
        <v>39</v>
      </c>
      <c r="B88" s="367" t="s">
        <v>83</v>
      </c>
      <c r="C88" s="367"/>
      <c r="D88" s="367"/>
      <c r="E88" s="367"/>
      <c r="F88" s="367"/>
      <c r="G88" s="367"/>
      <c r="H88" s="23" t="s">
        <v>79</v>
      </c>
      <c r="I88" s="27">
        <f>'Mód2.3'!E52</f>
        <v>6</v>
      </c>
    </row>
    <row r="89" spans="1:11" ht="13" x14ac:dyDescent="0.3">
      <c r="A89" s="8" t="s">
        <v>41</v>
      </c>
      <c r="B89" s="367" t="s">
        <v>84</v>
      </c>
      <c r="C89" s="367"/>
      <c r="D89" s="367"/>
      <c r="E89" s="367"/>
      <c r="F89" s="367"/>
      <c r="G89" s="367"/>
      <c r="H89" s="23" t="s">
        <v>79</v>
      </c>
      <c r="I89" s="27">
        <f>'Mód2.3'!E60</f>
        <v>0</v>
      </c>
    </row>
    <row r="90" spans="1:11" ht="13" x14ac:dyDescent="0.3">
      <c r="A90" s="355" t="s">
        <v>85</v>
      </c>
      <c r="B90" s="355"/>
      <c r="C90" s="355"/>
      <c r="D90" s="355"/>
      <c r="E90" s="355"/>
      <c r="F90" s="355"/>
      <c r="G90" s="355"/>
      <c r="H90" s="355"/>
      <c r="I90" s="43">
        <f>SUM(I84:I89)</f>
        <v>514.20740000000001</v>
      </c>
    </row>
    <row r="91" spans="1:11" ht="13" x14ac:dyDescent="0.3">
      <c r="A91" s="3"/>
      <c r="B91" s="3"/>
      <c r="C91" s="3"/>
      <c r="D91" s="3"/>
      <c r="E91" s="3"/>
      <c r="F91" s="3"/>
      <c r="G91" s="3"/>
      <c r="H91" s="3"/>
      <c r="I91" s="4"/>
    </row>
    <row r="92" spans="1:11" ht="13" x14ac:dyDescent="0.3">
      <c r="A92" s="37" t="s">
        <v>86</v>
      </c>
      <c r="B92" s="3"/>
      <c r="C92" s="3"/>
      <c r="D92" s="3"/>
      <c r="E92" s="3"/>
      <c r="F92" s="3"/>
      <c r="G92" s="3"/>
      <c r="H92" s="3"/>
      <c r="I92" s="4"/>
    </row>
    <row r="93" spans="1:11" ht="13" x14ac:dyDescent="0.3">
      <c r="A93" s="37" t="s">
        <v>87</v>
      </c>
      <c r="B93" s="3"/>
      <c r="C93" s="3"/>
      <c r="D93" s="3"/>
      <c r="E93" s="3"/>
      <c r="F93" s="3"/>
      <c r="G93" s="3"/>
      <c r="H93" s="3"/>
      <c r="I93" s="4"/>
    </row>
    <row r="94" spans="1:11" ht="13" x14ac:dyDescent="0.3">
      <c r="A94" s="37" t="s">
        <v>88</v>
      </c>
      <c r="B94" s="3"/>
      <c r="C94" s="3"/>
      <c r="D94" s="3"/>
      <c r="E94" s="3"/>
      <c r="F94" s="3"/>
      <c r="G94" s="3"/>
      <c r="H94" s="3"/>
      <c r="I94" s="4"/>
    </row>
    <row r="95" spans="1:11" ht="13" x14ac:dyDescent="0.3">
      <c r="A95" s="37" t="s">
        <v>89</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90</v>
      </c>
      <c r="C97" s="48"/>
      <c r="D97" s="48"/>
      <c r="E97" s="48"/>
      <c r="F97" s="48"/>
      <c r="G97" s="48"/>
      <c r="H97" s="48"/>
      <c r="I97" s="48"/>
    </row>
    <row r="98" spans="1:11" ht="13" x14ac:dyDescent="0.3">
      <c r="A98" s="366" t="s">
        <v>91</v>
      </c>
      <c r="B98" s="366"/>
      <c r="C98" s="366"/>
      <c r="D98" s="366"/>
      <c r="E98" s="366"/>
      <c r="F98" s="366"/>
      <c r="G98" s="366"/>
      <c r="H98" s="366"/>
      <c r="I98" s="8" t="s">
        <v>34</v>
      </c>
    </row>
    <row r="99" spans="1:11" ht="13" x14ac:dyDescent="0.3">
      <c r="A99" s="8" t="s">
        <v>47</v>
      </c>
      <c r="B99" s="392" t="s">
        <v>92</v>
      </c>
      <c r="C99" s="392"/>
      <c r="D99" s="392"/>
      <c r="E99" s="392"/>
      <c r="F99" s="392"/>
      <c r="G99" s="392"/>
      <c r="H99" s="392"/>
      <c r="I99" s="25">
        <f>I56</f>
        <v>804.50497883733328</v>
      </c>
    </row>
    <row r="100" spans="1:11" ht="13" x14ac:dyDescent="0.3">
      <c r="A100" s="8" t="s">
        <v>58</v>
      </c>
      <c r="B100" s="392" t="s">
        <v>93</v>
      </c>
      <c r="C100" s="392"/>
      <c r="D100" s="392"/>
      <c r="E100" s="392"/>
      <c r="F100" s="392"/>
      <c r="G100" s="392"/>
      <c r="H100" s="392"/>
      <c r="I100" s="25">
        <f>I75</f>
        <v>1059.1812800000002</v>
      </c>
    </row>
    <row r="101" spans="1:11" ht="13" x14ac:dyDescent="0.3">
      <c r="A101" s="8" t="s">
        <v>76</v>
      </c>
      <c r="B101" s="392" t="s">
        <v>94</v>
      </c>
      <c r="C101" s="392"/>
      <c r="D101" s="392"/>
      <c r="E101" s="392"/>
      <c r="F101" s="392"/>
      <c r="G101" s="392"/>
      <c r="H101" s="392"/>
      <c r="I101" s="25">
        <f>I90</f>
        <v>514.20740000000001</v>
      </c>
    </row>
    <row r="102" spans="1:11" ht="13" x14ac:dyDescent="0.3">
      <c r="A102" s="364" t="s">
        <v>95</v>
      </c>
      <c r="B102" s="364"/>
      <c r="C102" s="364"/>
      <c r="D102" s="364"/>
      <c r="E102" s="364"/>
      <c r="F102" s="364"/>
      <c r="G102" s="364"/>
      <c r="H102" s="364"/>
      <c r="I102" s="302">
        <f>SUM(I99:I101)</f>
        <v>2377.8936588373335</v>
      </c>
      <c r="K102" s="7"/>
    </row>
    <row r="103" spans="1:11" ht="13" x14ac:dyDescent="0.3">
      <c r="A103" s="369"/>
      <c r="B103" s="370"/>
      <c r="C103" s="370"/>
      <c r="D103" s="370"/>
      <c r="E103" s="370"/>
      <c r="F103" s="370"/>
      <c r="G103" s="370"/>
      <c r="H103" s="370"/>
      <c r="I103" s="370"/>
    </row>
    <row r="104" spans="1:11" ht="13" x14ac:dyDescent="0.3">
      <c r="A104" s="365" t="s">
        <v>96</v>
      </c>
      <c r="B104" s="365"/>
      <c r="C104" s="365"/>
      <c r="D104" s="365"/>
      <c r="E104" s="365"/>
      <c r="F104" s="365"/>
      <c r="G104" s="365"/>
      <c r="H104" s="365"/>
      <c r="I104" s="365"/>
    </row>
    <row r="105" spans="1:11" ht="13" x14ac:dyDescent="0.3">
      <c r="A105" s="8">
        <v>3</v>
      </c>
      <c r="B105" s="366" t="s">
        <v>97</v>
      </c>
      <c r="C105" s="366"/>
      <c r="D105" s="366"/>
      <c r="E105" s="366"/>
      <c r="F105" s="366"/>
      <c r="G105" s="366"/>
      <c r="H105" s="8" t="s">
        <v>33</v>
      </c>
      <c r="I105" s="8" t="s">
        <v>34</v>
      </c>
    </row>
    <row r="106" spans="1:11" ht="13" x14ac:dyDescent="0.3">
      <c r="A106" s="8" t="s">
        <v>4</v>
      </c>
      <c r="B106" s="356" t="s">
        <v>98</v>
      </c>
      <c r="C106" s="356"/>
      <c r="D106" s="356"/>
      <c r="E106" s="356"/>
      <c r="F106" s="356"/>
      <c r="G106" s="356"/>
      <c r="H106" s="1">
        <v>4.1999999999999997E-3</v>
      </c>
      <c r="I106" s="25">
        <f>H106*I45</f>
        <v>12.088481999999999</v>
      </c>
    </row>
    <row r="107" spans="1:11" ht="13" x14ac:dyDescent="0.25">
      <c r="A107" s="47" t="s">
        <v>6</v>
      </c>
      <c r="B107" s="379" t="s">
        <v>99</v>
      </c>
      <c r="C107" s="379"/>
      <c r="D107" s="379"/>
      <c r="E107" s="379"/>
      <c r="F107" s="379"/>
      <c r="G107" s="379"/>
      <c r="H107" s="163">
        <f>H74</f>
        <v>0.08</v>
      </c>
      <c r="I107" s="164">
        <f>I106*H107</f>
        <v>0.96707855999999992</v>
      </c>
    </row>
    <row r="108" spans="1:11" ht="24.75" customHeight="1" x14ac:dyDescent="0.25">
      <c r="A108" s="47" t="s">
        <v>8</v>
      </c>
      <c r="B108" s="379" t="s">
        <v>100</v>
      </c>
      <c r="C108" s="379"/>
      <c r="D108" s="379"/>
      <c r="E108" s="379"/>
      <c r="F108" s="379"/>
      <c r="G108" s="379"/>
      <c r="H108" s="163">
        <v>2E-3</v>
      </c>
      <c r="I108" s="164">
        <f>H108*I45</f>
        <v>5.7564200000000003</v>
      </c>
    </row>
    <row r="109" spans="1:11" ht="13" x14ac:dyDescent="0.3">
      <c r="A109" s="8" t="s">
        <v>10</v>
      </c>
      <c r="B109" s="356" t="s">
        <v>101</v>
      </c>
      <c r="C109" s="356"/>
      <c r="D109" s="356"/>
      <c r="E109" s="356"/>
      <c r="F109" s="356"/>
      <c r="G109" s="356"/>
      <c r="H109" s="1">
        <v>1.9400000000000001E-2</v>
      </c>
      <c r="I109" s="25">
        <f>H109*I45</f>
        <v>55.837274000000001</v>
      </c>
    </row>
    <row r="110" spans="1:11" ht="13" x14ac:dyDescent="0.3">
      <c r="A110" s="8" t="s">
        <v>39</v>
      </c>
      <c r="B110" s="378" t="s">
        <v>102</v>
      </c>
      <c r="C110" s="378"/>
      <c r="D110" s="378"/>
      <c r="E110" s="378"/>
      <c r="F110" s="378"/>
      <c r="G110" s="378"/>
      <c r="H110" s="24">
        <f>H75</f>
        <v>0.36800000000000005</v>
      </c>
      <c r="I110" s="25">
        <f>I109*H110</f>
        <v>20.548116832000002</v>
      </c>
    </row>
    <row r="111" spans="1:11" ht="25.5" customHeight="1" x14ac:dyDescent="0.25">
      <c r="A111" s="47" t="s">
        <v>41</v>
      </c>
      <c r="B111" s="379" t="s">
        <v>103</v>
      </c>
      <c r="C111" s="379"/>
      <c r="D111" s="379"/>
      <c r="E111" s="379"/>
      <c r="F111" s="379"/>
      <c r="G111" s="379"/>
      <c r="H111" s="163">
        <v>3.7999999999999999E-2</v>
      </c>
      <c r="I111" s="164">
        <f>H111*I45</f>
        <v>109.37197999999999</v>
      </c>
      <c r="K111" s="7"/>
    </row>
    <row r="112" spans="1:11" ht="13" x14ac:dyDescent="0.3">
      <c r="A112" s="364" t="s">
        <v>104</v>
      </c>
      <c r="B112" s="364"/>
      <c r="C112" s="364"/>
      <c r="D112" s="364"/>
      <c r="E112" s="364"/>
      <c r="F112" s="364"/>
      <c r="G112" s="364"/>
      <c r="H112" s="42"/>
      <c r="I112" s="129">
        <f>SUM(I106:I111)</f>
        <v>204.56935139199999</v>
      </c>
    </row>
    <row r="113" spans="1:11" ht="13" x14ac:dyDescent="0.3">
      <c r="A113" s="380"/>
      <c r="B113" s="381"/>
      <c r="C113" s="381"/>
      <c r="D113" s="381"/>
      <c r="E113" s="381"/>
      <c r="F113" s="381"/>
      <c r="G113" s="381"/>
      <c r="H113" s="381"/>
      <c r="I113" s="381"/>
    </row>
    <row r="114" spans="1:11" ht="13" x14ac:dyDescent="0.3">
      <c r="A114" s="365" t="s">
        <v>105</v>
      </c>
      <c r="B114" s="365"/>
      <c r="C114" s="365"/>
      <c r="D114" s="365"/>
      <c r="E114" s="365"/>
      <c r="F114" s="365"/>
      <c r="G114" s="365"/>
      <c r="H114" s="365"/>
      <c r="I114" s="365"/>
    </row>
    <row r="115" spans="1:11" ht="13" x14ac:dyDescent="0.3">
      <c r="A115" s="3"/>
      <c r="B115" s="3"/>
      <c r="C115" s="3"/>
      <c r="D115" s="3"/>
      <c r="E115" s="3"/>
      <c r="F115" s="3"/>
      <c r="G115" s="3"/>
      <c r="H115" s="3"/>
      <c r="I115" s="3"/>
    </row>
    <row r="116" spans="1:11" ht="13" x14ac:dyDescent="0.3">
      <c r="A116" s="37" t="s">
        <v>106</v>
      </c>
      <c r="B116" s="3"/>
      <c r="C116" s="3"/>
      <c r="D116" s="3"/>
      <c r="E116" s="3"/>
      <c r="F116" s="3"/>
      <c r="G116" s="3"/>
      <c r="H116" s="3"/>
      <c r="I116" s="3"/>
    </row>
    <row r="117" spans="1:11" ht="13" x14ac:dyDescent="0.3">
      <c r="A117" s="37" t="s">
        <v>107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108</v>
      </c>
      <c r="B119" s="355" t="s">
        <v>109</v>
      </c>
      <c r="C119" s="355"/>
      <c r="D119" s="355"/>
      <c r="E119" s="355"/>
      <c r="F119" s="355"/>
      <c r="G119" s="355"/>
      <c r="H119" s="34" t="s">
        <v>33</v>
      </c>
      <c r="I119" s="34" t="s">
        <v>34</v>
      </c>
    </row>
    <row r="120" spans="1:11" ht="13" x14ac:dyDescent="0.3">
      <c r="A120" s="49" t="s">
        <v>4</v>
      </c>
      <c r="B120" s="356" t="s">
        <v>110</v>
      </c>
      <c r="C120" s="356"/>
      <c r="D120" s="356"/>
      <c r="E120" s="356"/>
      <c r="F120" s="356"/>
      <c r="G120" s="356"/>
      <c r="H120" s="43"/>
      <c r="I120" s="43"/>
    </row>
    <row r="121" spans="1:11" ht="13" x14ac:dyDescent="0.3">
      <c r="A121" s="8" t="s">
        <v>6</v>
      </c>
      <c r="B121" s="356" t="s">
        <v>111</v>
      </c>
      <c r="C121" s="356"/>
      <c r="D121" s="356"/>
      <c r="E121" s="356"/>
      <c r="F121" s="356"/>
      <c r="G121" s="356"/>
      <c r="H121" s="173">
        <v>1.67E-2</v>
      </c>
      <c r="I121" s="25">
        <f>H121*$I$45</f>
        <v>48.066107000000002</v>
      </c>
      <c r="J121" s="32" t="s">
        <v>447</v>
      </c>
      <c r="K121" s="166"/>
    </row>
    <row r="122" spans="1:11" ht="13" x14ac:dyDescent="0.3">
      <c r="A122" s="8" t="s">
        <v>8</v>
      </c>
      <c r="B122" s="356" t="s">
        <v>112</v>
      </c>
      <c r="C122" s="356"/>
      <c r="D122" s="356"/>
      <c r="E122" s="356"/>
      <c r="F122" s="356"/>
      <c r="G122" s="356"/>
      <c r="H122" s="173">
        <v>2.0000000000000001E-4</v>
      </c>
      <c r="I122" s="25">
        <f>H122*$I$45</f>
        <v>0.57564199999999999</v>
      </c>
      <c r="J122" s="32" t="s">
        <v>447</v>
      </c>
      <c r="K122" s="166"/>
    </row>
    <row r="123" spans="1:11" ht="13.5" x14ac:dyDescent="0.25">
      <c r="A123" s="47" t="s">
        <v>10</v>
      </c>
      <c r="B123" s="379" t="s">
        <v>113</v>
      </c>
      <c r="C123" s="379"/>
      <c r="D123" s="379"/>
      <c r="E123" s="379"/>
      <c r="F123" s="379"/>
      <c r="G123" s="379"/>
      <c r="H123" s="163">
        <v>6.9999999999999999E-4</v>
      </c>
      <c r="I123" s="164">
        <f>H123*$I$45</f>
        <v>2.0147469999999998</v>
      </c>
      <c r="J123" s="32" t="s">
        <v>447</v>
      </c>
    </row>
    <row r="124" spans="1:11" ht="13" x14ac:dyDescent="0.3">
      <c r="A124" s="8" t="s">
        <v>39</v>
      </c>
      <c r="B124" s="356" t="s">
        <v>114</v>
      </c>
      <c r="C124" s="356"/>
      <c r="D124" s="356"/>
      <c r="E124" s="356"/>
      <c r="F124" s="356"/>
      <c r="G124" s="356"/>
      <c r="H124" s="173">
        <v>2.8999999999999998E-3</v>
      </c>
      <c r="I124" s="25">
        <f>H124*$I$45</f>
        <v>8.3468090000000004</v>
      </c>
      <c r="J124" s="32" t="s">
        <v>447</v>
      </c>
    </row>
    <row r="125" spans="1:11" ht="13" x14ac:dyDescent="0.3">
      <c r="A125" s="8" t="s">
        <v>41</v>
      </c>
      <c r="B125" s="356" t="s">
        <v>115</v>
      </c>
      <c r="C125" s="356"/>
      <c r="D125" s="356"/>
      <c r="E125" s="356"/>
      <c r="F125" s="356"/>
      <c r="G125" s="356"/>
      <c r="H125" s="173"/>
      <c r="I125" s="25">
        <f t="shared" ref="I125" si="1">H125*$I$45</f>
        <v>0</v>
      </c>
      <c r="J125" s="32" t="s">
        <v>447</v>
      </c>
    </row>
    <row r="126" spans="1:11" ht="13" x14ac:dyDescent="0.3">
      <c r="A126" s="355" t="s">
        <v>116</v>
      </c>
      <c r="B126" s="355"/>
      <c r="C126" s="355"/>
      <c r="D126" s="355"/>
      <c r="E126" s="355"/>
      <c r="F126" s="355"/>
      <c r="G126" s="355"/>
      <c r="H126" s="42"/>
      <c r="I126" s="43">
        <f>SUM(I121:I125)</f>
        <v>59.003305000000005</v>
      </c>
    </row>
    <row r="127" spans="1:11" ht="13" x14ac:dyDescent="0.3">
      <c r="A127" s="8" t="s">
        <v>41</v>
      </c>
      <c r="B127" s="356" t="s">
        <v>117</v>
      </c>
      <c r="C127" s="356"/>
      <c r="D127" s="356"/>
      <c r="E127" s="356"/>
      <c r="F127" s="356"/>
      <c r="G127" s="356"/>
      <c r="H127" s="1">
        <f>H75</f>
        <v>0.36800000000000005</v>
      </c>
      <c r="I127" s="25">
        <f>I126*H127</f>
        <v>21.713216240000005</v>
      </c>
    </row>
    <row r="128" spans="1:11" ht="13" x14ac:dyDescent="0.3">
      <c r="A128" s="355" t="s">
        <v>118</v>
      </c>
      <c r="B128" s="355"/>
      <c r="C128" s="355"/>
      <c r="D128" s="355"/>
      <c r="E128" s="355"/>
      <c r="F128" s="355"/>
      <c r="G128" s="355"/>
      <c r="H128" s="42"/>
      <c r="I128" s="43">
        <f>SUM(I126:I127)</f>
        <v>80.716521240000006</v>
      </c>
    </row>
    <row r="129" spans="1:10" ht="13" x14ac:dyDescent="0.3">
      <c r="A129" s="3"/>
      <c r="B129" s="3"/>
      <c r="C129" s="3"/>
      <c r="D129" s="3"/>
      <c r="E129" s="3"/>
      <c r="F129" s="3"/>
      <c r="G129" s="3"/>
      <c r="H129" s="3"/>
      <c r="I129" s="3"/>
    </row>
    <row r="130" spans="1:10" ht="13" x14ac:dyDescent="0.3">
      <c r="A130" s="49" t="s">
        <v>119</v>
      </c>
      <c r="B130" s="358" t="s">
        <v>120</v>
      </c>
      <c r="C130" s="359"/>
      <c r="D130" s="359"/>
      <c r="E130" s="359"/>
      <c r="F130" s="359"/>
      <c r="G130" s="360"/>
      <c r="H130" s="34" t="s">
        <v>33</v>
      </c>
      <c r="I130" s="34" t="s">
        <v>34</v>
      </c>
    </row>
    <row r="131" spans="1:10" ht="13" x14ac:dyDescent="0.3">
      <c r="A131" s="8" t="s">
        <v>4</v>
      </c>
      <c r="B131" s="361" t="s">
        <v>121</v>
      </c>
      <c r="C131" s="362"/>
      <c r="D131" s="362"/>
      <c r="E131" s="362"/>
      <c r="F131" s="362"/>
      <c r="G131" s="363"/>
      <c r="H131" s="173">
        <v>0</v>
      </c>
      <c r="I131" s="25">
        <v>0</v>
      </c>
    </row>
    <row r="132" spans="1:10" ht="13" x14ac:dyDescent="0.3">
      <c r="A132" s="358" t="s">
        <v>122</v>
      </c>
      <c r="B132" s="359"/>
      <c r="C132" s="359"/>
      <c r="D132" s="359"/>
      <c r="E132" s="359"/>
      <c r="F132" s="359"/>
      <c r="G132" s="360"/>
      <c r="H132" s="42">
        <f>TRUNC(SUM(H131),4)</f>
        <v>0</v>
      </c>
      <c r="I132" s="43">
        <f>SUM(I131)</f>
        <v>0</v>
      </c>
    </row>
    <row r="133" spans="1:10" ht="13" x14ac:dyDescent="0.3">
      <c r="A133" s="51"/>
      <c r="B133" s="45"/>
      <c r="C133" s="45"/>
      <c r="D133" s="45"/>
      <c r="E133" s="45"/>
      <c r="F133" s="45"/>
      <c r="G133" s="45"/>
      <c r="H133" s="45"/>
      <c r="I133" s="45"/>
    </row>
    <row r="134" spans="1:10" ht="13" x14ac:dyDescent="0.3">
      <c r="A134" s="355" t="s">
        <v>123</v>
      </c>
      <c r="B134" s="355"/>
      <c r="C134" s="355"/>
      <c r="D134" s="355"/>
      <c r="E134" s="355"/>
      <c r="F134" s="355"/>
      <c r="G134" s="355"/>
      <c r="H134" s="355"/>
      <c r="I134" s="355"/>
    </row>
    <row r="135" spans="1:10" ht="13" x14ac:dyDescent="0.3">
      <c r="A135" s="47">
        <v>4</v>
      </c>
      <c r="B135" s="371" t="s">
        <v>124</v>
      </c>
      <c r="C135" s="372"/>
      <c r="D135" s="372"/>
      <c r="E135" s="372"/>
      <c r="F135" s="372"/>
      <c r="G135" s="373"/>
      <c r="H135" s="46"/>
      <c r="I135" s="8" t="s">
        <v>34</v>
      </c>
    </row>
    <row r="136" spans="1:10" ht="13" x14ac:dyDescent="0.3">
      <c r="A136" s="8" t="s">
        <v>108</v>
      </c>
      <c r="B136" s="374" t="s">
        <v>125</v>
      </c>
      <c r="C136" s="375"/>
      <c r="D136" s="375"/>
      <c r="E136" s="375"/>
      <c r="F136" s="375"/>
      <c r="G136" s="376"/>
      <c r="H136" s="22"/>
      <c r="I136" s="25">
        <f>I128</f>
        <v>80.716521240000006</v>
      </c>
    </row>
    <row r="137" spans="1:10" ht="13" x14ac:dyDescent="0.3">
      <c r="A137" s="8" t="s">
        <v>119</v>
      </c>
      <c r="B137" s="374" t="s">
        <v>126</v>
      </c>
      <c r="C137" s="375"/>
      <c r="D137" s="375"/>
      <c r="E137" s="375"/>
      <c r="F137" s="375"/>
      <c r="G137" s="376"/>
      <c r="H137" s="22"/>
      <c r="I137" s="25">
        <f>I132</f>
        <v>0</v>
      </c>
    </row>
    <row r="138" spans="1:10" ht="13" x14ac:dyDescent="0.3">
      <c r="A138" s="364" t="s">
        <v>127</v>
      </c>
      <c r="B138" s="364"/>
      <c r="C138" s="364"/>
      <c r="D138" s="364"/>
      <c r="E138" s="364"/>
      <c r="F138" s="364"/>
      <c r="G138" s="364"/>
      <c r="H138" s="364"/>
      <c r="I138" s="129">
        <f>SUM(I136:I137)</f>
        <v>80.716521240000006</v>
      </c>
    </row>
    <row r="139" spans="1:10" ht="13" x14ac:dyDescent="0.3">
      <c r="A139" s="369"/>
      <c r="B139" s="370"/>
      <c r="C139" s="370"/>
      <c r="D139" s="370"/>
      <c r="E139" s="370"/>
      <c r="F139" s="370"/>
      <c r="G139" s="370"/>
      <c r="H139" s="370"/>
      <c r="I139" s="370"/>
    </row>
    <row r="140" spans="1:10" ht="13" x14ac:dyDescent="0.3">
      <c r="A140" s="365" t="s">
        <v>128</v>
      </c>
      <c r="B140" s="365"/>
      <c r="C140" s="365"/>
      <c r="D140" s="365"/>
      <c r="E140" s="365"/>
      <c r="F140" s="365"/>
      <c r="G140" s="365"/>
      <c r="H140" s="365"/>
      <c r="I140" s="365"/>
    </row>
    <row r="141" spans="1:10" ht="13" x14ac:dyDescent="0.3">
      <c r="A141" s="8">
        <v>5</v>
      </c>
      <c r="B141" s="366" t="s">
        <v>129</v>
      </c>
      <c r="C141" s="366"/>
      <c r="D141" s="366"/>
      <c r="E141" s="366"/>
      <c r="F141" s="366"/>
      <c r="G141" s="366"/>
      <c r="H141" s="8"/>
      <c r="I141" s="8" t="s">
        <v>34</v>
      </c>
    </row>
    <row r="142" spans="1:10" ht="13" x14ac:dyDescent="0.3">
      <c r="A142" s="8" t="s">
        <v>4</v>
      </c>
      <c r="B142" s="367" t="s">
        <v>443</v>
      </c>
      <c r="C142" s="367"/>
      <c r="D142" s="367"/>
      <c r="E142" s="367"/>
      <c r="F142" s="367"/>
      <c r="G142" s="367"/>
      <c r="H142" s="23" t="s">
        <v>79</v>
      </c>
      <c r="I142" s="25" cm="1">
        <f t="array" ref="I142:J142">Uniforme!K70:L70</f>
        <v>44.599583333333342</v>
      </c>
      <c r="J142">
        <v>0</v>
      </c>
    </row>
    <row r="143" spans="1:10" ht="13" x14ac:dyDescent="0.3">
      <c r="A143" s="8" t="s">
        <v>6</v>
      </c>
      <c r="B143" s="367" t="s">
        <v>130</v>
      </c>
      <c r="C143" s="367"/>
      <c r="D143" s="367"/>
      <c r="E143" s="367"/>
      <c r="F143" s="367"/>
      <c r="G143" s="367"/>
      <c r="H143" s="23" t="s">
        <v>79</v>
      </c>
      <c r="I143" s="25">
        <v>0</v>
      </c>
    </row>
    <row r="144" spans="1:10" ht="13" x14ac:dyDescent="0.3">
      <c r="A144" s="28" t="s">
        <v>8</v>
      </c>
      <c r="B144" s="367" t="s">
        <v>131</v>
      </c>
      <c r="C144" s="367"/>
      <c r="D144" s="367"/>
      <c r="E144" s="367"/>
      <c r="F144" s="367"/>
      <c r="G144" s="367"/>
      <c r="H144" s="23" t="s">
        <v>79</v>
      </c>
      <c r="I144" s="25">
        <v>0</v>
      </c>
    </row>
    <row r="145" spans="1:13" ht="13" x14ac:dyDescent="0.3">
      <c r="A145" s="28" t="s">
        <v>10</v>
      </c>
      <c r="B145" s="367" t="s">
        <v>42</v>
      </c>
      <c r="C145" s="367"/>
      <c r="D145" s="367"/>
      <c r="E145" s="367"/>
      <c r="F145" s="367"/>
      <c r="G145" s="367"/>
      <c r="H145" s="23" t="s">
        <v>79</v>
      </c>
      <c r="I145" s="25">
        <v>0</v>
      </c>
    </row>
    <row r="146" spans="1:13" ht="13" x14ac:dyDescent="0.3">
      <c r="A146" s="364" t="s">
        <v>132</v>
      </c>
      <c r="B146" s="364"/>
      <c r="C146" s="364"/>
      <c r="D146" s="364"/>
      <c r="E146" s="364"/>
      <c r="F146" s="364"/>
      <c r="G146" s="364"/>
      <c r="H146" s="42" t="s">
        <v>79</v>
      </c>
      <c r="I146" s="129">
        <f>SUM(I142:I145)</f>
        <v>44.599583333333342</v>
      </c>
      <c r="K146" s="166"/>
    </row>
    <row r="147" spans="1:13" ht="13" x14ac:dyDescent="0.25">
      <c r="A147" s="53"/>
      <c r="B147" s="53"/>
      <c r="C147" s="53"/>
      <c r="D147" s="53"/>
      <c r="E147" s="53"/>
      <c r="F147" s="53"/>
      <c r="G147" s="53"/>
      <c r="H147" s="53"/>
      <c r="I147" s="53"/>
    </row>
    <row r="148" spans="1:13" ht="13" x14ac:dyDescent="0.3">
      <c r="A148" s="37" t="s">
        <v>133</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65" t="s">
        <v>134</v>
      </c>
      <c r="B150" s="365"/>
      <c r="C150" s="365"/>
      <c r="D150" s="365"/>
      <c r="E150" s="365"/>
      <c r="F150" s="365"/>
      <c r="G150" s="365"/>
      <c r="H150" s="365"/>
      <c r="I150" s="365"/>
    </row>
    <row r="151" spans="1:13" ht="13" x14ac:dyDescent="0.3">
      <c r="A151" s="8">
        <v>6</v>
      </c>
      <c r="B151" s="366" t="s">
        <v>135</v>
      </c>
      <c r="C151" s="366"/>
      <c r="D151" s="366"/>
      <c r="E151" s="366"/>
      <c r="F151" s="366"/>
      <c r="G151" s="366"/>
      <c r="H151" s="8" t="s">
        <v>33</v>
      </c>
      <c r="I151" s="8" t="s">
        <v>34</v>
      </c>
    </row>
    <row r="152" spans="1:13" ht="13" x14ac:dyDescent="0.3">
      <c r="A152" s="8" t="s">
        <v>4</v>
      </c>
      <c r="B152" s="356" t="s">
        <v>136</v>
      </c>
      <c r="C152" s="356"/>
      <c r="D152" s="356"/>
      <c r="E152" s="356"/>
      <c r="F152" s="356"/>
      <c r="G152" s="356"/>
      <c r="H152" s="29">
        <v>0.05</v>
      </c>
      <c r="I152" s="300">
        <f>H152*I170</f>
        <v>279.29945574013334</v>
      </c>
      <c r="J152" s="32" t="s">
        <v>448</v>
      </c>
    </row>
    <row r="153" spans="1:13" ht="13" x14ac:dyDescent="0.3">
      <c r="A153" s="8" t="s">
        <v>6</v>
      </c>
      <c r="B153" s="356" t="s">
        <v>137</v>
      </c>
      <c r="C153" s="356"/>
      <c r="D153" s="356"/>
      <c r="E153" s="356"/>
      <c r="F153" s="356"/>
      <c r="G153" s="356"/>
      <c r="H153" s="29">
        <v>0.1</v>
      </c>
      <c r="I153" s="300">
        <f>H153*(I152+I170)</f>
        <v>586.52885705428002</v>
      </c>
      <c r="J153" s="32" t="s">
        <v>448</v>
      </c>
    </row>
    <row r="154" spans="1:13" ht="13" x14ac:dyDescent="0.3">
      <c r="A154" s="8" t="s">
        <v>8</v>
      </c>
      <c r="B154" s="368" t="s">
        <v>138</v>
      </c>
      <c r="C154" s="368"/>
      <c r="D154" s="368"/>
      <c r="E154" s="368"/>
      <c r="F154" s="368"/>
      <c r="G154" s="368"/>
      <c r="H154" s="2"/>
      <c r="I154" s="30"/>
    </row>
    <row r="155" spans="1:13" ht="13" x14ac:dyDescent="0.3">
      <c r="A155" s="8" t="s">
        <v>139</v>
      </c>
      <c r="B155" s="356" t="s">
        <v>140</v>
      </c>
      <c r="C155" s="356"/>
      <c r="D155" s="356"/>
      <c r="E155" s="356"/>
      <c r="F155" s="356"/>
      <c r="G155" s="356"/>
      <c r="H155" s="6">
        <v>1.6500000000000001E-2</v>
      </c>
      <c r="I155" s="300">
        <f>H155*Mód6!I6</f>
        <v>124.14575808204295</v>
      </c>
      <c r="J155" s="32" t="s">
        <v>449</v>
      </c>
      <c r="K155" s="7"/>
    </row>
    <row r="156" spans="1:13" ht="13" x14ac:dyDescent="0.3">
      <c r="A156" s="8" t="s">
        <v>141</v>
      </c>
      <c r="B156" s="356" t="s">
        <v>142</v>
      </c>
      <c r="C156" s="356"/>
      <c r="D156" s="356"/>
      <c r="E156" s="356"/>
      <c r="F156" s="356"/>
      <c r="G156" s="356"/>
      <c r="H156" s="6">
        <v>7.5999999999999998E-2</v>
      </c>
      <c r="I156" s="300">
        <f>H156*Mód6!I6</f>
        <v>571.82288571122808</v>
      </c>
      <c r="J156" s="32" t="s">
        <v>449</v>
      </c>
      <c r="K156" s="7"/>
    </row>
    <row r="157" spans="1:13" ht="13" x14ac:dyDescent="0.3">
      <c r="A157" s="8" t="s">
        <v>143</v>
      </c>
      <c r="B157" s="356" t="s">
        <v>144</v>
      </c>
      <c r="C157" s="356"/>
      <c r="D157" s="356"/>
      <c r="E157" s="356"/>
      <c r="F157" s="356"/>
      <c r="G157" s="356"/>
      <c r="H157" s="6">
        <v>0.05</v>
      </c>
      <c r="I157" s="300">
        <f>H157*Mód6!I6</f>
        <v>376.19926691528167</v>
      </c>
      <c r="J157" s="32" t="s">
        <v>449</v>
      </c>
      <c r="K157" s="7"/>
    </row>
    <row r="158" spans="1:13" ht="13" x14ac:dyDescent="0.3">
      <c r="A158" s="364" t="s">
        <v>145</v>
      </c>
      <c r="B158" s="364"/>
      <c r="C158" s="364"/>
      <c r="D158" s="364"/>
      <c r="E158" s="364"/>
      <c r="F158" s="364"/>
      <c r="G158" s="364"/>
      <c r="H158" s="54">
        <f>SUM(H152:H157)</f>
        <v>0.29250000000000004</v>
      </c>
      <c r="I158" s="302">
        <f>SUM(I152:I157)</f>
        <v>1937.9962235029659</v>
      </c>
      <c r="K158" s="7"/>
      <c r="M158" s="7"/>
    </row>
    <row r="159" spans="1:13" x14ac:dyDescent="0.25">
      <c r="A159" s="330"/>
      <c r="B159" s="301"/>
      <c r="C159" s="301"/>
      <c r="D159" s="301"/>
      <c r="E159" s="301"/>
      <c r="F159" s="301"/>
      <c r="G159" s="301"/>
      <c r="H159" s="301"/>
      <c r="I159" s="301"/>
    </row>
    <row r="160" spans="1:13" ht="13" x14ac:dyDescent="0.25">
      <c r="A160" s="37" t="s">
        <v>146</v>
      </c>
      <c r="B160" s="301"/>
      <c r="C160" s="301"/>
      <c r="D160" s="301"/>
      <c r="E160" s="301"/>
      <c r="F160" s="301"/>
      <c r="G160" s="301"/>
      <c r="H160" s="301"/>
      <c r="I160" s="301"/>
    </row>
    <row r="161" spans="1:11" ht="13" x14ac:dyDescent="0.25">
      <c r="A161" s="37" t="s">
        <v>147</v>
      </c>
      <c r="B161" s="301"/>
      <c r="C161" s="301"/>
      <c r="D161" s="301"/>
      <c r="E161" s="301"/>
      <c r="F161" s="301"/>
      <c r="G161" s="301"/>
      <c r="H161" s="301"/>
      <c r="I161" s="301"/>
    </row>
    <row r="162" spans="1:11" ht="13" x14ac:dyDescent="0.3">
      <c r="A162" s="292"/>
      <c r="B162" s="292"/>
      <c r="C162" s="292"/>
      <c r="D162" s="292"/>
      <c r="E162" s="292"/>
      <c r="F162" s="292"/>
      <c r="G162" s="292"/>
      <c r="H162" s="292"/>
      <c r="I162" s="4"/>
    </row>
    <row r="163" spans="1:11" ht="13" x14ac:dyDescent="0.3">
      <c r="A163" s="355" t="s">
        <v>148</v>
      </c>
      <c r="B163" s="355"/>
      <c r="C163" s="355"/>
      <c r="D163" s="355"/>
      <c r="E163" s="355"/>
      <c r="F163" s="355"/>
      <c r="G163" s="355"/>
      <c r="H163" s="355"/>
      <c r="I163" s="355"/>
      <c r="K163" s="9"/>
    </row>
    <row r="164" spans="1:11" ht="13" x14ac:dyDescent="0.3">
      <c r="A164" s="366" t="s">
        <v>149</v>
      </c>
      <c r="B164" s="366"/>
      <c r="C164" s="366"/>
      <c r="D164" s="366"/>
      <c r="E164" s="366"/>
      <c r="F164" s="366"/>
      <c r="G164" s="366"/>
      <c r="H164" s="366"/>
      <c r="I164" s="8" t="s">
        <v>34</v>
      </c>
    </row>
    <row r="165" spans="1:11" x14ac:dyDescent="0.25">
      <c r="A165" s="294" t="s">
        <v>4</v>
      </c>
      <c r="B165" s="357" t="str">
        <f>A37</f>
        <v>MÓDULO 1 - COMPOSIÇÃO DA REMUNERAÇÃO</v>
      </c>
      <c r="C165" s="357"/>
      <c r="D165" s="357"/>
      <c r="E165" s="357"/>
      <c r="F165" s="357"/>
      <c r="G165" s="357"/>
      <c r="H165" s="357"/>
      <c r="I165" s="167">
        <f>I45</f>
        <v>2878.21</v>
      </c>
    </row>
    <row r="166" spans="1:11" x14ac:dyDescent="0.25">
      <c r="A166" s="294" t="s">
        <v>6</v>
      </c>
      <c r="B166" s="357" t="str">
        <f>A50</f>
        <v>MÓDULO 2 – ENCARGOS E BENEFÍCIOS ANUAIS, MENSAIS E DIÁRIOS</v>
      </c>
      <c r="C166" s="357"/>
      <c r="D166" s="357"/>
      <c r="E166" s="357"/>
      <c r="F166" s="357"/>
      <c r="G166" s="357"/>
      <c r="H166" s="357"/>
      <c r="I166" s="167">
        <f>I102</f>
        <v>2377.8936588373335</v>
      </c>
    </row>
    <row r="167" spans="1:11" ht="13" x14ac:dyDescent="0.3">
      <c r="A167" s="294" t="s">
        <v>8</v>
      </c>
      <c r="B167" s="357" t="str">
        <f>A104</f>
        <v>MÓDULO 3 – PROVISÃO PARA RESCISÃO</v>
      </c>
      <c r="C167" s="357"/>
      <c r="D167" s="357"/>
      <c r="E167" s="357"/>
      <c r="F167" s="357"/>
      <c r="G167" s="357"/>
      <c r="H167" s="357"/>
      <c r="I167" s="300">
        <f>I112</f>
        <v>204.56935139199999</v>
      </c>
      <c r="K167" s="9"/>
    </row>
    <row r="168" spans="1:11" ht="13" x14ac:dyDescent="0.3">
      <c r="A168" s="23" t="s">
        <v>10</v>
      </c>
      <c r="B168" s="357" t="str">
        <f>A114</f>
        <v>MÓDULO 4 – CUSTO DE REPOSIÇÃO DO PROFISSIONAL AUSENTE</v>
      </c>
      <c r="C168" s="357"/>
      <c r="D168" s="357"/>
      <c r="E168" s="357"/>
      <c r="F168" s="357"/>
      <c r="G168" s="357"/>
      <c r="H168" s="357"/>
      <c r="I168" s="300">
        <f>I138</f>
        <v>80.716521240000006</v>
      </c>
      <c r="K168" s="9"/>
    </row>
    <row r="169" spans="1:11" x14ac:dyDescent="0.25">
      <c r="A169" s="23" t="s">
        <v>39</v>
      </c>
      <c r="B169" s="357" t="str">
        <f>A140</f>
        <v>MÓDULO 5 – INSUMOS DIVERSOS</v>
      </c>
      <c r="C169" s="357"/>
      <c r="D169" s="357"/>
      <c r="E169" s="357"/>
      <c r="F169" s="357"/>
      <c r="G169" s="357"/>
      <c r="H169" s="357"/>
      <c r="I169" s="300">
        <f>I146</f>
        <v>44.599583333333342</v>
      </c>
    </row>
    <row r="170" spans="1:11" ht="13" x14ac:dyDescent="0.3">
      <c r="A170" s="8"/>
      <c r="B170" s="366" t="s">
        <v>150</v>
      </c>
      <c r="C170" s="366"/>
      <c r="D170" s="366"/>
      <c r="E170" s="366"/>
      <c r="F170" s="366"/>
      <c r="G170" s="366"/>
      <c r="H170" s="366"/>
      <c r="I170" s="26">
        <f>SUM(I165:I169)</f>
        <v>5585.9891148026663</v>
      </c>
      <c r="K170" s="7"/>
    </row>
    <row r="171" spans="1:11" x14ac:dyDescent="0.25">
      <c r="A171" s="23" t="s">
        <v>41</v>
      </c>
      <c r="B171" s="357" t="str">
        <f>A150</f>
        <v>MÓDULO 6 – CUSTOS INDIRETOS, TRIBUTOS E LUCRO</v>
      </c>
      <c r="C171" s="357"/>
      <c r="D171" s="357"/>
      <c r="E171" s="357"/>
      <c r="F171" s="357"/>
      <c r="G171" s="357"/>
      <c r="H171" s="357"/>
      <c r="I171" s="167">
        <f>I158</f>
        <v>1937.9962235029659</v>
      </c>
    </row>
    <row r="172" spans="1:11" ht="13" x14ac:dyDescent="0.3">
      <c r="A172" s="364" t="s">
        <v>151</v>
      </c>
      <c r="B172" s="364"/>
      <c r="C172" s="364"/>
      <c r="D172" s="364"/>
      <c r="E172" s="364"/>
      <c r="F172" s="364"/>
      <c r="G172" s="364"/>
      <c r="H172" s="364"/>
      <c r="I172" s="167">
        <f>ROUND(SUM(I45,I102,I112,I138,I146,I152,I153)/(1-SUM(H155:H157)),2)</f>
        <v>7523.99</v>
      </c>
    </row>
    <row r="173" spans="1:11" ht="13" x14ac:dyDescent="0.3">
      <c r="A173" s="3"/>
      <c r="B173" s="3"/>
      <c r="C173" s="3"/>
      <c r="D173" s="3"/>
      <c r="E173" s="3"/>
      <c r="F173" s="3"/>
      <c r="G173" s="3"/>
      <c r="H173" s="3"/>
      <c r="I173" s="4"/>
    </row>
    <row r="175" spans="1:11" ht="15.5" x14ac:dyDescent="0.25">
      <c r="A175" s="303"/>
      <c r="B175" s="303"/>
      <c r="C175" s="303"/>
      <c r="D175" s="303"/>
      <c r="E175" s="303"/>
      <c r="F175" s="303"/>
      <c r="G175" s="303"/>
      <c r="H175" s="303"/>
      <c r="I175" s="303"/>
    </row>
    <row r="176" spans="1:11" ht="13" x14ac:dyDescent="0.25">
      <c r="A176" s="53"/>
      <c r="B176" s="53"/>
      <c r="C176" s="53"/>
      <c r="D176" s="53"/>
      <c r="E176" s="53"/>
      <c r="F176" s="53"/>
      <c r="G176" s="53"/>
      <c r="H176" s="53"/>
      <c r="I176" s="53"/>
    </row>
    <row r="177" spans="1:9" ht="15.5" x14ac:dyDescent="0.25">
      <c r="A177" s="303"/>
      <c r="B177" s="303"/>
      <c r="C177" s="303"/>
      <c r="D177" s="303"/>
      <c r="E177" s="303"/>
      <c r="F177" s="303"/>
      <c r="G177" s="303"/>
      <c r="H177" s="303"/>
      <c r="I177" s="303"/>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4"/>
      <c r="B182" s="304"/>
      <c r="C182" s="304"/>
      <c r="D182" s="304"/>
      <c r="E182" s="304"/>
      <c r="F182" s="304"/>
      <c r="G182" s="304"/>
      <c r="H182" s="304"/>
      <c r="I182" s="304"/>
    </row>
    <row r="183" spans="1:9" x14ac:dyDescent="0.25">
      <c r="A183" s="304"/>
      <c r="B183" s="304"/>
      <c r="C183" s="304"/>
      <c r="D183" s="304"/>
      <c r="E183" s="304"/>
      <c r="F183" s="304"/>
      <c r="G183" s="304"/>
      <c r="H183" s="304"/>
      <c r="I183" s="304"/>
    </row>
    <row r="185" spans="1:9" ht="55.5" customHeight="1" x14ac:dyDescent="0.3">
      <c r="A185" s="53"/>
      <c r="B185" s="53"/>
      <c r="C185" s="53"/>
      <c r="D185" s="305"/>
      <c r="E185" s="10"/>
      <c r="F185" s="10"/>
      <c r="G185" s="305"/>
      <c r="H185" s="10"/>
      <c r="I185" s="306"/>
    </row>
    <row r="186" spans="1:9" ht="24" customHeight="1" x14ac:dyDescent="0.25">
      <c r="A186" s="50"/>
      <c r="B186" s="50"/>
      <c r="C186" s="50"/>
      <c r="D186" s="304"/>
      <c r="E186" s="50"/>
      <c r="F186" s="50"/>
      <c r="G186" s="307"/>
      <c r="H186" s="50"/>
      <c r="I186" s="308"/>
    </row>
    <row r="187" spans="1:9" ht="13" x14ac:dyDescent="0.3">
      <c r="A187" s="10"/>
      <c r="B187" s="10"/>
      <c r="C187" s="10"/>
      <c r="D187" s="10"/>
      <c r="E187" s="10"/>
      <c r="F187" s="10"/>
      <c r="G187" s="10"/>
      <c r="H187" s="10"/>
      <c r="I187" s="309"/>
    </row>
    <row r="191" spans="1:9" x14ac:dyDescent="0.25">
      <c r="A191" s="304"/>
      <c r="B191" s="304"/>
      <c r="C191" s="304"/>
      <c r="D191" s="304"/>
      <c r="E191" s="304"/>
      <c r="F191" s="304"/>
      <c r="G191" s="304"/>
      <c r="H191" s="304"/>
      <c r="I191" s="304"/>
    </row>
    <row r="192" spans="1:9" x14ac:dyDescent="0.25">
      <c r="A192" s="304"/>
      <c r="B192" s="304"/>
      <c r="C192" s="304"/>
      <c r="D192" s="304"/>
      <c r="E192" s="304"/>
      <c r="F192" s="304"/>
      <c r="G192" s="304"/>
      <c r="H192" s="304"/>
      <c r="I192" s="304"/>
    </row>
    <row r="194" spans="1:9" ht="13" x14ac:dyDescent="0.3">
      <c r="A194" s="53"/>
      <c r="B194" s="53"/>
      <c r="C194" s="53"/>
      <c r="D194" s="305"/>
      <c r="E194" s="10"/>
      <c r="F194" s="10"/>
      <c r="G194" s="305"/>
      <c r="H194" s="10"/>
      <c r="I194" s="306"/>
    </row>
    <row r="195" spans="1:9" ht="25.5" customHeight="1" x14ac:dyDescent="0.25">
      <c r="A195" s="50"/>
      <c r="B195" s="50"/>
      <c r="C195" s="50"/>
      <c r="D195" s="310"/>
      <c r="G195" s="307"/>
      <c r="H195" s="50"/>
      <c r="I195" s="308"/>
    </row>
    <row r="196" spans="1:9" ht="13" x14ac:dyDescent="0.3">
      <c r="A196" s="10"/>
      <c r="B196" s="10"/>
      <c r="C196" s="10"/>
      <c r="D196" s="10"/>
      <c r="E196" s="10"/>
      <c r="F196" s="10"/>
      <c r="G196" s="10"/>
      <c r="H196" s="10"/>
      <c r="I196" s="309"/>
    </row>
    <row r="200" spans="1:9" x14ac:dyDescent="0.25">
      <c r="A200" s="304"/>
      <c r="B200" s="304"/>
      <c r="C200" s="304"/>
      <c r="D200" s="304"/>
      <c r="E200" s="304"/>
      <c r="F200" s="304"/>
      <c r="G200" s="304"/>
      <c r="H200" s="304"/>
      <c r="I200" s="304"/>
    </row>
    <row r="201" spans="1:9" x14ac:dyDescent="0.25">
      <c r="A201" s="304"/>
      <c r="B201" s="304"/>
      <c r="C201" s="304"/>
      <c r="D201" s="304"/>
      <c r="E201" s="304"/>
      <c r="F201" s="304"/>
      <c r="G201" s="304"/>
      <c r="H201" s="304"/>
      <c r="I201" s="304"/>
    </row>
    <row r="203" spans="1:9" ht="13" x14ac:dyDescent="0.3">
      <c r="A203" s="53"/>
      <c r="B203" s="53"/>
      <c r="C203" s="53"/>
      <c r="D203" s="305"/>
      <c r="E203" s="10"/>
      <c r="F203" s="10"/>
      <c r="G203" s="305"/>
      <c r="H203" s="10"/>
      <c r="I203" s="306"/>
    </row>
    <row r="204" spans="1:9" ht="24.65" customHeight="1" x14ac:dyDescent="0.25">
      <c r="A204" s="50"/>
      <c r="B204" s="50"/>
      <c r="C204" s="50"/>
      <c r="D204" s="310"/>
      <c r="G204" s="307"/>
      <c r="H204" s="50"/>
      <c r="I204" s="308"/>
    </row>
    <row r="205" spans="1:9" ht="13" x14ac:dyDescent="0.3">
      <c r="A205" s="10"/>
      <c r="B205" s="10"/>
      <c r="C205" s="10"/>
      <c r="D205" s="10"/>
      <c r="E205" s="10"/>
      <c r="F205" s="10"/>
      <c r="G205" s="10"/>
      <c r="H205" s="10"/>
      <c r="I205" s="309"/>
    </row>
    <row r="209" spans="1:9" ht="13" x14ac:dyDescent="0.25">
      <c r="A209" s="311"/>
      <c r="B209" s="312"/>
      <c r="C209" s="312"/>
      <c r="D209" s="312"/>
      <c r="E209" s="312"/>
      <c r="F209" s="312"/>
      <c r="G209" s="312"/>
      <c r="H209" s="312"/>
      <c r="I209" s="312"/>
    </row>
    <row r="210" spans="1:9" x14ac:dyDescent="0.25">
      <c r="A210" s="312"/>
      <c r="B210" s="312"/>
      <c r="C210" s="312"/>
      <c r="D210" s="312"/>
      <c r="E210" s="312"/>
      <c r="F210" s="312"/>
      <c r="G210" s="312"/>
      <c r="H210" s="312"/>
      <c r="I210" s="312"/>
    </row>
    <row r="212" spans="1:9" ht="13" x14ac:dyDescent="0.3">
      <c r="A212" s="53"/>
      <c r="B212" s="53"/>
      <c r="C212" s="53"/>
      <c r="D212" s="305"/>
      <c r="E212" s="10"/>
      <c r="F212" s="10"/>
      <c r="G212" s="305"/>
      <c r="H212" s="10"/>
      <c r="I212" s="306"/>
    </row>
    <row r="213" spans="1:9" ht="27.65" customHeight="1" x14ac:dyDescent="0.25">
      <c r="A213" s="50"/>
      <c r="B213" s="50"/>
      <c r="C213" s="50"/>
      <c r="D213" s="310"/>
      <c r="G213" s="307"/>
      <c r="H213" s="50"/>
      <c r="I213" s="308"/>
    </row>
    <row r="214" spans="1:9" ht="13" x14ac:dyDescent="0.3">
      <c r="A214" s="10"/>
      <c r="B214" s="10"/>
      <c r="C214" s="10"/>
      <c r="D214" s="10"/>
      <c r="E214" s="10"/>
      <c r="F214" s="10"/>
      <c r="G214" s="10"/>
      <c r="H214" s="10"/>
      <c r="I214" s="309"/>
    </row>
    <row r="218" spans="1:9" x14ac:dyDescent="0.25">
      <c r="A218" s="313"/>
      <c r="B218" s="314"/>
      <c r="C218" s="314"/>
      <c r="D218" s="314"/>
      <c r="E218" s="314"/>
      <c r="F218" s="314"/>
      <c r="G218" s="314"/>
      <c r="H218" s="314"/>
      <c r="I218" s="314"/>
    </row>
    <row r="220" spans="1:9" x14ac:dyDescent="0.25">
      <c r="A220" s="313"/>
      <c r="B220" s="314"/>
      <c r="C220" s="314"/>
      <c r="D220" s="314"/>
      <c r="E220" s="314"/>
      <c r="F220" s="314"/>
      <c r="G220" s="314"/>
      <c r="H220" s="314"/>
      <c r="I220" s="314"/>
    </row>
    <row r="222" spans="1:9" x14ac:dyDescent="0.25">
      <c r="A222" s="313"/>
      <c r="B222" s="314"/>
      <c r="C222" s="314"/>
      <c r="D222" s="314"/>
      <c r="E222" s="314"/>
      <c r="F222" s="314"/>
      <c r="G222" s="314"/>
      <c r="H222" s="314"/>
      <c r="I222" s="314"/>
    </row>
    <row r="225" spans="1:9" ht="13" x14ac:dyDescent="0.25">
      <c r="A225" s="53"/>
      <c r="B225" s="53"/>
      <c r="C225" s="53"/>
      <c r="D225" s="53"/>
      <c r="E225" s="53"/>
      <c r="F225" s="53"/>
      <c r="G225" s="53"/>
      <c r="H225" s="53"/>
      <c r="I225" s="53"/>
    </row>
    <row r="227" spans="1:9" ht="41.15" customHeight="1" x14ac:dyDescent="0.25">
      <c r="A227" s="53"/>
      <c r="B227" s="53"/>
      <c r="C227" s="53"/>
      <c r="D227" s="315"/>
      <c r="E227" s="315"/>
      <c r="F227" s="315"/>
      <c r="G227" s="315"/>
      <c r="H227" s="315"/>
      <c r="I227" s="306"/>
    </row>
    <row r="228" spans="1:9" x14ac:dyDescent="0.25">
      <c r="A228" s="314"/>
      <c r="B228" s="314"/>
      <c r="C228" s="314"/>
      <c r="D228" s="7"/>
      <c r="E228" s="7"/>
      <c r="F228" s="7"/>
      <c r="G228" s="7"/>
      <c r="H228" s="7"/>
      <c r="I228" s="316"/>
    </row>
    <row r="229" spans="1:9" ht="13" x14ac:dyDescent="0.25">
      <c r="A229" s="317"/>
      <c r="B229" s="317"/>
      <c r="C229" s="317"/>
      <c r="D229" s="7"/>
      <c r="E229" s="7"/>
      <c r="F229" s="7"/>
      <c r="G229" s="7"/>
      <c r="H229" s="7"/>
      <c r="I229" s="316"/>
    </row>
    <row r="230" spans="1:9" x14ac:dyDescent="0.25">
      <c r="A230" s="313"/>
      <c r="B230" s="313"/>
      <c r="C230" s="313"/>
      <c r="D230" s="7"/>
      <c r="E230" s="7"/>
      <c r="F230" s="7"/>
      <c r="G230" s="7"/>
      <c r="H230" s="7"/>
      <c r="I230" s="316"/>
    </row>
    <row r="231" spans="1:9" x14ac:dyDescent="0.25">
      <c r="A231" s="314"/>
      <c r="B231" s="314"/>
      <c r="C231" s="314"/>
      <c r="D231" s="7"/>
      <c r="G231" s="7"/>
      <c r="H231" s="7"/>
      <c r="I231" s="316"/>
    </row>
    <row r="232" spans="1:9" x14ac:dyDescent="0.25">
      <c r="A232" s="314"/>
      <c r="B232" s="314"/>
      <c r="C232" s="314"/>
      <c r="I232" s="316"/>
    </row>
    <row r="233" spans="1:9" x14ac:dyDescent="0.25">
      <c r="A233" s="313"/>
      <c r="B233" s="314"/>
      <c r="C233" s="314"/>
      <c r="I233" s="316"/>
    </row>
    <row r="234" spans="1:9" ht="13" x14ac:dyDescent="0.3">
      <c r="A234" s="10"/>
      <c r="B234" s="10"/>
      <c r="C234" s="10"/>
      <c r="D234" s="10"/>
      <c r="E234" s="10"/>
      <c r="F234" s="10"/>
      <c r="G234" s="4"/>
      <c r="H234" s="10"/>
      <c r="I234" s="318"/>
    </row>
    <row r="236" spans="1:9" ht="40" customHeight="1" x14ac:dyDescent="0.25">
      <c r="A236" s="319"/>
      <c r="B236" s="319"/>
      <c r="C236" s="319"/>
      <c r="D236" s="319"/>
      <c r="E236" s="319"/>
      <c r="F236" s="319"/>
      <c r="G236" s="319"/>
      <c r="H236" s="319"/>
      <c r="I236" s="319"/>
    </row>
    <row r="237" spans="1:9" ht="13" x14ac:dyDescent="0.25">
      <c r="A237" s="315"/>
      <c r="B237" s="315"/>
      <c r="C237" s="315"/>
      <c r="D237" s="315"/>
      <c r="E237" s="315"/>
      <c r="F237" s="315"/>
      <c r="G237" s="315"/>
      <c r="H237" s="315"/>
      <c r="I237" s="315"/>
    </row>
    <row r="238" spans="1:9" ht="13" x14ac:dyDescent="0.25">
      <c r="A238" s="315"/>
      <c r="B238" s="315"/>
      <c r="C238" s="315"/>
      <c r="D238" s="315"/>
      <c r="E238" s="315"/>
      <c r="F238" s="315"/>
      <c r="G238" s="315"/>
      <c r="H238" s="315"/>
      <c r="I238" s="315"/>
    </row>
    <row r="239" spans="1:9" ht="13" x14ac:dyDescent="0.25">
      <c r="A239" s="315"/>
      <c r="B239" s="315"/>
      <c r="C239" s="315"/>
      <c r="D239" s="315"/>
      <c r="E239" s="315"/>
      <c r="F239" s="315"/>
      <c r="G239" s="315"/>
      <c r="H239" s="315"/>
      <c r="I239" s="315"/>
    </row>
    <row r="240" spans="1:9" ht="13" x14ac:dyDescent="0.25">
      <c r="A240" s="315"/>
      <c r="B240" s="315"/>
      <c r="C240" s="315"/>
      <c r="D240" s="315"/>
      <c r="E240" s="315"/>
      <c r="F240" s="315"/>
      <c r="G240" s="315"/>
      <c r="H240" s="315"/>
      <c r="I240" s="315"/>
    </row>
    <row r="241" spans="1:9" x14ac:dyDescent="0.25">
      <c r="A241" s="122"/>
      <c r="B241" s="122"/>
      <c r="C241" s="122"/>
      <c r="D241" s="122"/>
      <c r="E241" s="122"/>
      <c r="F241" s="122"/>
      <c r="G241" s="122"/>
      <c r="H241" s="122"/>
      <c r="I241" s="122"/>
    </row>
    <row r="243" spans="1:9" ht="42" customHeight="1" x14ac:dyDescent="0.25">
      <c r="A243" s="53"/>
      <c r="B243" s="53"/>
      <c r="C243" s="53"/>
      <c r="D243" s="315"/>
      <c r="E243" s="53"/>
      <c r="F243" s="53"/>
      <c r="G243" s="315"/>
      <c r="H243" s="315"/>
      <c r="I243" s="306"/>
    </row>
    <row r="244" spans="1:9" x14ac:dyDescent="0.25">
      <c r="A244" s="314"/>
      <c r="B244" s="314"/>
      <c r="C244" s="314"/>
      <c r="D244" s="7"/>
      <c r="E244" s="7"/>
      <c r="F244" s="7"/>
      <c r="G244" s="7"/>
      <c r="H244" s="7"/>
      <c r="I244" s="316"/>
    </row>
    <row r="245" spans="1:9" x14ac:dyDescent="0.25">
      <c r="A245" s="314"/>
      <c r="B245" s="314"/>
      <c r="C245" s="314"/>
      <c r="D245" s="7"/>
      <c r="E245" s="7"/>
      <c r="F245" s="7"/>
      <c r="G245" s="7"/>
      <c r="H245" s="7"/>
      <c r="I245" s="316"/>
    </row>
    <row r="246" spans="1:9" x14ac:dyDescent="0.25">
      <c r="A246" s="313"/>
      <c r="B246" s="314"/>
      <c r="C246" s="314"/>
      <c r="D246" s="7"/>
      <c r="G246" s="7"/>
      <c r="H246" s="7"/>
      <c r="I246" s="316"/>
    </row>
    <row r="247" spans="1:9" x14ac:dyDescent="0.25">
      <c r="A247" s="314"/>
      <c r="B247" s="314"/>
      <c r="C247" s="314"/>
      <c r="D247" s="7"/>
      <c r="G247" s="7"/>
      <c r="H247" s="7"/>
      <c r="I247" s="316"/>
    </row>
    <row r="248" spans="1:9" x14ac:dyDescent="0.25">
      <c r="A248" s="314"/>
      <c r="B248" s="314"/>
      <c r="C248" s="314"/>
      <c r="G248" s="7"/>
      <c r="H248" s="7"/>
      <c r="I248" s="316"/>
    </row>
    <row r="249" spans="1:9" x14ac:dyDescent="0.25">
      <c r="A249" s="313"/>
      <c r="B249" s="314"/>
      <c r="C249" s="314"/>
      <c r="G249" s="7"/>
      <c r="H249" s="7"/>
      <c r="I249" s="316"/>
    </row>
    <row r="250" spans="1:9" ht="44.25" customHeight="1" x14ac:dyDescent="0.3">
      <c r="A250" s="305"/>
      <c r="B250" s="305"/>
      <c r="C250" s="305"/>
      <c r="D250" s="305"/>
      <c r="E250" s="305"/>
      <c r="F250" s="305"/>
      <c r="G250" s="305"/>
      <c r="H250" s="305"/>
      <c r="I250" s="318"/>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20"/>
    </row>
    <row r="257" spans="1:9" ht="15.5" x14ac:dyDescent="0.35">
      <c r="A257" s="41"/>
      <c r="B257" s="50"/>
      <c r="C257" s="50"/>
      <c r="D257" s="50"/>
      <c r="E257" s="50"/>
      <c r="F257" s="50"/>
      <c r="G257" s="50"/>
      <c r="H257" s="50"/>
      <c r="I257" s="321"/>
    </row>
    <row r="258" spans="1:9" ht="12.75" customHeight="1" x14ac:dyDescent="0.25">
      <c r="A258" s="50"/>
      <c r="B258" s="122"/>
      <c r="C258" s="122"/>
      <c r="D258" s="122"/>
      <c r="E258" s="122"/>
      <c r="F258" s="122"/>
      <c r="G258" s="122"/>
      <c r="H258" s="122"/>
      <c r="I258" s="322"/>
    </row>
    <row r="259" spans="1:9" ht="12.75" customHeight="1" x14ac:dyDescent="0.25">
      <c r="A259" s="50"/>
      <c r="B259" s="122"/>
      <c r="C259" s="122"/>
      <c r="D259" s="122"/>
      <c r="E259" s="122"/>
      <c r="F259" s="122"/>
      <c r="G259" s="122"/>
      <c r="H259" s="122"/>
      <c r="I259" s="322"/>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03" t="s">
        <v>152</v>
      </c>
      <c r="B2" s="404"/>
      <c r="C2" s="405"/>
      <c r="F2" s="403" t="s">
        <v>153</v>
      </c>
      <c r="G2" s="404"/>
      <c r="H2" s="405"/>
    </row>
    <row r="4" spans="1:8" ht="13" x14ac:dyDescent="0.3">
      <c r="A4" s="10" t="s">
        <v>154</v>
      </c>
      <c r="F4" s="10" t="s">
        <v>154</v>
      </c>
    </row>
    <row r="5" spans="1:8" x14ac:dyDescent="0.25">
      <c r="A5" t="s">
        <v>155</v>
      </c>
      <c r="C5" s="7">
        <f>'Secretario Nivel Médio II'!I45</f>
        <v>2878.21</v>
      </c>
      <c r="F5" t="s">
        <v>155</v>
      </c>
      <c r="H5" s="7">
        <f>'Secretario Nivel Médio II'!I45</f>
        <v>2878.21</v>
      </c>
    </row>
    <row r="6" spans="1:8" x14ac:dyDescent="0.25">
      <c r="A6" t="s">
        <v>156</v>
      </c>
      <c r="C6" s="7">
        <f>'Secretario Nivel Médio II'!I54</f>
        <v>588.11424333333332</v>
      </c>
      <c r="F6" t="s">
        <v>156</v>
      </c>
      <c r="H6" s="7">
        <f>'Secretario Nivel Médio II'!I54</f>
        <v>588.11424333333332</v>
      </c>
    </row>
    <row r="7" spans="1:8" ht="13" x14ac:dyDescent="0.3">
      <c r="A7" s="10" t="s">
        <v>157</v>
      </c>
      <c r="C7" s="4">
        <f>SUM(C5:C6)</f>
        <v>3466.3242433333335</v>
      </c>
      <c r="F7" s="10" t="s">
        <v>157</v>
      </c>
      <c r="H7" s="4">
        <f>SUM(H5:H6)</f>
        <v>3466.3242433333335</v>
      </c>
    </row>
    <row r="9" spans="1:8" ht="13" x14ac:dyDescent="0.3">
      <c r="A9" s="10" t="s">
        <v>158</v>
      </c>
      <c r="C9" s="63">
        <f>(SUM('Secretario Nivel Médio II'!H67:H73))</f>
        <v>0.28800000000000003</v>
      </c>
      <c r="F9" s="10" t="s">
        <v>158</v>
      </c>
      <c r="H9" s="63">
        <f>'Secretario Nivel Médio II'!H74</f>
        <v>0.08</v>
      </c>
    </row>
    <row r="10" spans="1:8" ht="13" thickBot="1" x14ac:dyDescent="0.3"/>
    <row r="11" spans="1:8" ht="13.5" thickBot="1" x14ac:dyDescent="0.35">
      <c r="A11" s="64" t="s">
        <v>159</v>
      </c>
      <c r="B11" s="65"/>
      <c r="C11" s="66">
        <f>C7*C9</f>
        <v>998.30138208000017</v>
      </c>
      <c r="F11" s="64" t="s">
        <v>160</v>
      </c>
      <c r="G11" s="65"/>
      <c r="H11" s="66">
        <f>H7*H9</f>
        <v>277.3059394666667</v>
      </c>
    </row>
    <row r="13" spans="1:8" ht="13" thickBot="1" x14ac:dyDescent="0.3"/>
    <row r="14" spans="1:8" ht="13.5" thickBot="1" x14ac:dyDescent="0.3">
      <c r="C14" s="400" t="s">
        <v>161</v>
      </c>
      <c r="D14" s="401"/>
      <c r="E14" s="401"/>
      <c r="F14" s="402"/>
    </row>
    <row r="16" spans="1:8" x14ac:dyDescent="0.25">
      <c r="C16" t="str">
        <f>A11</f>
        <v>Valor GPS</v>
      </c>
      <c r="F16" s="7">
        <f>C11</f>
        <v>998.30138208000017</v>
      </c>
    </row>
    <row r="17" spans="3:8" x14ac:dyDescent="0.25">
      <c r="C17" t="str">
        <f>F11</f>
        <v>Valor FGTS</v>
      </c>
      <c r="F17" s="7">
        <f>H11</f>
        <v>277.3059394666667</v>
      </c>
    </row>
    <row r="19" spans="3:8" ht="13" x14ac:dyDescent="0.3">
      <c r="C19" s="10" t="s">
        <v>162</v>
      </c>
      <c r="F19" s="105">
        <f>C9+H9</f>
        <v>0.36800000000000005</v>
      </c>
      <c r="G19" s="10"/>
      <c r="H19" s="88"/>
    </row>
    <row r="20" spans="3:8" ht="13" thickBot="1" x14ac:dyDescent="0.3"/>
    <row r="21" spans="3:8" ht="13.5" thickBot="1" x14ac:dyDescent="0.35">
      <c r="C21" s="76" t="s">
        <v>70</v>
      </c>
      <c r="D21" s="89"/>
      <c r="E21" s="89"/>
      <c r="F21" s="90">
        <f>SUM(F16:F18)</f>
        <v>1275.6073215466668</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6" zoomScale="85" zoomScaleNormal="85" workbookViewId="0">
      <selection activeCell="E10" sqref="E10"/>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403" t="s">
        <v>163</v>
      </c>
      <c r="C2" s="404"/>
      <c r="D2" s="404"/>
      <c r="E2" s="405"/>
    </row>
    <row r="3" spans="2:7" ht="13" x14ac:dyDescent="0.25">
      <c r="B3" s="68"/>
      <c r="E3" s="69"/>
      <c r="F3" s="53"/>
      <c r="G3" s="53"/>
    </row>
    <row r="4" spans="2:7" x14ac:dyDescent="0.25">
      <c r="B4" s="91" t="s">
        <v>164</v>
      </c>
      <c r="C4" s="62"/>
      <c r="D4" s="62"/>
      <c r="E4" s="128">
        <v>4</v>
      </c>
    </row>
    <row r="5" spans="2:7" x14ac:dyDescent="0.25">
      <c r="B5" s="91" t="s">
        <v>165</v>
      </c>
      <c r="C5" s="62"/>
      <c r="D5" s="62"/>
      <c r="E5" s="127">
        <v>2</v>
      </c>
    </row>
    <row r="6" spans="2:7" x14ac:dyDescent="0.25">
      <c r="B6" s="91" t="s">
        <v>166</v>
      </c>
      <c r="C6" s="62"/>
      <c r="D6" s="62"/>
      <c r="E6" s="127">
        <v>22</v>
      </c>
    </row>
    <row r="7" spans="2:7" x14ac:dyDescent="0.25">
      <c r="B7" s="91" t="s">
        <v>167</v>
      </c>
      <c r="C7" s="62"/>
      <c r="D7" s="62"/>
      <c r="E7" s="186">
        <v>0.06</v>
      </c>
    </row>
    <row r="8" spans="2:7" x14ac:dyDescent="0.25">
      <c r="B8" s="68"/>
      <c r="E8" s="69"/>
    </row>
    <row r="9" spans="2:7" x14ac:dyDescent="0.25">
      <c r="B9" s="92" t="s">
        <v>168</v>
      </c>
      <c r="C9" s="62"/>
      <c r="D9" s="62"/>
      <c r="E9" s="94">
        <f>(E4*E5*E6)</f>
        <v>176</v>
      </c>
    </row>
    <row r="10" spans="2:7" x14ac:dyDescent="0.25">
      <c r="B10" s="92" t="s">
        <v>169</v>
      </c>
      <c r="C10" s="62"/>
      <c r="D10" s="62"/>
      <c r="E10" s="94">
        <f>'Secretario Nivel Médio II'!I39*E7</f>
        <v>172.6926</v>
      </c>
    </row>
    <row r="11" spans="2:7" ht="13" thickBot="1" x14ac:dyDescent="0.3">
      <c r="B11" s="68"/>
      <c r="E11" s="69"/>
    </row>
    <row r="12" spans="2:7" ht="13.5" thickBot="1" x14ac:dyDescent="0.35">
      <c r="B12" s="76" t="s">
        <v>170</v>
      </c>
      <c r="C12" s="77"/>
      <c r="D12" s="77"/>
      <c r="E12" s="90">
        <f>E9-E10</f>
        <v>3.3074000000000012</v>
      </c>
    </row>
    <row r="13" spans="2:7" x14ac:dyDescent="0.25">
      <c r="E13" s="7"/>
    </row>
    <row r="14" spans="2:7" ht="13" thickBot="1" x14ac:dyDescent="0.3">
      <c r="E14" s="7"/>
    </row>
    <row r="15" spans="2:7" ht="13.5" thickBot="1" x14ac:dyDescent="0.3">
      <c r="B15" s="403" t="s">
        <v>171</v>
      </c>
      <c r="C15" s="404"/>
      <c r="D15" s="404"/>
      <c r="E15" s="405"/>
    </row>
    <row r="16" spans="2:7" x14ac:dyDescent="0.25">
      <c r="B16" s="68"/>
      <c r="E16" s="69"/>
    </row>
    <row r="17" spans="2:5" x14ac:dyDescent="0.25">
      <c r="B17" s="91" t="s">
        <v>172</v>
      </c>
      <c r="C17" s="62"/>
      <c r="D17" s="62"/>
      <c r="E17" s="128">
        <v>25.5</v>
      </c>
    </row>
    <row r="18" spans="2:5" x14ac:dyDescent="0.25">
      <c r="B18" s="91" t="s">
        <v>166</v>
      </c>
      <c r="C18" s="62"/>
      <c r="D18" s="62"/>
      <c r="E18" s="127">
        <v>22</v>
      </c>
    </row>
    <row r="19" spans="2:5" x14ac:dyDescent="0.25">
      <c r="B19" s="91" t="s">
        <v>173</v>
      </c>
      <c r="C19" s="62"/>
      <c r="D19" s="62"/>
      <c r="E19" s="249">
        <v>0.1</v>
      </c>
    </row>
    <row r="20" spans="2:5" x14ac:dyDescent="0.25">
      <c r="B20" s="68"/>
      <c r="E20" s="69"/>
    </row>
    <row r="21" spans="2:5" x14ac:dyDescent="0.25">
      <c r="B21" s="92" t="s">
        <v>174</v>
      </c>
      <c r="C21" s="62"/>
      <c r="D21" s="62"/>
      <c r="E21" s="93">
        <f>E17*E18</f>
        <v>561</v>
      </c>
    </row>
    <row r="22" spans="2:5" x14ac:dyDescent="0.25">
      <c r="B22" s="92" t="s">
        <v>175</v>
      </c>
      <c r="C22" s="62"/>
      <c r="D22" s="62"/>
      <c r="E22" s="174"/>
    </row>
    <row r="23" spans="2:5" x14ac:dyDescent="0.25">
      <c r="B23" s="92" t="s">
        <v>169</v>
      </c>
      <c r="C23" s="62"/>
      <c r="D23" s="62"/>
      <c r="E23" s="93">
        <f>E21*E19</f>
        <v>56.1</v>
      </c>
    </row>
    <row r="24" spans="2:5" ht="13" thickBot="1" x14ac:dyDescent="0.3">
      <c r="B24" s="68"/>
      <c r="E24" s="69"/>
    </row>
    <row r="25" spans="2:5" ht="13.5" thickBot="1" x14ac:dyDescent="0.35">
      <c r="B25" s="76" t="s">
        <v>176</v>
      </c>
      <c r="C25" s="77"/>
      <c r="D25" s="77"/>
      <c r="E25" s="90">
        <f>E21-E23+E22</f>
        <v>504.9</v>
      </c>
    </row>
    <row r="26" spans="2:5" x14ac:dyDescent="0.25">
      <c r="E26" s="7"/>
    </row>
    <row r="27" spans="2:5" ht="13" thickBot="1" x14ac:dyDescent="0.3">
      <c r="E27" s="7"/>
    </row>
    <row r="28" spans="2:5" ht="13.5" thickBot="1" x14ac:dyDescent="0.3">
      <c r="B28" s="403" t="s">
        <v>177</v>
      </c>
      <c r="C28" s="404"/>
      <c r="D28" s="404"/>
      <c r="E28" s="405"/>
    </row>
    <row r="29" spans="2:5" x14ac:dyDescent="0.25">
      <c r="B29" s="68"/>
      <c r="E29" s="69"/>
    </row>
    <row r="30" spans="2:5" x14ac:dyDescent="0.25">
      <c r="B30" s="91" t="s">
        <v>178</v>
      </c>
      <c r="C30" s="62"/>
      <c r="D30" s="62"/>
      <c r="E30" s="128">
        <v>0</v>
      </c>
    </row>
    <row r="31" spans="2:5" x14ac:dyDescent="0.25">
      <c r="B31" s="91" t="s">
        <v>179</v>
      </c>
      <c r="C31" s="62"/>
      <c r="D31" s="62"/>
      <c r="E31" s="175"/>
    </row>
    <row r="32" spans="2:5" ht="13" thickBot="1" x14ac:dyDescent="0.3">
      <c r="B32" s="68"/>
      <c r="E32" s="69"/>
    </row>
    <row r="33" spans="2:28" ht="13.5" thickBot="1" x14ac:dyDescent="0.35">
      <c r="B33" s="76" t="s">
        <v>180</v>
      </c>
      <c r="C33" s="77"/>
      <c r="D33" s="77"/>
      <c r="E33" s="90">
        <f>E30-(E30*E31)</f>
        <v>0</v>
      </c>
    </row>
    <row r="34" spans="2:28" x14ac:dyDescent="0.25">
      <c r="E34" s="7"/>
    </row>
    <row r="35" spans="2:28" ht="13.5" customHeight="1" thickBot="1" x14ac:dyDescent="0.3">
      <c r="E35" s="7"/>
      <c r="S35" s="408"/>
      <c r="T35" s="408"/>
      <c r="U35" s="408"/>
      <c r="V35" s="408"/>
      <c r="W35" s="408"/>
      <c r="X35" s="408"/>
      <c r="Y35" s="408"/>
      <c r="Z35" s="408"/>
      <c r="AA35" s="122"/>
    </row>
    <row r="36" spans="2:28" ht="13.5" thickBot="1" x14ac:dyDescent="0.3">
      <c r="B36" s="403" t="s">
        <v>181</v>
      </c>
      <c r="C36" s="404"/>
      <c r="D36" s="404"/>
      <c r="E36" s="405"/>
      <c r="S36" s="408"/>
      <c r="T36" s="408"/>
      <c r="U36" s="408"/>
      <c r="V36" s="408"/>
      <c r="W36" s="408"/>
      <c r="X36" s="408"/>
      <c r="Y36" s="408"/>
      <c r="Z36" s="408"/>
      <c r="AA36" s="122"/>
    </row>
    <row r="37" spans="2:28" x14ac:dyDescent="0.25">
      <c r="B37" s="96"/>
      <c r="C37" s="97"/>
      <c r="D37" s="97"/>
      <c r="E37" s="98"/>
      <c r="S37" s="408"/>
      <c r="T37" s="408"/>
      <c r="U37" s="408"/>
      <c r="V37" s="408"/>
      <c r="W37" s="408"/>
      <c r="X37" s="408"/>
      <c r="Y37" s="408"/>
      <c r="Z37" s="408"/>
      <c r="AA37" s="122"/>
    </row>
    <row r="38" spans="2:28" x14ac:dyDescent="0.25">
      <c r="B38" s="91" t="s">
        <v>182</v>
      </c>
      <c r="C38" s="62"/>
      <c r="D38" s="62"/>
      <c r="E38" s="128"/>
      <c r="S38" s="408"/>
      <c r="T38" s="408"/>
      <c r="U38" s="408"/>
      <c r="V38" s="408"/>
      <c r="W38" s="408"/>
      <c r="X38" s="408"/>
      <c r="Y38" s="408"/>
      <c r="Z38" s="408"/>
      <c r="AA38" s="122"/>
    </row>
    <row r="39" spans="2:28" x14ac:dyDescent="0.25">
      <c r="B39" s="91" t="s">
        <v>179</v>
      </c>
      <c r="C39" s="62"/>
      <c r="D39" s="62"/>
      <c r="E39" s="127">
        <v>0</v>
      </c>
      <c r="S39" s="408"/>
      <c r="T39" s="408"/>
      <c r="U39" s="408"/>
      <c r="V39" s="408"/>
      <c r="W39" s="408"/>
      <c r="X39" s="408"/>
      <c r="Y39" s="408"/>
      <c r="Z39" s="408"/>
      <c r="AA39" s="122"/>
    </row>
    <row r="40" spans="2:28" x14ac:dyDescent="0.25">
      <c r="B40" s="91" t="s">
        <v>183</v>
      </c>
      <c r="C40" s="62"/>
      <c r="D40" s="95"/>
      <c r="E40" s="132">
        <v>9.5500000000000004E-5</v>
      </c>
      <c r="S40" s="122"/>
      <c r="T40" s="122"/>
      <c r="U40" s="122"/>
      <c r="V40" s="122"/>
      <c r="W40" s="122"/>
      <c r="X40" s="122"/>
      <c r="Y40" s="122"/>
      <c r="Z40" s="122"/>
      <c r="AA40" s="122"/>
    </row>
    <row r="41" spans="2:28" ht="13" thickBot="1" x14ac:dyDescent="0.3">
      <c r="B41" s="99"/>
      <c r="C41" s="100"/>
      <c r="D41" s="100"/>
      <c r="E41" s="101"/>
      <c r="S41" s="122"/>
      <c r="T41" s="122"/>
      <c r="U41" s="122"/>
      <c r="V41" s="122"/>
      <c r="W41" s="122"/>
      <c r="X41" s="122"/>
      <c r="Y41" s="122"/>
      <c r="Z41" s="122"/>
      <c r="AA41" s="122"/>
    </row>
    <row r="42" spans="2:28" ht="13.5" thickBot="1" x14ac:dyDescent="0.35">
      <c r="B42" s="76" t="s">
        <v>184</v>
      </c>
      <c r="C42" s="77"/>
      <c r="D42" s="77"/>
      <c r="E42" s="90">
        <f>E38-E39</f>
        <v>0</v>
      </c>
    </row>
    <row r="43" spans="2:28" x14ac:dyDescent="0.25">
      <c r="E43" s="7"/>
    </row>
    <row r="44" spans="2:28" ht="14.5" thickBot="1" x14ac:dyDescent="0.35">
      <c r="E44" s="7"/>
      <c r="G44" s="120"/>
      <c r="H44" s="121"/>
      <c r="I44" s="121"/>
      <c r="J44" s="121"/>
      <c r="K44" s="55"/>
      <c r="M44" s="121"/>
      <c r="N44" s="121"/>
      <c r="O44" s="121"/>
      <c r="P44" s="121"/>
      <c r="Q44" s="121"/>
      <c r="AB44" t="s">
        <v>185</v>
      </c>
    </row>
    <row r="45" spans="2:28" ht="13.5" thickBot="1" x14ac:dyDescent="0.3">
      <c r="B45" s="403" t="s">
        <v>186</v>
      </c>
      <c r="C45" s="404"/>
      <c r="D45" s="404"/>
      <c r="E45" s="405"/>
      <c r="AB45" t="s">
        <v>187</v>
      </c>
    </row>
    <row r="46" spans="2:28" x14ac:dyDescent="0.25">
      <c r="B46" s="96"/>
      <c r="C46" s="97"/>
      <c r="D46" s="97"/>
      <c r="E46" s="98"/>
      <c r="AB46" t="s">
        <v>188</v>
      </c>
    </row>
    <row r="47" spans="2:28" x14ac:dyDescent="0.25">
      <c r="B47" s="91" t="s">
        <v>474</v>
      </c>
      <c r="C47" s="62"/>
      <c r="D47" s="62"/>
      <c r="E47" s="128"/>
    </row>
    <row r="48" spans="2:28" x14ac:dyDescent="0.25">
      <c r="B48" s="91" t="s">
        <v>475</v>
      </c>
      <c r="C48" s="62"/>
      <c r="D48" s="62"/>
      <c r="E48" s="128"/>
    </row>
    <row r="49" spans="2:20" x14ac:dyDescent="0.25">
      <c r="B49" s="91" t="s">
        <v>189</v>
      </c>
      <c r="C49" s="62"/>
      <c r="D49" s="95"/>
      <c r="E49" s="133"/>
    </row>
    <row r="50" spans="2:20" ht="13" thickBot="1" x14ac:dyDescent="0.3">
      <c r="B50" s="99" t="s">
        <v>190</v>
      </c>
      <c r="C50" s="100"/>
      <c r="D50" s="100"/>
      <c r="E50" s="125">
        <v>1</v>
      </c>
    </row>
    <row r="51" spans="2:20" ht="13.5" thickBot="1" x14ac:dyDescent="0.35">
      <c r="B51" s="76" t="s">
        <v>191</v>
      </c>
      <c r="C51" s="77"/>
      <c r="D51" s="77"/>
      <c r="E51" s="123"/>
    </row>
    <row r="52" spans="2:20" ht="13.5" thickBot="1" x14ac:dyDescent="0.3">
      <c r="B52" s="83" t="s">
        <v>192</v>
      </c>
      <c r="C52" s="77"/>
      <c r="D52" s="77"/>
      <c r="E52" s="124">
        <v>6</v>
      </c>
    </row>
    <row r="53" spans="2:20" ht="13" thickBot="1" x14ac:dyDescent="0.3"/>
    <row r="54" spans="2:20" ht="13.5" thickBot="1" x14ac:dyDescent="0.3">
      <c r="B54" s="403" t="s">
        <v>193</v>
      </c>
      <c r="C54" s="404"/>
      <c r="D54" s="404"/>
      <c r="E54" s="405"/>
    </row>
    <row r="55" spans="2:20" ht="13" x14ac:dyDescent="0.25">
      <c r="B55" s="102"/>
      <c r="C55" s="103"/>
      <c r="D55" s="103"/>
      <c r="E55" s="104"/>
    </row>
    <row r="56" spans="2:20" x14ac:dyDescent="0.25">
      <c r="B56" s="106" t="s">
        <v>194</v>
      </c>
      <c r="C56" s="62"/>
      <c r="D56" s="62"/>
      <c r="E56" s="128"/>
    </row>
    <row r="57" spans="2:20" ht="12.75" customHeight="1" x14ac:dyDescent="0.25">
      <c r="B57" s="106" t="s">
        <v>183</v>
      </c>
      <c r="C57" s="62"/>
      <c r="D57" s="62"/>
      <c r="E57" s="127">
        <v>1.9900000000000001E-2</v>
      </c>
      <c r="G57" s="408"/>
      <c r="H57" s="408"/>
      <c r="I57" s="408"/>
      <c r="J57" s="408"/>
      <c r="K57" s="408"/>
      <c r="L57" s="408"/>
      <c r="M57" s="408"/>
      <c r="N57" s="408"/>
      <c r="O57" s="408"/>
      <c r="P57" s="408"/>
      <c r="Q57" s="408"/>
      <c r="R57" s="408"/>
      <c r="S57" s="408"/>
      <c r="T57" s="408"/>
    </row>
    <row r="58" spans="2:20" ht="13.5" customHeight="1" thickBot="1" x14ac:dyDescent="0.3">
      <c r="B58" s="99" t="s">
        <v>195</v>
      </c>
      <c r="C58" s="100"/>
      <c r="D58" s="100"/>
      <c r="E58" s="134">
        <v>2</v>
      </c>
      <c r="G58" s="408"/>
      <c r="H58" s="408"/>
      <c r="I58" s="408"/>
      <c r="J58" s="408"/>
      <c r="K58" s="408"/>
      <c r="L58" s="408"/>
      <c r="M58" s="408"/>
      <c r="N58" s="408"/>
      <c r="O58" s="408"/>
      <c r="P58" s="408"/>
      <c r="Q58" s="408"/>
      <c r="R58" s="408"/>
      <c r="S58" s="408"/>
      <c r="T58" s="408"/>
    </row>
    <row r="59" spans="2:20" ht="13.5" thickBot="1" x14ac:dyDescent="0.3">
      <c r="B59" s="126" t="s">
        <v>191</v>
      </c>
      <c r="C59" s="77"/>
      <c r="D59" s="77"/>
      <c r="E59" s="123">
        <f>E56*E57*E58</f>
        <v>0</v>
      </c>
      <c r="G59" s="408"/>
      <c r="H59" s="408"/>
      <c r="I59" s="408"/>
      <c r="J59" s="408"/>
      <c r="K59" s="408"/>
      <c r="L59" s="408"/>
      <c r="M59" s="408"/>
      <c r="N59" s="408"/>
      <c r="O59" s="408"/>
      <c r="P59" s="408"/>
      <c r="Q59" s="408"/>
      <c r="R59" s="408"/>
      <c r="S59" s="408"/>
      <c r="T59" s="408"/>
    </row>
    <row r="60" spans="2:20" ht="13.5" thickBot="1" x14ac:dyDescent="0.3">
      <c r="B60" s="83" t="s">
        <v>192</v>
      </c>
      <c r="C60" s="77"/>
      <c r="D60" s="77"/>
      <c r="E60" s="124">
        <f>E59/12</f>
        <v>0</v>
      </c>
    </row>
    <row r="63" spans="2:20" x14ac:dyDescent="0.25">
      <c r="B63" s="406"/>
      <c r="C63" s="407"/>
      <c r="D63" s="407"/>
      <c r="E63" s="407"/>
      <c r="F63" s="407"/>
      <c r="G63" s="407"/>
      <c r="H63" s="407"/>
      <c r="I63" s="407"/>
      <c r="J63" s="407"/>
      <c r="K63" s="407"/>
      <c r="L63" s="407"/>
      <c r="M63" s="407"/>
      <c r="N63" s="407"/>
    </row>
    <row r="64" spans="2:20" x14ac:dyDescent="0.25">
      <c r="B64" s="407"/>
      <c r="C64" s="407"/>
      <c r="D64" s="407"/>
      <c r="E64" s="407"/>
      <c r="F64" s="407"/>
      <c r="G64" s="407"/>
      <c r="H64" s="407"/>
      <c r="I64" s="407"/>
      <c r="J64" s="407"/>
      <c r="K64" s="407"/>
      <c r="L64" s="407"/>
      <c r="M64" s="407"/>
      <c r="N64" s="407"/>
    </row>
    <row r="65" spans="2:14" x14ac:dyDescent="0.25">
      <c r="B65" s="407"/>
      <c r="C65" s="407"/>
      <c r="D65" s="407"/>
      <c r="E65" s="407"/>
      <c r="F65" s="407"/>
      <c r="G65" s="407"/>
      <c r="H65" s="407"/>
      <c r="I65" s="407"/>
      <c r="J65" s="407"/>
      <c r="K65" s="407"/>
      <c r="L65" s="407"/>
      <c r="M65" s="407"/>
      <c r="N65" s="407"/>
    </row>
    <row r="66" spans="2:14" x14ac:dyDescent="0.25">
      <c r="B66" s="407"/>
      <c r="C66" s="407"/>
      <c r="D66" s="407"/>
      <c r="E66" s="407"/>
      <c r="F66" s="407"/>
      <c r="G66" s="407"/>
      <c r="H66" s="407"/>
      <c r="I66" s="407"/>
      <c r="J66" s="407"/>
      <c r="K66" s="407"/>
      <c r="L66" s="407"/>
      <c r="M66" s="407"/>
      <c r="N66" s="407"/>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196</v>
      </c>
    </row>
    <row r="3" spans="1:8" ht="13" thickBot="1" x14ac:dyDescent="0.3">
      <c r="A3" s="50"/>
    </row>
    <row r="4" spans="1:8" ht="13.5" thickBot="1" x14ac:dyDescent="0.35">
      <c r="A4" s="425" t="s">
        <v>197</v>
      </c>
      <c r="B4" s="426"/>
      <c r="C4" s="426"/>
      <c r="D4" s="426"/>
      <c r="E4" s="427"/>
      <c r="H4" s="10" t="s">
        <v>198</v>
      </c>
    </row>
    <row r="5" spans="1:8" ht="13.5" thickBot="1" x14ac:dyDescent="0.3">
      <c r="A5" s="428" t="s">
        <v>199</v>
      </c>
      <c r="B5" s="428"/>
      <c r="C5" s="428"/>
      <c r="D5" s="428"/>
      <c r="E5" s="80" t="s">
        <v>158</v>
      </c>
    </row>
    <row r="6" spans="1:8" ht="13" x14ac:dyDescent="0.25">
      <c r="A6" s="57" t="s">
        <v>200</v>
      </c>
      <c r="B6" s="62"/>
      <c r="C6" s="62"/>
      <c r="D6" s="62"/>
      <c r="E6" s="137">
        <v>88.61</v>
      </c>
      <c r="F6" s="107" t="s">
        <v>201</v>
      </c>
      <c r="G6" s="135">
        <v>0.5</v>
      </c>
      <c r="H6" t="s">
        <v>202</v>
      </c>
    </row>
    <row r="7" spans="1:8" ht="13.5" thickBot="1" x14ac:dyDescent="0.3">
      <c r="A7" s="57" t="s">
        <v>203</v>
      </c>
      <c r="B7" s="62"/>
      <c r="C7" s="62"/>
      <c r="D7" s="62"/>
      <c r="E7" s="138">
        <v>1.35</v>
      </c>
      <c r="G7" s="136">
        <v>0.5</v>
      </c>
      <c r="H7" t="s">
        <v>204</v>
      </c>
    </row>
    <row r="8" spans="1:8" ht="13.5" thickBot="1" x14ac:dyDescent="0.3">
      <c r="A8" s="60" t="s">
        <v>205</v>
      </c>
      <c r="B8" s="61"/>
      <c r="C8" s="61"/>
      <c r="D8" s="61"/>
      <c r="E8" s="139">
        <v>10.039999999999999</v>
      </c>
    </row>
    <row r="9" spans="1:8" ht="13" thickBot="1" x14ac:dyDescent="0.3">
      <c r="A9" s="50"/>
    </row>
    <row r="10" spans="1:8" ht="13.5" thickBot="1" x14ac:dyDescent="0.3">
      <c r="A10" s="425" t="s">
        <v>197</v>
      </c>
      <c r="B10" s="426"/>
      <c r="C10" s="426"/>
      <c r="D10" s="426"/>
      <c r="E10" s="427"/>
    </row>
    <row r="11" spans="1:8" ht="13.5" thickBot="1" x14ac:dyDescent="0.3">
      <c r="A11" s="428" t="s">
        <v>199</v>
      </c>
      <c r="B11" s="428"/>
      <c r="C11" s="428"/>
      <c r="D11" s="428"/>
      <c r="E11" s="80" t="s">
        <v>158</v>
      </c>
    </row>
    <row r="12" spans="1:8" ht="13" x14ac:dyDescent="0.25">
      <c r="A12" s="58" t="s">
        <v>206</v>
      </c>
      <c r="B12" s="59"/>
      <c r="C12" s="59"/>
      <c r="D12" s="59"/>
      <c r="E12" s="140">
        <f>E6*G6</f>
        <v>44.305</v>
      </c>
    </row>
    <row r="13" spans="1:8" ht="13.5" thickBot="1" x14ac:dyDescent="0.3">
      <c r="A13" s="57" t="s">
        <v>207</v>
      </c>
      <c r="B13" s="62"/>
      <c r="C13" s="62"/>
      <c r="D13" s="62"/>
      <c r="E13" s="141">
        <f>E6*G7</f>
        <v>44.305</v>
      </c>
    </row>
    <row r="14" spans="1:8" ht="13" thickBot="1" x14ac:dyDescent="0.3">
      <c r="A14" s="50"/>
    </row>
    <row r="15" spans="1:8" ht="13.5" thickBot="1" x14ac:dyDescent="0.35">
      <c r="A15" s="76" t="s">
        <v>208</v>
      </c>
      <c r="B15" s="77"/>
      <c r="C15" s="143">
        <v>12</v>
      </c>
      <c r="E15" s="76" t="s">
        <v>208</v>
      </c>
      <c r="F15" s="77"/>
      <c r="G15" s="142">
        <v>18</v>
      </c>
      <c r="H15" s="37" t="s">
        <v>209</v>
      </c>
    </row>
    <row r="16" spans="1:8" ht="13" thickBot="1" x14ac:dyDescent="0.3">
      <c r="A16" s="50"/>
      <c r="E16" s="50"/>
    </row>
    <row r="17" spans="1:16" ht="13.5" thickBot="1" x14ac:dyDescent="0.3">
      <c r="A17" s="412" t="s">
        <v>210</v>
      </c>
      <c r="B17" s="413"/>
      <c r="C17" s="414"/>
      <c r="E17" s="412" t="s">
        <v>210</v>
      </c>
      <c r="F17" s="413"/>
      <c r="G17" s="414"/>
    </row>
    <row r="18" spans="1:16" x14ac:dyDescent="0.25">
      <c r="A18" s="68"/>
      <c r="C18" s="69"/>
      <c r="E18" s="68"/>
      <c r="G18" s="69"/>
    </row>
    <row r="19" spans="1:16" ht="13" x14ac:dyDescent="0.3">
      <c r="A19" s="70" t="s">
        <v>154</v>
      </c>
      <c r="C19" s="69"/>
      <c r="E19" s="70" t="s">
        <v>154</v>
      </c>
      <c r="G19" s="69"/>
    </row>
    <row r="20" spans="1:16" x14ac:dyDescent="0.25">
      <c r="A20" s="68" t="s">
        <v>155</v>
      </c>
      <c r="C20" s="71">
        <f>'Secretario Nivel Médio II'!I45</f>
        <v>2878.21</v>
      </c>
      <c r="E20" s="68" t="s">
        <v>155</v>
      </c>
      <c r="G20" s="71">
        <f>'Secretario Nivel Médio II'!I45</f>
        <v>2878.21</v>
      </c>
    </row>
    <row r="21" spans="1:16" x14ac:dyDescent="0.25">
      <c r="A21" s="68" t="s">
        <v>211</v>
      </c>
      <c r="C21" s="71">
        <f>'Secretario Nivel Médio II'!I102</f>
        <v>2377.8936588373335</v>
      </c>
      <c r="E21" s="68" t="s">
        <v>211</v>
      </c>
      <c r="G21" s="71">
        <f>'Secretario Nivel Médio II'!I102</f>
        <v>2377.8936588373335</v>
      </c>
    </row>
    <row r="22" spans="1:16" ht="13" x14ac:dyDescent="0.25">
      <c r="A22" s="68" t="s">
        <v>212</v>
      </c>
      <c r="C22" s="71">
        <f>-'Mód2.2'!C11</f>
        <v>-998.30138208000017</v>
      </c>
      <c r="D22" s="115" t="s">
        <v>213</v>
      </c>
      <c r="E22" s="68" t="s">
        <v>212</v>
      </c>
      <c r="G22" s="71">
        <f>-'Mód2.2'!C11</f>
        <v>-998.30138208000017</v>
      </c>
    </row>
    <row r="23" spans="1:16" ht="13" x14ac:dyDescent="0.3">
      <c r="A23" s="70" t="s">
        <v>157</v>
      </c>
      <c r="C23" s="72">
        <f>SUM(C20:C22)</f>
        <v>4257.8022767573329</v>
      </c>
      <c r="E23" s="70" t="s">
        <v>157</v>
      </c>
      <c r="G23" s="72">
        <f>SUM(G20:G22)</f>
        <v>4257.8022767573329</v>
      </c>
    </row>
    <row r="24" spans="1:16" x14ac:dyDescent="0.25">
      <c r="A24" s="68"/>
      <c r="C24" s="69"/>
      <c r="E24" s="68"/>
      <c r="G24" s="69"/>
    </row>
    <row r="25" spans="1:16" ht="13" x14ac:dyDescent="0.3">
      <c r="A25" s="70" t="s">
        <v>208</v>
      </c>
      <c r="C25" s="75">
        <f>C15</f>
        <v>12</v>
      </c>
      <c r="E25" s="70" t="s">
        <v>208</v>
      </c>
      <c r="G25" s="75">
        <f>G15</f>
        <v>18</v>
      </c>
    </row>
    <row r="26" spans="1:16" ht="13" x14ac:dyDescent="0.3">
      <c r="A26" s="70" t="s">
        <v>214</v>
      </c>
      <c r="C26" s="85">
        <f>E12</f>
        <v>44.305</v>
      </c>
      <c r="E26" s="70" t="s">
        <v>214</v>
      </c>
      <c r="G26" s="85">
        <f>E12</f>
        <v>44.305</v>
      </c>
    </row>
    <row r="27" spans="1:16" ht="13" thickBot="1" x14ac:dyDescent="0.3">
      <c r="A27" s="68"/>
      <c r="C27" s="69"/>
      <c r="E27" s="68"/>
      <c r="G27" s="69"/>
    </row>
    <row r="28" spans="1:16" ht="13.5" thickBot="1" x14ac:dyDescent="0.35">
      <c r="A28" s="64" t="s">
        <v>215</v>
      </c>
      <c r="B28" s="65"/>
      <c r="C28" s="79">
        <f>C23/C25*C26%</f>
        <v>157.20160822644468</v>
      </c>
      <c r="E28" s="116" t="s">
        <v>216</v>
      </c>
      <c r="F28" s="65"/>
      <c r="G28" s="79">
        <f>G23/G25*G26%</f>
        <v>104.80107215096314</v>
      </c>
    </row>
    <row r="29" spans="1:16" ht="13" thickBot="1" x14ac:dyDescent="0.3"/>
    <row r="30" spans="1:16" ht="13.5" thickBot="1" x14ac:dyDescent="0.3">
      <c r="A30" s="403" t="s">
        <v>217</v>
      </c>
      <c r="B30" s="404"/>
      <c r="C30" s="404"/>
      <c r="D30" s="404"/>
      <c r="E30" s="404"/>
      <c r="F30" s="404"/>
      <c r="G30" s="405"/>
      <c r="J30" s="403" t="s">
        <v>217</v>
      </c>
      <c r="K30" s="404"/>
      <c r="L30" s="404"/>
      <c r="M30" s="404"/>
      <c r="N30" s="404"/>
      <c r="O30" s="404"/>
      <c r="P30" s="405"/>
    </row>
    <row r="31" spans="1:16" x14ac:dyDescent="0.25">
      <c r="A31" s="68"/>
      <c r="G31" s="69"/>
      <c r="J31" s="68"/>
      <c r="P31" s="69"/>
    </row>
    <row r="32" spans="1:16" ht="13" x14ac:dyDescent="0.3">
      <c r="A32" s="70" t="s">
        <v>154</v>
      </c>
      <c r="G32" s="69"/>
      <c r="J32" s="70" t="s">
        <v>154</v>
      </c>
      <c r="P32" s="69"/>
    </row>
    <row r="33" spans="1:19" x14ac:dyDescent="0.25">
      <c r="A33" s="68" t="s">
        <v>155</v>
      </c>
      <c r="G33" s="71">
        <f>'Secretario Nivel Médio II'!I45</f>
        <v>2878.21</v>
      </c>
      <c r="J33" s="68" t="s">
        <v>153</v>
      </c>
      <c r="P33" s="71">
        <f>'Mód2.2'!H11</f>
        <v>277.3059394666667</v>
      </c>
    </row>
    <row r="34" spans="1:19" x14ac:dyDescent="0.25">
      <c r="A34" s="68" t="s">
        <v>156</v>
      </c>
      <c r="G34" s="71">
        <f>'Secretario Nivel Médio II'!I54</f>
        <v>588.11424333333332</v>
      </c>
      <c r="J34" s="68"/>
      <c r="P34" s="71"/>
    </row>
    <row r="35" spans="1:19" ht="13" x14ac:dyDescent="0.3">
      <c r="A35" s="70" t="s">
        <v>157</v>
      </c>
      <c r="G35" s="72">
        <f>SUM(G33:G34)</f>
        <v>3466.3242433333335</v>
      </c>
      <c r="H35" s="423" t="s">
        <v>213</v>
      </c>
      <c r="I35" s="424"/>
      <c r="J35" s="70" t="s">
        <v>157</v>
      </c>
      <c r="P35" s="72">
        <f>SUM(P33:P34)</f>
        <v>277.3059394666667</v>
      </c>
    </row>
    <row r="36" spans="1:19" x14ac:dyDescent="0.25">
      <c r="A36" s="68"/>
      <c r="G36" s="69"/>
      <c r="J36" s="68"/>
      <c r="P36" s="69"/>
    </row>
    <row r="37" spans="1:19" ht="13" x14ac:dyDescent="0.3">
      <c r="A37" s="70" t="s">
        <v>218</v>
      </c>
      <c r="G37" s="73">
        <f>'Secretario Nivel Médio II'!H74</f>
        <v>0.08</v>
      </c>
      <c r="J37" s="70"/>
      <c r="P37" s="73"/>
    </row>
    <row r="38" spans="1:19" ht="13" x14ac:dyDescent="0.3">
      <c r="A38" s="70" t="s">
        <v>219</v>
      </c>
      <c r="G38" s="73">
        <v>0.4</v>
      </c>
      <c r="J38" s="70" t="s">
        <v>219</v>
      </c>
      <c r="P38" s="73">
        <v>0.4</v>
      </c>
    </row>
    <row r="39" spans="1:19" ht="13" x14ac:dyDescent="0.3">
      <c r="A39" s="70" t="s">
        <v>214</v>
      </c>
      <c r="C39" s="74"/>
      <c r="G39" s="85">
        <f>E12</f>
        <v>44.305</v>
      </c>
      <c r="J39" s="70" t="s">
        <v>214</v>
      </c>
      <c r="L39" s="74"/>
      <c r="P39" s="85">
        <f>E12</f>
        <v>44.305</v>
      </c>
    </row>
    <row r="40" spans="1:19" ht="13" thickBot="1" x14ac:dyDescent="0.3">
      <c r="A40" s="68"/>
      <c r="G40" s="69"/>
      <c r="J40" s="68"/>
      <c r="P40" s="69"/>
    </row>
    <row r="41" spans="1:19" ht="13.5" thickBot="1" x14ac:dyDescent="0.3">
      <c r="A41" s="403" t="s">
        <v>220</v>
      </c>
      <c r="B41" s="404"/>
      <c r="C41" s="404"/>
      <c r="D41" s="404"/>
      <c r="E41" s="404"/>
      <c r="F41" s="404"/>
      <c r="G41" s="79">
        <f>G35*G37*G38*G39%</f>
        <v>49.144158592282679</v>
      </c>
      <c r="J41" s="421" t="s">
        <v>221</v>
      </c>
      <c r="K41" s="422"/>
      <c r="L41" s="422"/>
      <c r="M41" s="422"/>
      <c r="N41" s="422"/>
      <c r="O41" s="422"/>
      <c r="P41" s="79">
        <f>P35*P38*P39%</f>
        <v>49.144158592282679</v>
      </c>
    </row>
    <row r="43" spans="1:19" ht="13" thickBot="1" x14ac:dyDescent="0.3"/>
    <row r="44" spans="1:19" ht="13.5" thickBot="1" x14ac:dyDescent="0.3">
      <c r="A44" s="415" t="s">
        <v>222</v>
      </c>
      <c r="B44" s="416"/>
      <c r="C44" s="417"/>
      <c r="E44" s="415" t="s">
        <v>222</v>
      </c>
      <c r="F44" s="416"/>
      <c r="G44" s="417"/>
    </row>
    <row r="45" spans="1:19" ht="13" x14ac:dyDescent="0.3">
      <c r="A45" s="68"/>
      <c r="C45" s="69"/>
      <c r="E45" s="68"/>
      <c r="G45" s="69"/>
      <c r="J45" s="86" t="s">
        <v>223</v>
      </c>
    </row>
    <row r="46" spans="1:19" ht="13" x14ac:dyDescent="0.3">
      <c r="A46" s="70" t="s">
        <v>154</v>
      </c>
      <c r="C46" s="69"/>
      <c r="E46" s="70" t="s">
        <v>154</v>
      </c>
      <c r="G46" s="69"/>
    </row>
    <row r="47" spans="1:19" ht="12.75" customHeight="1" x14ac:dyDescent="0.25">
      <c r="A47" s="68" t="s">
        <v>155</v>
      </c>
      <c r="C47" s="71">
        <f>'Secretario Nivel Médio II'!I45</f>
        <v>2878.21</v>
      </c>
      <c r="E47" s="68" t="s">
        <v>155</v>
      </c>
      <c r="G47" s="71">
        <f>'Secretario Nivel Médio II'!I45</f>
        <v>2878.21</v>
      </c>
      <c r="J47" s="408" t="s">
        <v>224</v>
      </c>
      <c r="K47" s="408"/>
      <c r="L47" s="408"/>
      <c r="M47" s="408"/>
      <c r="N47" s="408"/>
      <c r="O47" s="408"/>
      <c r="P47" s="408"/>
      <c r="Q47" s="408"/>
      <c r="R47" s="408"/>
      <c r="S47" s="408"/>
    </row>
    <row r="48" spans="1:19" ht="13" x14ac:dyDescent="0.25">
      <c r="A48" s="68" t="s">
        <v>211</v>
      </c>
      <c r="C48" s="71">
        <f>'Secretario Nivel Médio II'!I102</f>
        <v>2377.8936588373335</v>
      </c>
      <c r="E48" s="68" t="s">
        <v>211</v>
      </c>
      <c r="G48" s="71">
        <f>'Secretario Nivel Médio II'!I102</f>
        <v>2377.8936588373335</v>
      </c>
      <c r="H48" s="53"/>
      <c r="I48" s="53"/>
      <c r="J48" s="408"/>
      <c r="K48" s="408"/>
      <c r="L48" s="408"/>
      <c r="M48" s="408"/>
      <c r="N48" s="408"/>
      <c r="O48" s="408"/>
      <c r="P48" s="408"/>
      <c r="Q48" s="408"/>
      <c r="R48" s="408"/>
      <c r="S48" s="408"/>
    </row>
    <row r="49" spans="1:19" ht="13" x14ac:dyDescent="0.3">
      <c r="A49" s="70" t="s">
        <v>157</v>
      </c>
      <c r="C49" s="72">
        <f>SUM(C47:C48)</f>
        <v>5256.1036588373336</v>
      </c>
      <c r="D49" s="115" t="s">
        <v>213</v>
      </c>
      <c r="E49" s="70" t="s">
        <v>157</v>
      </c>
      <c r="G49" s="72">
        <f>SUM(G47:G48)</f>
        <v>5256.1036588373336</v>
      </c>
      <c r="H49" s="352" t="s">
        <v>213</v>
      </c>
      <c r="I49" s="352"/>
      <c r="J49" s="408"/>
      <c r="K49" s="408"/>
      <c r="L49" s="408"/>
      <c r="M49" s="408"/>
      <c r="N49" s="408"/>
      <c r="O49" s="408"/>
      <c r="P49" s="408"/>
      <c r="Q49" s="408"/>
      <c r="R49" s="408"/>
      <c r="S49" s="408"/>
    </row>
    <row r="50" spans="1:19" x14ac:dyDescent="0.25">
      <c r="A50" s="68"/>
      <c r="C50" s="69"/>
      <c r="E50" s="68"/>
      <c r="G50" s="69"/>
      <c r="J50" s="408"/>
      <c r="K50" s="408"/>
      <c r="L50" s="408"/>
      <c r="M50" s="408"/>
      <c r="N50" s="408"/>
      <c r="O50" s="408"/>
      <c r="P50" s="408"/>
      <c r="Q50" s="408"/>
      <c r="R50" s="408"/>
      <c r="S50" s="408"/>
    </row>
    <row r="51" spans="1:19" ht="13.5" thickBot="1" x14ac:dyDescent="0.35">
      <c r="A51" s="70" t="s">
        <v>208</v>
      </c>
      <c r="C51" s="75">
        <f>C15</f>
        <v>12</v>
      </c>
      <c r="E51" s="70" t="s">
        <v>208</v>
      </c>
      <c r="G51" s="75">
        <f>G15</f>
        <v>18</v>
      </c>
      <c r="J51" s="408"/>
      <c r="K51" s="408"/>
      <c r="L51" s="408"/>
      <c r="M51" s="408"/>
      <c r="N51" s="408"/>
      <c r="O51" s="408"/>
      <c r="P51" s="408"/>
      <c r="Q51" s="408"/>
      <c r="R51" s="408"/>
      <c r="S51" s="408"/>
    </row>
    <row r="52" spans="1:19" ht="13.5" thickBot="1" x14ac:dyDescent="0.35">
      <c r="A52" s="70" t="s">
        <v>214</v>
      </c>
      <c r="C52" s="85">
        <f>E13</f>
        <v>44.305</v>
      </c>
      <c r="E52" s="70" t="s">
        <v>214</v>
      </c>
      <c r="G52" s="85">
        <f>E13</f>
        <v>44.305</v>
      </c>
      <c r="J52" s="84">
        <f>'Secretario Nivel Médio II'!I45*1.94%</f>
        <v>55.837274000000001</v>
      </c>
      <c r="M52" s="7"/>
    </row>
    <row r="53" spans="1:19" ht="13" thickBot="1" x14ac:dyDescent="0.3">
      <c r="A53" s="68"/>
      <c r="C53" s="69"/>
      <c r="E53" s="68"/>
      <c r="G53" s="69"/>
    </row>
    <row r="54" spans="1:19" ht="13.5" thickBot="1" x14ac:dyDescent="0.35">
      <c r="A54" s="64" t="s">
        <v>225</v>
      </c>
      <c r="B54" s="65"/>
      <c r="C54" s="79">
        <f>C49/C51*C52%</f>
        <v>194.05972717065671</v>
      </c>
      <c r="E54" s="116" t="s">
        <v>226</v>
      </c>
      <c r="F54" s="65"/>
      <c r="G54" s="79">
        <f>G49/G51*G52%</f>
        <v>129.37315144710448</v>
      </c>
    </row>
    <row r="55" spans="1:19" ht="13" thickBot="1" x14ac:dyDescent="0.3"/>
    <row r="56" spans="1:19" ht="13.5" thickBot="1" x14ac:dyDescent="0.3">
      <c r="A56" s="403" t="s">
        <v>227</v>
      </c>
      <c r="B56" s="404"/>
      <c r="C56" s="404"/>
      <c r="D56" s="404"/>
      <c r="E56" s="404"/>
      <c r="F56" s="404"/>
      <c r="G56" s="405"/>
      <c r="J56" s="403" t="s">
        <v>227</v>
      </c>
      <c r="K56" s="404"/>
      <c r="L56" s="404"/>
      <c r="M56" s="404"/>
      <c r="N56" s="404"/>
      <c r="O56" s="404"/>
      <c r="P56" s="405"/>
    </row>
    <row r="57" spans="1:19" x14ac:dyDescent="0.25">
      <c r="A57" s="68"/>
      <c r="G57" s="69"/>
      <c r="J57" s="68"/>
      <c r="P57" s="69"/>
    </row>
    <row r="58" spans="1:19" ht="13" x14ac:dyDescent="0.3">
      <c r="A58" s="70" t="s">
        <v>154</v>
      </c>
      <c r="G58" s="69"/>
      <c r="J58" s="70" t="s">
        <v>154</v>
      </c>
      <c r="P58" s="69"/>
    </row>
    <row r="59" spans="1:19" x14ac:dyDescent="0.25">
      <c r="A59" s="68" t="s">
        <v>155</v>
      </c>
      <c r="G59" s="71">
        <f>'Secretario Nivel Médio II'!I45</f>
        <v>2878.21</v>
      </c>
      <c r="J59" s="68" t="s">
        <v>153</v>
      </c>
      <c r="P59" s="71">
        <f>'Mód2.2'!H11</f>
        <v>277.3059394666667</v>
      </c>
    </row>
    <row r="60" spans="1:19" x14ac:dyDescent="0.25">
      <c r="A60" s="68" t="s">
        <v>156</v>
      </c>
      <c r="G60" s="71">
        <f>'Secretario Nivel Médio II'!I54</f>
        <v>588.11424333333332</v>
      </c>
      <c r="J60" s="68"/>
      <c r="P60" s="71"/>
    </row>
    <row r="61" spans="1:19" ht="13" x14ac:dyDescent="0.3">
      <c r="A61" s="70" t="s">
        <v>157</v>
      </c>
      <c r="G61" s="72">
        <f>SUM(G59:G60)</f>
        <v>3466.3242433333335</v>
      </c>
      <c r="J61" s="70" t="s">
        <v>157</v>
      </c>
      <c r="P61" s="72">
        <f>SUM(P59:P60)</f>
        <v>277.3059394666667</v>
      </c>
    </row>
    <row r="62" spans="1:19" ht="13" x14ac:dyDescent="0.25">
      <c r="A62" s="68"/>
      <c r="G62" s="69"/>
      <c r="H62" s="423" t="s">
        <v>213</v>
      </c>
      <c r="I62" s="424"/>
      <c r="J62" s="68"/>
      <c r="P62" s="69"/>
    </row>
    <row r="63" spans="1:19" ht="13" x14ac:dyDescent="0.3">
      <c r="A63" s="70" t="s">
        <v>218</v>
      </c>
      <c r="G63" s="73">
        <f>'Secretario Nivel Médio II'!H74</f>
        <v>0.08</v>
      </c>
      <c r="J63" s="70"/>
      <c r="P63" s="73"/>
    </row>
    <row r="64" spans="1:19" ht="13" x14ac:dyDescent="0.3">
      <c r="A64" s="70" t="s">
        <v>219</v>
      </c>
      <c r="G64" s="73">
        <v>0.4</v>
      </c>
      <c r="J64" s="70" t="s">
        <v>219</v>
      </c>
      <c r="P64" s="73">
        <v>0.4</v>
      </c>
    </row>
    <row r="65" spans="1:16" ht="13" x14ac:dyDescent="0.3">
      <c r="A65" s="70" t="s">
        <v>214</v>
      </c>
      <c r="C65" s="74"/>
      <c r="G65" s="85">
        <f>E13</f>
        <v>44.305</v>
      </c>
      <c r="J65" s="70" t="s">
        <v>214</v>
      </c>
      <c r="L65" s="74"/>
      <c r="P65" s="85">
        <f>E13</f>
        <v>44.305</v>
      </c>
    </row>
    <row r="66" spans="1:16" ht="13" thickBot="1" x14ac:dyDescent="0.3">
      <c r="A66" s="68"/>
      <c r="G66" s="69"/>
      <c r="J66" s="68"/>
      <c r="P66" s="69"/>
    </row>
    <row r="67" spans="1:16" ht="13.5" thickBot="1" x14ac:dyDescent="0.3">
      <c r="A67" s="403" t="s">
        <v>228</v>
      </c>
      <c r="B67" s="404"/>
      <c r="C67" s="404"/>
      <c r="D67" s="404"/>
      <c r="E67" s="404"/>
      <c r="F67" s="404"/>
      <c r="G67" s="79">
        <f>G61*G63*G64*G65%</f>
        <v>49.144158592282679</v>
      </c>
      <c r="J67" s="421" t="s">
        <v>229</v>
      </c>
      <c r="K67" s="422"/>
      <c r="L67" s="422"/>
      <c r="M67" s="422"/>
      <c r="N67" s="422"/>
      <c r="O67" s="422"/>
      <c r="P67" s="79">
        <f>P61*P64*P65%</f>
        <v>49.144158592282679</v>
      </c>
    </row>
    <row r="70" spans="1:16" ht="13" thickBot="1" x14ac:dyDescent="0.3"/>
    <row r="71" spans="1:16" ht="13.5" thickBot="1" x14ac:dyDescent="0.3">
      <c r="A71" s="403" t="s">
        <v>230</v>
      </c>
      <c r="B71" s="404"/>
      <c r="C71" s="404"/>
      <c r="D71" s="404"/>
      <c r="E71" s="404"/>
      <c r="F71" s="404"/>
      <c r="G71" s="405"/>
    </row>
    <row r="72" spans="1:16" x14ac:dyDescent="0.25">
      <c r="A72" s="96"/>
      <c r="B72" s="97"/>
      <c r="C72" s="97"/>
      <c r="D72" s="97"/>
      <c r="E72" s="97"/>
      <c r="F72" s="97"/>
      <c r="G72" s="98"/>
    </row>
    <row r="73" spans="1:16" ht="13" x14ac:dyDescent="0.3">
      <c r="A73" s="70" t="s">
        <v>154</v>
      </c>
      <c r="G73" s="69"/>
    </row>
    <row r="74" spans="1:16" x14ac:dyDescent="0.25">
      <c r="A74" s="68" t="s">
        <v>231</v>
      </c>
      <c r="G74" s="71">
        <f>-'Secretario Nivel Médio II'!I54</f>
        <v>-588.11424333333332</v>
      </c>
    </row>
    <row r="75" spans="1:16" x14ac:dyDescent="0.25">
      <c r="A75" s="68"/>
      <c r="G75" s="69"/>
    </row>
    <row r="76" spans="1:16" ht="13" x14ac:dyDescent="0.3">
      <c r="A76" s="70" t="s">
        <v>214</v>
      </c>
      <c r="G76" s="108">
        <f>E7</f>
        <v>1.35</v>
      </c>
    </row>
    <row r="77" spans="1:16" ht="13" thickBot="1" x14ac:dyDescent="0.3">
      <c r="A77" s="99"/>
      <c r="B77" s="100"/>
      <c r="C77" s="100"/>
      <c r="D77" s="100"/>
      <c r="E77" s="100"/>
      <c r="F77" s="100"/>
      <c r="G77" s="101"/>
    </row>
    <row r="78" spans="1:16" ht="13.5" thickBot="1" x14ac:dyDescent="0.3">
      <c r="A78" s="403" t="s">
        <v>232</v>
      </c>
      <c r="B78" s="404"/>
      <c r="C78" s="404"/>
      <c r="D78" s="404"/>
      <c r="E78" s="404"/>
      <c r="F78" s="404"/>
      <c r="G78" s="79">
        <f>G74*G76%</f>
        <v>-7.9395422850000008</v>
      </c>
    </row>
    <row r="80" spans="1:16" ht="13" thickBot="1" x14ac:dyDescent="0.3"/>
    <row r="81" spans="2:11" ht="13.5" thickBot="1" x14ac:dyDescent="0.35">
      <c r="B81" s="418" t="s">
        <v>233</v>
      </c>
      <c r="C81" s="419"/>
      <c r="D81" s="419"/>
      <c r="E81" s="419"/>
      <c r="F81" s="419"/>
      <c r="G81" s="419"/>
      <c r="H81" s="419"/>
      <c r="I81" s="419"/>
      <c r="J81" s="419"/>
      <c r="K81" s="420"/>
    </row>
    <row r="82" spans="2:11" ht="13" x14ac:dyDescent="0.25">
      <c r="B82" s="96"/>
      <c r="C82" s="97"/>
      <c r="D82" s="97"/>
      <c r="E82" s="97"/>
      <c r="F82" s="97"/>
      <c r="G82" s="98"/>
      <c r="H82" s="109" t="s">
        <v>234</v>
      </c>
      <c r="I82" s="109" t="s">
        <v>235</v>
      </c>
      <c r="J82" s="109" t="s">
        <v>236</v>
      </c>
      <c r="K82" s="109" t="s">
        <v>237</v>
      </c>
    </row>
    <row r="83" spans="2:11" ht="13.5" thickBot="1" x14ac:dyDescent="0.3">
      <c r="B83" s="409" t="s">
        <v>238</v>
      </c>
      <c r="C83" s="410"/>
      <c r="D83" s="410"/>
      <c r="E83" s="410"/>
      <c r="F83" s="410"/>
      <c r="G83" s="411"/>
      <c r="H83" s="112" t="s">
        <v>239</v>
      </c>
      <c r="I83" s="112" t="s">
        <v>240</v>
      </c>
      <c r="J83" s="112"/>
      <c r="K83" s="112" t="s">
        <v>241</v>
      </c>
    </row>
    <row r="84" spans="2:11" x14ac:dyDescent="0.25">
      <c r="B84" s="96"/>
      <c r="C84" s="97"/>
      <c r="D84" s="97"/>
      <c r="E84" s="97"/>
      <c r="F84" s="97"/>
      <c r="G84" s="98"/>
      <c r="H84" s="110"/>
      <c r="I84" s="110"/>
      <c r="J84" s="110"/>
      <c r="K84" s="110"/>
    </row>
    <row r="85" spans="2:11" x14ac:dyDescent="0.25">
      <c r="B85" s="68" t="str">
        <f>A28</f>
        <v>VALOR AP INDENIZADO</v>
      </c>
      <c r="G85" s="69"/>
      <c r="H85" s="111">
        <f>C28</f>
        <v>157.20160822644468</v>
      </c>
      <c r="I85" s="110"/>
      <c r="J85" s="110"/>
      <c r="K85" s="111">
        <f>G28</f>
        <v>104.80107215096314</v>
      </c>
    </row>
    <row r="86" spans="2:11" x14ac:dyDescent="0.25">
      <c r="B86" s="68" t="str">
        <f>A41</f>
        <v>VALOR MULTA FGTS E CONTRIBUIÇÃO SOCIAL NO AP INDENIZADO</v>
      </c>
      <c r="G86" s="69"/>
      <c r="H86" s="111">
        <f>G41</f>
        <v>49.144158592282679</v>
      </c>
      <c r="I86" s="110"/>
      <c r="J86" s="110"/>
      <c r="K86" s="111">
        <f>G41</f>
        <v>49.144158592282679</v>
      </c>
    </row>
    <row r="87" spans="2:11" x14ac:dyDescent="0.25">
      <c r="B87" s="68" t="str">
        <f>A54</f>
        <v>VALOR AP TRABALHADO</v>
      </c>
      <c r="G87" s="69"/>
      <c r="H87" s="111">
        <f>C54</f>
        <v>194.05972717065671</v>
      </c>
      <c r="I87" s="111">
        <f>J52</f>
        <v>55.837274000000001</v>
      </c>
      <c r="J87" s="110"/>
      <c r="K87" s="111">
        <f>G54</f>
        <v>129.37315144710448</v>
      </c>
    </row>
    <row r="88" spans="2:11" x14ac:dyDescent="0.25">
      <c r="B88" s="68" t="str">
        <f>A67</f>
        <v>VALOR MULTA FGTS E CONTRIBUIÇÃO SOCIAL NO AP TRABALHADO</v>
      </c>
      <c r="G88" s="69"/>
      <c r="H88" s="111">
        <f>G67</f>
        <v>49.144158592282679</v>
      </c>
      <c r="I88" s="110"/>
      <c r="J88" s="110"/>
      <c r="K88" s="111">
        <f>G67</f>
        <v>49.144158592282679</v>
      </c>
    </row>
    <row r="89" spans="2:11" x14ac:dyDescent="0.25">
      <c r="B89" s="68" t="str">
        <f>A78</f>
        <v>VALOR DEMISSÃO POR JUSTA CAUSA</v>
      </c>
      <c r="G89" s="69"/>
      <c r="H89" s="111">
        <f>G78</f>
        <v>-7.9395422850000008</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242</v>
      </c>
      <c r="C91" s="89"/>
      <c r="D91" s="89"/>
      <c r="E91" s="89"/>
      <c r="F91" s="89"/>
      <c r="G91" s="89"/>
      <c r="H91" s="113">
        <f>SUM(H85:H90)</f>
        <v>441.61011029666673</v>
      </c>
      <c r="I91" s="117">
        <f>SUM(I85:I90)</f>
        <v>55.837274000000001</v>
      </c>
      <c r="J91" s="114">
        <f>SUM(J85:J90)</f>
        <v>0</v>
      </c>
      <c r="K91" s="117">
        <f>SUM(K85:K90)</f>
        <v>332.46254078263297</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243</v>
      </c>
      <c r="B1" s="429" t="s">
        <v>244</v>
      </c>
      <c r="C1" s="429"/>
      <c r="D1" s="429"/>
      <c r="E1" s="429"/>
      <c r="F1" s="429"/>
      <c r="G1" s="429"/>
      <c r="H1" s="12">
        <f>'Secretario Nivel Médio II'!H155+'Secretario Nivel Médio II'!H156+'Secretario Nivel Médio II'!H157</f>
        <v>0.14250000000000002</v>
      </c>
      <c r="I1" s="13"/>
    </row>
    <row r="2" spans="1:9" ht="13" x14ac:dyDescent="0.3">
      <c r="A2" s="14"/>
      <c r="B2" s="430">
        <v>100</v>
      </c>
      <c r="C2" s="430"/>
      <c r="D2" s="430"/>
      <c r="E2" s="430"/>
      <c r="F2" s="430"/>
      <c r="G2" s="430"/>
      <c r="H2" s="15"/>
      <c r="I2" s="16"/>
    </row>
    <row r="3" spans="1:9" ht="13" x14ac:dyDescent="0.3">
      <c r="A3" s="17"/>
      <c r="B3" s="35"/>
      <c r="C3" s="35"/>
      <c r="D3" s="35"/>
      <c r="E3" s="35"/>
      <c r="F3" s="35"/>
      <c r="G3" s="35"/>
      <c r="H3" s="15"/>
      <c r="I3" s="16"/>
    </row>
    <row r="4" spans="1:9" ht="13" x14ac:dyDescent="0.3">
      <c r="A4" s="14" t="s">
        <v>245</v>
      </c>
      <c r="B4" s="430" t="s">
        <v>246</v>
      </c>
      <c r="C4" s="430"/>
      <c r="D4" s="430"/>
      <c r="E4" s="430"/>
      <c r="F4" s="430"/>
      <c r="G4" s="430"/>
      <c r="H4" s="15"/>
      <c r="I4" s="16">
        <f>'Secretario Nivel Médio II'!I152+'Secretario Nivel Médio II'!I153+'Secretario Nivel Médio II'!I170</f>
        <v>6451.8174275970796</v>
      </c>
    </row>
    <row r="5" spans="1:9" ht="13" x14ac:dyDescent="0.3">
      <c r="A5" s="14"/>
      <c r="B5" s="35"/>
      <c r="C5" s="35"/>
      <c r="D5" s="35"/>
      <c r="E5" s="35"/>
      <c r="F5" s="35"/>
      <c r="G5" s="35"/>
      <c r="H5" s="15"/>
      <c r="I5" s="16"/>
    </row>
    <row r="6" spans="1:9" ht="13" x14ac:dyDescent="0.3">
      <c r="A6" s="14" t="s">
        <v>247</v>
      </c>
      <c r="B6" s="430" t="s">
        <v>248</v>
      </c>
      <c r="C6" s="430"/>
      <c r="D6" s="430"/>
      <c r="E6" s="430"/>
      <c r="F6" s="430"/>
      <c r="G6" s="430"/>
      <c r="H6" s="15"/>
      <c r="I6" s="16">
        <f>I4/(1-H1)</f>
        <v>7523.9853383056325</v>
      </c>
    </row>
    <row r="7" spans="1:9" ht="13" x14ac:dyDescent="0.3">
      <c r="A7" s="14"/>
      <c r="B7" s="35"/>
      <c r="C7" s="35"/>
      <c r="D7" s="35"/>
      <c r="E7" s="35"/>
      <c r="F7" s="35"/>
      <c r="G7" s="35"/>
      <c r="H7" s="15"/>
      <c r="I7" s="16"/>
    </row>
    <row r="8" spans="1:9" ht="13" x14ac:dyDescent="0.3">
      <c r="A8" s="18"/>
      <c r="B8" s="431" t="s">
        <v>249</v>
      </c>
      <c r="C8" s="431"/>
      <c r="D8" s="431"/>
      <c r="E8" s="431"/>
      <c r="F8" s="431"/>
      <c r="G8" s="431"/>
      <c r="H8" s="19"/>
      <c r="I8" s="20">
        <f>I6-I4</f>
        <v>1072.1679107085529</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03" t="s">
        <v>250</v>
      </c>
      <c r="B1" s="404"/>
      <c r="C1" s="404"/>
      <c r="D1" s="404"/>
      <c r="E1" s="404"/>
      <c r="F1" s="404"/>
      <c r="G1" s="404"/>
      <c r="H1" s="404"/>
      <c r="I1" s="405"/>
    </row>
    <row r="3" spans="1:16" ht="13" x14ac:dyDescent="0.3">
      <c r="A3" s="81" t="s">
        <v>251</v>
      </c>
    </row>
    <row r="5" spans="1:16" ht="13" x14ac:dyDescent="0.3">
      <c r="A5" s="10" t="s">
        <v>154</v>
      </c>
      <c r="B5" s="10"/>
    </row>
    <row r="7" spans="1:16" x14ac:dyDescent="0.25">
      <c r="A7" t="s">
        <v>252</v>
      </c>
      <c r="D7" s="7">
        <f>'Secretario Nivel Médio II'!I45</f>
        <v>2878.21</v>
      </c>
    </row>
    <row r="8" spans="1:16" x14ac:dyDescent="0.25">
      <c r="A8" t="s">
        <v>253</v>
      </c>
      <c r="D8" s="7">
        <f>'Secretario Nivel Médio II'!I102</f>
        <v>2377.8936588373335</v>
      </c>
    </row>
    <row r="9" spans="1:16" x14ac:dyDescent="0.25">
      <c r="A9" t="s">
        <v>254</v>
      </c>
      <c r="D9" s="7">
        <f>'Secretario Nivel Médio II'!I112</f>
        <v>204.56935139199999</v>
      </c>
    </row>
    <row r="10" spans="1:16" x14ac:dyDescent="0.25">
      <c r="D10" s="7"/>
    </row>
    <row r="11" spans="1:16" ht="13" x14ac:dyDescent="0.3">
      <c r="A11" s="10" t="s">
        <v>255</v>
      </c>
      <c r="B11" s="10"/>
      <c r="C11" s="10"/>
      <c r="D11" s="4">
        <f>SUM(D7:D10)</f>
        <v>5460.6730102293332</v>
      </c>
    </row>
    <row r="12" spans="1:16" ht="13" thickBot="1" x14ac:dyDescent="0.3"/>
    <row r="13" spans="1:16" ht="13" thickBot="1" x14ac:dyDescent="0.3">
      <c r="A13" s="83" t="s">
        <v>256</v>
      </c>
      <c r="B13" s="77"/>
      <c r="C13" s="77"/>
      <c r="D13" s="78">
        <v>30</v>
      </c>
      <c r="F13" s="432"/>
      <c r="G13" s="432"/>
      <c r="H13" s="432"/>
      <c r="I13" s="432"/>
      <c r="J13" s="432"/>
      <c r="K13" s="432"/>
      <c r="L13" s="432"/>
      <c r="M13" s="432"/>
    </row>
    <row r="14" spans="1:16" ht="13" thickBot="1" x14ac:dyDescent="0.3"/>
    <row r="15" spans="1:16" ht="13.5" thickBot="1" x14ac:dyDescent="0.35">
      <c r="A15" s="64" t="s">
        <v>257</v>
      </c>
      <c r="B15" s="82"/>
      <c r="C15" s="82"/>
      <c r="D15" s="66">
        <f>D11/D13</f>
        <v>182.02243367431112</v>
      </c>
      <c r="P15" s="10" t="s">
        <v>198</v>
      </c>
    </row>
    <row r="16" spans="1:16" ht="13" thickBot="1" x14ac:dyDescent="0.3"/>
    <row r="17" spans="1:17" ht="13.5" thickBot="1" x14ac:dyDescent="0.3">
      <c r="A17" s="83" t="s">
        <v>258</v>
      </c>
      <c r="B17" s="77"/>
      <c r="C17" s="77"/>
      <c r="D17" s="77"/>
      <c r="E17" s="77"/>
      <c r="F17" s="77"/>
      <c r="G17" s="77"/>
      <c r="H17" s="77"/>
      <c r="I17" s="161">
        <f>P17</f>
        <v>20.9589</v>
      </c>
      <c r="P17" s="144">
        <v>20.9589</v>
      </c>
      <c r="Q17" t="s">
        <v>259</v>
      </c>
    </row>
    <row r="18" spans="1:17" ht="13" thickBot="1" x14ac:dyDescent="0.3">
      <c r="P18" s="145">
        <v>1</v>
      </c>
      <c r="Q18" t="s">
        <v>260</v>
      </c>
    </row>
    <row r="19" spans="1:17" ht="13.5" thickBot="1" x14ac:dyDescent="0.3">
      <c r="A19" s="83" t="s">
        <v>261</v>
      </c>
      <c r="B19" s="77"/>
      <c r="C19" s="77"/>
      <c r="D19" s="77"/>
      <c r="E19" s="77"/>
      <c r="F19" s="77"/>
      <c r="G19" s="77"/>
      <c r="H19" s="77"/>
      <c r="I19" s="161">
        <f>P18+SUM(P21:P26)+P29</f>
        <v>4.8740000000000006</v>
      </c>
      <c r="P19" s="145">
        <v>0</v>
      </c>
      <c r="Q19" t="s">
        <v>262</v>
      </c>
    </row>
    <row r="20" spans="1:17" ht="13.5" thickBot="1" x14ac:dyDescent="0.3">
      <c r="P20" s="146">
        <v>0.96589999999999998</v>
      </c>
      <c r="Q20" t="s">
        <v>263</v>
      </c>
    </row>
    <row r="21" spans="1:17" ht="13.5" thickBot="1" x14ac:dyDescent="0.3">
      <c r="A21" s="83" t="s">
        <v>264</v>
      </c>
      <c r="B21" s="77"/>
      <c r="C21" s="77"/>
      <c r="D21" s="77"/>
      <c r="E21" s="77"/>
      <c r="F21" s="77"/>
      <c r="G21" s="77"/>
      <c r="H21" s="77"/>
      <c r="I21" s="161">
        <f>P27</f>
        <v>0.19969999999999999</v>
      </c>
      <c r="P21" s="145">
        <v>3.4931999999999999</v>
      </c>
      <c r="Q21" t="s">
        <v>265</v>
      </c>
    </row>
    <row r="22" spans="1:17" ht="13" thickBot="1" x14ac:dyDescent="0.3">
      <c r="P22" s="145">
        <v>0.26879999999999998</v>
      </c>
      <c r="Q22" t="s">
        <v>266</v>
      </c>
    </row>
    <row r="23" spans="1:17" ht="13.5" thickBot="1" x14ac:dyDescent="0.3">
      <c r="A23" s="83" t="s">
        <v>267</v>
      </c>
      <c r="B23" s="77"/>
      <c r="C23" s="77"/>
      <c r="D23" s="77"/>
      <c r="E23" s="77"/>
      <c r="F23" s="77"/>
      <c r="G23" s="77"/>
      <c r="H23" s="77"/>
      <c r="I23" s="161">
        <f>P20</f>
        <v>0.96589999999999998</v>
      </c>
      <c r="P23" s="145">
        <v>4.2700000000000002E-2</v>
      </c>
      <c r="Q23" t="s">
        <v>268</v>
      </c>
    </row>
    <row r="24" spans="1:17" ht="13" thickBot="1" x14ac:dyDescent="0.3">
      <c r="P24" s="145">
        <v>3.5499999999999997E-2</v>
      </c>
      <c r="Q24" t="s">
        <v>269</v>
      </c>
    </row>
    <row r="25" spans="1:17" ht="13.5" thickBot="1" x14ac:dyDescent="0.3">
      <c r="A25" s="83" t="s">
        <v>270</v>
      </c>
      <c r="B25" s="77"/>
      <c r="C25" s="77"/>
      <c r="D25" s="77"/>
      <c r="E25" s="77"/>
      <c r="F25" s="77"/>
      <c r="G25" s="77"/>
      <c r="H25" s="77"/>
      <c r="I25" s="161">
        <f>P28</f>
        <v>2.4752999999999998</v>
      </c>
      <c r="P25" s="145">
        <v>0.02</v>
      </c>
      <c r="Q25" t="s">
        <v>271</v>
      </c>
    </row>
    <row r="26" spans="1:17" ht="13" thickBot="1" x14ac:dyDescent="0.3">
      <c r="P26" s="145">
        <v>4.0000000000000001E-3</v>
      </c>
      <c r="Q26" t="s">
        <v>272</v>
      </c>
    </row>
    <row r="27" spans="1:17" ht="13.5" thickBot="1" x14ac:dyDescent="0.3">
      <c r="I27" s="83" t="s">
        <v>273</v>
      </c>
      <c r="J27" s="119">
        <f>SUM(I17:I25)</f>
        <v>29.473800000000004</v>
      </c>
      <c r="P27" s="146">
        <v>0.19969999999999999</v>
      </c>
      <c r="Q27" t="s">
        <v>274</v>
      </c>
    </row>
    <row r="28" spans="1:17" ht="13.5" thickBot="1" x14ac:dyDescent="0.3">
      <c r="A28" s="83" t="s">
        <v>275</v>
      </c>
      <c r="B28" s="77"/>
      <c r="C28" s="77"/>
      <c r="D28" s="77"/>
      <c r="E28" s="79">
        <f>D15*I17/12</f>
        <v>317.91583209470997</v>
      </c>
      <c r="P28" s="146">
        <v>2.4752999999999998</v>
      </c>
      <c r="Q28" t="s">
        <v>276</v>
      </c>
    </row>
    <row r="29" spans="1:17" ht="13" thickBot="1" x14ac:dyDescent="0.3">
      <c r="P29" s="147">
        <v>9.7999999999999997E-3</v>
      </c>
      <c r="Q29" t="s">
        <v>277</v>
      </c>
    </row>
    <row r="30" spans="1:17" ht="13.5" thickBot="1" x14ac:dyDescent="0.3">
      <c r="A30" s="83" t="s">
        <v>278</v>
      </c>
      <c r="B30" s="77"/>
      <c r="C30" s="77"/>
      <c r="D30" s="77"/>
      <c r="E30" s="79">
        <f>D15*I19/12</f>
        <v>73.931445144049377</v>
      </c>
    </row>
    <row r="31" spans="1:17" ht="13.5" thickBot="1" x14ac:dyDescent="0.35">
      <c r="P31" s="148">
        <f>SUM(P17:P29)</f>
        <v>29.473799999999997</v>
      </c>
      <c r="Q31" s="37" t="s">
        <v>279</v>
      </c>
    </row>
    <row r="32" spans="1:17" ht="13.5" thickBot="1" x14ac:dyDescent="0.3">
      <c r="A32" s="83" t="s">
        <v>280</v>
      </c>
      <c r="B32" s="77"/>
      <c r="C32" s="77"/>
      <c r="D32" s="77"/>
      <c r="E32" s="79">
        <f>D15*I21/12</f>
        <v>3.0291566670633272</v>
      </c>
    </row>
    <row r="33" spans="1:16" ht="13" thickBot="1" x14ac:dyDescent="0.3"/>
    <row r="34" spans="1:16" ht="13.5" thickBot="1" x14ac:dyDescent="0.3">
      <c r="A34" s="83" t="s">
        <v>281</v>
      </c>
      <c r="B34" s="77"/>
      <c r="C34" s="77"/>
      <c r="D34" s="77"/>
      <c r="E34" s="79">
        <f>D15*I23/12</f>
        <v>14.651289057168093</v>
      </c>
      <c r="P34" s="118"/>
    </row>
    <row r="35" spans="1:16" ht="13" thickBot="1" x14ac:dyDescent="0.3"/>
    <row r="36" spans="1:16" ht="13.5" thickBot="1" x14ac:dyDescent="0.3">
      <c r="A36" s="83" t="s">
        <v>282</v>
      </c>
      <c r="B36" s="77"/>
      <c r="C36" s="77"/>
      <c r="D36" s="77"/>
      <c r="E36" s="79">
        <f>D15*I25/12</f>
        <v>37.546677506168521</v>
      </c>
    </row>
    <row r="37" spans="1:16" ht="13" thickBot="1" x14ac:dyDescent="0.3"/>
    <row r="38" spans="1:16" ht="13.5" thickBot="1" x14ac:dyDescent="0.3">
      <c r="C38" s="433" t="s">
        <v>283</v>
      </c>
      <c r="D38" s="434"/>
      <c r="E38" s="434"/>
      <c r="F38" s="434"/>
      <c r="G38" s="434"/>
      <c r="H38" s="434"/>
      <c r="I38" s="435"/>
      <c r="J38" s="79">
        <f>SUM(E28:E36)</f>
        <v>447.07440046915929</v>
      </c>
    </row>
    <row r="41" spans="1:16" ht="13" thickBot="1" x14ac:dyDescent="0.3"/>
    <row r="42" spans="1:16" ht="13.5" thickBot="1" x14ac:dyDescent="0.3">
      <c r="A42" s="436" t="s">
        <v>284</v>
      </c>
      <c r="B42" s="437"/>
      <c r="C42" s="437"/>
      <c r="D42" s="438"/>
      <c r="E42" s="149"/>
      <c r="F42" s="149"/>
      <c r="G42" s="149"/>
      <c r="H42" s="53"/>
      <c r="I42" s="53"/>
    </row>
    <row r="43" spans="1:16" x14ac:dyDescent="0.25">
      <c r="A43" s="150"/>
      <c r="B43" s="150"/>
      <c r="C43" s="150"/>
      <c r="D43" s="150"/>
      <c r="E43" s="150"/>
      <c r="F43" s="150"/>
      <c r="G43" s="150"/>
    </row>
    <row r="44" spans="1:16" ht="13" x14ac:dyDescent="0.3">
      <c r="A44" s="151" t="s">
        <v>154</v>
      </c>
      <c r="B44" s="151"/>
      <c r="C44" s="150"/>
      <c r="D44" s="150"/>
      <c r="E44" s="150"/>
      <c r="F44" s="150"/>
      <c r="G44" s="150"/>
    </row>
    <row r="45" spans="1:16" x14ac:dyDescent="0.25">
      <c r="A45" s="150"/>
      <c r="B45" s="150"/>
      <c r="C45" s="150"/>
      <c r="D45" s="150"/>
      <c r="E45" s="150"/>
      <c r="F45" s="150"/>
      <c r="G45" s="150"/>
    </row>
    <row r="46" spans="1:16" x14ac:dyDescent="0.25">
      <c r="A46" s="150" t="s">
        <v>252</v>
      </c>
      <c r="B46" s="150"/>
      <c r="C46" s="150"/>
      <c r="D46" s="152">
        <f>'Secretario Nivel Médio II'!I45</f>
        <v>2878.21</v>
      </c>
      <c r="E46" s="150"/>
      <c r="F46" s="150"/>
      <c r="G46" s="150"/>
    </row>
    <row r="47" spans="1:16" x14ac:dyDescent="0.25">
      <c r="A47" s="150" t="s">
        <v>253</v>
      </c>
      <c r="B47" s="150"/>
      <c r="C47" s="150"/>
      <c r="D47" s="152">
        <f>'Secretario Nivel Médio II'!I102</f>
        <v>2377.8936588373335</v>
      </c>
      <c r="E47" s="150"/>
      <c r="F47" s="150"/>
      <c r="G47" s="150"/>
    </row>
    <row r="48" spans="1:16" x14ac:dyDescent="0.25">
      <c r="A48" s="150" t="s">
        <v>254</v>
      </c>
      <c r="B48" s="150"/>
      <c r="C48" s="150"/>
      <c r="D48" s="152">
        <f>'Secretario Nivel Médio II'!I112</f>
        <v>204.56935139199999</v>
      </c>
      <c r="E48" s="150"/>
      <c r="F48" s="150"/>
      <c r="G48" s="150"/>
    </row>
    <row r="49" spans="1:10" x14ac:dyDescent="0.25">
      <c r="A49" s="150"/>
      <c r="B49" s="150"/>
      <c r="C49" s="150"/>
      <c r="D49" s="152"/>
      <c r="E49" s="150"/>
      <c r="F49" s="150"/>
      <c r="G49" s="150"/>
    </row>
    <row r="50" spans="1:10" ht="13" x14ac:dyDescent="0.3">
      <c r="A50" s="151" t="s">
        <v>255</v>
      </c>
      <c r="B50" s="151"/>
      <c r="C50" s="151"/>
      <c r="D50" s="153">
        <f>SUM(D46:D49)</f>
        <v>5460.6730102293332</v>
      </c>
      <c r="E50" s="150"/>
      <c r="F50" s="150"/>
      <c r="G50" s="150"/>
    </row>
    <row r="51" spans="1:10" ht="13" thickBot="1" x14ac:dyDescent="0.3">
      <c r="A51" s="150"/>
      <c r="B51" s="150"/>
      <c r="C51" s="150"/>
      <c r="D51" s="150"/>
      <c r="E51" s="150"/>
      <c r="F51" s="150"/>
      <c r="G51" s="150"/>
    </row>
    <row r="52" spans="1:10" ht="13" thickBot="1" x14ac:dyDescent="0.3">
      <c r="A52" s="154" t="s">
        <v>285</v>
      </c>
      <c r="B52" s="155"/>
      <c r="C52" s="155"/>
      <c r="D52" s="156">
        <v>220</v>
      </c>
      <c r="E52" s="157" t="s">
        <v>286</v>
      </c>
      <c r="F52" s="150" t="s">
        <v>287</v>
      </c>
      <c r="G52" s="150"/>
    </row>
    <row r="53" spans="1:10" ht="13" thickBot="1" x14ac:dyDescent="0.3">
      <c r="A53" s="150"/>
      <c r="B53" s="150"/>
      <c r="C53" s="150"/>
      <c r="D53" s="150"/>
      <c r="E53" s="150"/>
      <c r="F53" s="150"/>
      <c r="G53" s="150"/>
    </row>
    <row r="54" spans="1:10" ht="13.5" thickBot="1" x14ac:dyDescent="0.35">
      <c r="A54" s="158" t="s">
        <v>288</v>
      </c>
      <c r="B54" s="159"/>
      <c r="C54" s="159"/>
      <c r="D54" s="160">
        <f>D50/D52</f>
        <v>24.821240955587879</v>
      </c>
      <c r="E54" s="150"/>
      <c r="F54" s="150"/>
      <c r="G54" s="150"/>
    </row>
    <row r="55" spans="1:10" ht="13" thickBot="1" x14ac:dyDescent="0.3">
      <c r="A55" s="150"/>
      <c r="B55" s="150"/>
      <c r="C55" s="150"/>
      <c r="D55" s="150"/>
      <c r="E55" s="150"/>
      <c r="F55" s="150"/>
      <c r="G55" s="150"/>
    </row>
    <row r="56" spans="1:10" ht="13" thickBot="1" x14ac:dyDescent="0.3">
      <c r="A56" s="154" t="s">
        <v>289</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290</v>
      </c>
      <c r="B58" s="159"/>
      <c r="C58" s="159"/>
      <c r="D58" s="160">
        <f>D54*D56</f>
        <v>372.31861433381818</v>
      </c>
      <c r="E58" s="150"/>
      <c r="F58" s="150"/>
      <c r="G58" s="150"/>
    </row>
    <row r="62" spans="1:10" x14ac:dyDescent="0.25">
      <c r="A62" s="406" t="s">
        <v>291</v>
      </c>
      <c r="B62" s="406"/>
      <c r="C62" s="406"/>
      <c r="D62" s="406"/>
      <c r="E62" s="406"/>
      <c r="F62" s="406"/>
      <c r="G62" s="406"/>
      <c r="H62" s="406"/>
      <c r="I62" s="406"/>
      <c r="J62" s="406"/>
    </row>
    <row r="63" spans="1:10" x14ac:dyDescent="0.25">
      <c r="A63" s="406"/>
      <c r="B63" s="406"/>
      <c r="C63" s="406"/>
      <c r="D63" s="406"/>
      <c r="E63" s="406"/>
      <c r="F63" s="406"/>
      <c r="G63" s="406"/>
      <c r="H63" s="406"/>
      <c r="I63" s="406"/>
      <c r="J63" s="406"/>
    </row>
    <row r="64" spans="1:10" x14ac:dyDescent="0.25">
      <c r="A64" s="406"/>
      <c r="B64" s="406"/>
      <c r="C64" s="406"/>
      <c r="D64" s="406"/>
      <c r="E64" s="406"/>
      <c r="F64" s="406"/>
      <c r="G64" s="406"/>
      <c r="H64" s="406"/>
      <c r="I64" s="406"/>
      <c r="J64" s="406"/>
    </row>
    <row r="65" spans="1:10" x14ac:dyDescent="0.25">
      <c r="A65" s="406"/>
      <c r="B65" s="406"/>
      <c r="C65" s="406"/>
      <c r="D65" s="406"/>
      <c r="E65" s="406"/>
      <c r="F65" s="406"/>
      <c r="G65" s="406"/>
      <c r="H65" s="406"/>
      <c r="I65" s="406"/>
      <c r="J65" s="406"/>
    </row>
    <row r="66" spans="1:10" x14ac:dyDescent="0.25">
      <c r="A66" s="406"/>
      <c r="B66" s="406"/>
      <c r="C66" s="406"/>
      <c r="D66" s="406"/>
      <c r="E66" s="406"/>
      <c r="F66" s="406"/>
      <c r="G66" s="406"/>
      <c r="H66" s="406"/>
      <c r="I66" s="406"/>
      <c r="J66" s="406"/>
    </row>
    <row r="67" spans="1:10" x14ac:dyDescent="0.25">
      <c r="A67" s="406"/>
      <c r="B67" s="406"/>
      <c r="C67" s="406"/>
      <c r="D67" s="406"/>
      <c r="E67" s="406"/>
      <c r="F67" s="406"/>
      <c r="G67" s="406"/>
      <c r="H67" s="406"/>
      <c r="I67" s="406"/>
      <c r="J67" s="406"/>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8"/>
  <sheetViews>
    <sheetView topLeftCell="A42" workbookViewId="0">
      <selection activeCell="B6" sqref="B6:D6"/>
    </sheetView>
  </sheetViews>
  <sheetFormatPr defaultRowHeight="12.5" x14ac:dyDescent="0.25"/>
  <cols>
    <col min="1" max="1" width="3.7265625" style="216"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38.5" customHeight="1" thickBot="1" x14ac:dyDescent="0.3">
      <c r="A1" s="503" t="s">
        <v>472</v>
      </c>
      <c r="B1" s="504"/>
      <c r="C1" s="504"/>
      <c r="D1" s="504"/>
      <c r="E1" s="504"/>
      <c r="F1" s="504"/>
      <c r="G1" s="504"/>
      <c r="H1" s="504"/>
      <c r="I1" s="504"/>
      <c r="J1" s="504"/>
      <c r="K1" s="504"/>
      <c r="L1" s="505"/>
    </row>
    <row r="2" spans="1:13" ht="13" x14ac:dyDescent="0.25">
      <c r="A2" s="188" t="s">
        <v>4</v>
      </c>
      <c r="B2" s="516" t="s">
        <v>293</v>
      </c>
      <c r="C2" s="506"/>
      <c r="D2" s="506"/>
      <c r="E2" s="189" t="s">
        <v>294</v>
      </c>
      <c r="F2" s="517"/>
      <c r="G2" s="506"/>
      <c r="H2" s="506"/>
      <c r="I2" s="506"/>
      <c r="J2" s="189" t="s">
        <v>295</v>
      </c>
      <c r="K2" s="506"/>
      <c r="L2" s="507"/>
    </row>
    <row r="3" spans="1:13" ht="13" x14ac:dyDescent="0.25">
      <c r="A3" s="190" t="s">
        <v>6</v>
      </c>
      <c r="B3" s="512" t="s">
        <v>442</v>
      </c>
      <c r="C3" s="512"/>
      <c r="D3" s="512"/>
      <c r="E3" s="191" t="s">
        <v>294</v>
      </c>
      <c r="F3" s="514"/>
      <c r="G3" s="518"/>
      <c r="H3" s="518"/>
      <c r="I3" s="518"/>
      <c r="J3" s="191" t="s">
        <v>295</v>
      </c>
      <c r="K3" s="508"/>
      <c r="L3" s="509"/>
    </row>
    <row r="4" spans="1:13" ht="13" x14ac:dyDescent="0.25">
      <c r="A4" s="192" t="s">
        <v>8</v>
      </c>
      <c r="B4" s="510"/>
      <c r="C4" s="510"/>
      <c r="D4" s="510"/>
      <c r="E4" s="193" t="s">
        <v>294</v>
      </c>
      <c r="F4" s="515"/>
      <c r="G4" s="510"/>
      <c r="H4" s="510"/>
      <c r="I4" s="510"/>
      <c r="J4" s="193" t="s">
        <v>295</v>
      </c>
      <c r="K4" s="510"/>
      <c r="L4" s="511"/>
    </row>
    <row r="5" spans="1:13" ht="13" x14ac:dyDescent="0.25">
      <c r="A5" s="190" t="s">
        <v>10</v>
      </c>
      <c r="B5" s="512"/>
      <c r="C5" s="512"/>
      <c r="D5" s="512"/>
      <c r="E5" s="191" t="s">
        <v>294</v>
      </c>
      <c r="F5" s="514"/>
      <c r="G5" s="508"/>
      <c r="H5" s="508"/>
      <c r="I5" s="508"/>
      <c r="J5" s="191" t="s">
        <v>295</v>
      </c>
      <c r="K5" s="512"/>
      <c r="L5" s="513"/>
    </row>
    <row r="6" spans="1:13" ht="13" x14ac:dyDescent="0.25">
      <c r="A6" s="194" t="s">
        <v>39</v>
      </c>
      <c r="B6" s="474"/>
      <c r="C6" s="474"/>
      <c r="D6" s="474"/>
      <c r="E6" s="195" t="s">
        <v>294</v>
      </c>
      <c r="F6" s="501"/>
      <c r="G6" s="502"/>
      <c r="H6" s="502"/>
      <c r="I6" s="502"/>
      <c r="J6" s="195" t="s">
        <v>295</v>
      </c>
      <c r="K6" s="474"/>
      <c r="L6" s="475"/>
    </row>
    <row r="7" spans="1:13" ht="13.5" thickBot="1" x14ac:dyDescent="0.3">
      <c r="A7" s="196" t="s">
        <v>41</v>
      </c>
      <c r="B7" s="476"/>
      <c r="C7" s="476"/>
      <c r="D7" s="476"/>
      <c r="E7" s="197" t="s">
        <v>294</v>
      </c>
      <c r="F7" s="499"/>
      <c r="G7" s="500"/>
      <c r="H7" s="500"/>
      <c r="I7" s="500"/>
      <c r="J7" s="198" t="s">
        <v>295</v>
      </c>
      <c r="K7" s="476"/>
      <c r="L7" s="477"/>
    </row>
    <row r="8" spans="1:13" ht="13" x14ac:dyDescent="0.25">
      <c r="A8" s="478" t="s">
        <v>296</v>
      </c>
      <c r="B8" s="481" t="s">
        <v>433</v>
      </c>
      <c r="C8" s="484" t="s">
        <v>297</v>
      </c>
      <c r="D8" s="487" t="s">
        <v>298</v>
      </c>
      <c r="E8" s="490" t="s">
        <v>299</v>
      </c>
      <c r="F8" s="491"/>
      <c r="G8" s="491"/>
      <c r="H8" s="491"/>
      <c r="I8" s="491"/>
      <c r="J8" s="492"/>
      <c r="K8" s="493" t="s">
        <v>300</v>
      </c>
      <c r="L8" s="494"/>
    </row>
    <row r="9" spans="1:13" ht="13.5" x14ac:dyDescent="0.25">
      <c r="A9" s="479"/>
      <c r="B9" s="482"/>
      <c r="C9" s="485"/>
      <c r="D9" s="488"/>
      <c r="E9" s="199" t="s">
        <v>4</v>
      </c>
      <c r="F9" s="200" t="s">
        <v>6</v>
      </c>
      <c r="G9" s="200" t="s">
        <v>8</v>
      </c>
      <c r="H9" s="200" t="s">
        <v>10</v>
      </c>
      <c r="I9" s="200" t="s">
        <v>39</v>
      </c>
      <c r="J9" s="201" t="s">
        <v>41</v>
      </c>
      <c r="K9" s="495" t="s">
        <v>301</v>
      </c>
      <c r="L9" s="497" t="s">
        <v>302</v>
      </c>
    </row>
    <row r="10" spans="1:13" ht="13" thickBot="1" x14ac:dyDescent="0.3">
      <c r="A10" s="480"/>
      <c r="B10" s="483"/>
      <c r="C10" s="486"/>
      <c r="D10" s="489"/>
      <c r="E10" s="202" t="s">
        <v>303</v>
      </c>
      <c r="F10" s="203" t="s">
        <v>303</v>
      </c>
      <c r="G10" s="203" t="s">
        <v>303</v>
      </c>
      <c r="H10" s="203" t="s">
        <v>303</v>
      </c>
      <c r="I10" s="203" t="s">
        <v>303</v>
      </c>
      <c r="J10" s="204" t="s">
        <v>303</v>
      </c>
      <c r="K10" s="496"/>
      <c r="L10" s="498"/>
    </row>
    <row r="11" spans="1:13" ht="14" x14ac:dyDescent="0.25">
      <c r="A11" s="205">
        <v>1</v>
      </c>
      <c r="B11" s="332" t="s">
        <v>455</v>
      </c>
      <c r="C11" s="218" t="s">
        <v>304</v>
      </c>
      <c r="D11" s="250">
        <v>2</v>
      </c>
      <c r="E11" s="276">
        <v>55.85</v>
      </c>
      <c r="F11" s="276"/>
      <c r="G11" s="276"/>
      <c r="H11" s="276"/>
      <c r="I11" s="276"/>
      <c r="J11" s="276"/>
      <c r="K11" s="277">
        <f>AVERAGE(E11,F11,H11)</f>
        <v>55.85</v>
      </c>
      <c r="L11" s="278">
        <f t="shared" ref="L11:L16" si="0">K11*D11</f>
        <v>111.7</v>
      </c>
    </row>
    <row r="12" spans="1:13" ht="14" x14ac:dyDescent="0.3">
      <c r="A12" s="209">
        <v>2</v>
      </c>
      <c r="B12" s="334" t="s">
        <v>456</v>
      </c>
      <c r="C12" s="211" t="s">
        <v>305</v>
      </c>
      <c r="D12" s="251">
        <v>2</v>
      </c>
      <c r="E12" s="279">
        <v>78.430000000000007</v>
      </c>
      <c r="F12" s="279"/>
      <c r="G12" s="279"/>
      <c r="H12" s="279"/>
      <c r="I12" s="279"/>
      <c r="J12" s="279"/>
      <c r="K12" s="280">
        <f>AVERAGE(E12,F12,H12,I12)</f>
        <v>78.430000000000007</v>
      </c>
      <c r="L12" s="281">
        <f t="shared" si="0"/>
        <v>156.86000000000001</v>
      </c>
    </row>
    <row r="13" spans="1:13" ht="14" x14ac:dyDescent="0.3">
      <c r="A13" s="209">
        <v>3</v>
      </c>
      <c r="B13" s="335" t="s">
        <v>457</v>
      </c>
      <c r="C13" s="211" t="s">
        <v>305</v>
      </c>
      <c r="D13" s="251">
        <v>2</v>
      </c>
      <c r="E13" s="279">
        <v>120.2</v>
      </c>
      <c r="F13" s="279"/>
      <c r="G13" s="279"/>
      <c r="H13" s="279"/>
      <c r="I13" s="279"/>
      <c r="J13" s="279"/>
      <c r="K13" s="280">
        <f>AVERAGE(E13,F13,G13)</f>
        <v>120.2</v>
      </c>
      <c r="L13" s="281">
        <f t="shared" si="0"/>
        <v>240.4</v>
      </c>
    </row>
    <row r="14" spans="1:13" ht="17" x14ac:dyDescent="0.45">
      <c r="A14" s="209">
        <v>4</v>
      </c>
      <c r="B14" s="336" t="s">
        <v>458</v>
      </c>
      <c r="C14" s="211" t="s">
        <v>297</v>
      </c>
      <c r="D14" s="251">
        <v>2</v>
      </c>
      <c r="E14" s="279">
        <v>12.42</v>
      </c>
      <c r="F14" s="279"/>
      <c r="G14" s="279"/>
      <c r="H14" s="279"/>
      <c r="I14" s="279"/>
      <c r="J14" s="279"/>
      <c r="K14" s="280">
        <f>AVERAGE(E14,F14,G14)</f>
        <v>12.42</v>
      </c>
      <c r="L14" s="281">
        <f t="shared" si="0"/>
        <v>24.84</v>
      </c>
      <c r="M14" s="271"/>
    </row>
    <row r="15" spans="1:13" ht="14" x14ac:dyDescent="0.3">
      <c r="A15" s="209">
        <v>5</v>
      </c>
      <c r="B15" s="337" t="s">
        <v>459</v>
      </c>
      <c r="C15" s="253" t="s">
        <v>305</v>
      </c>
      <c r="D15" s="254">
        <v>1</v>
      </c>
      <c r="E15" s="279">
        <v>12.9</v>
      </c>
      <c r="F15" s="279"/>
      <c r="G15" s="279"/>
      <c r="H15" s="279"/>
      <c r="I15" s="279"/>
      <c r="J15" s="279"/>
      <c r="K15" s="280">
        <f>AVERAGE(E15,F15,G15,H15,I15)</f>
        <v>12.9</v>
      </c>
      <c r="L15" s="281">
        <f t="shared" si="0"/>
        <v>12.9</v>
      </c>
    </row>
    <row r="16" spans="1:13" ht="15.5" x14ac:dyDescent="0.35">
      <c r="A16" s="209">
        <v>7</v>
      </c>
      <c r="B16" s="324"/>
      <c r="C16" s="253" t="s">
        <v>305</v>
      </c>
      <c r="D16" s="254"/>
      <c r="E16" s="279"/>
      <c r="F16" s="279"/>
      <c r="G16" s="279"/>
      <c r="H16" s="279"/>
      <c r="I16" s="279"/>
      <c r="J16" s="279"/>
      <c r="K16" s="280"/>
      <c r="L16" s="281">
        <f t="shared" si="0"/>
        <v>0</v>
      </c>
    </row>
    <row r="17" spans="1:12" ht="13" thickBot="1" x14ac:dyDescent="0.3">
      <c r="A17" s="209"/>
      <c r="B17" s="270"/>
      <c r="C17" s="253"/>
      <c r="D17" s="255"/>
      <c r="E17" s="279"/>
      <c r="F17" s="279"/>
      <c r="G17" s="279"/>
      <c r="H17" s="279"/>
      <c r="I17" s="279"/>
      <c r="J17" s="279"/>
      <c r="K17" s="280"/>
      <c r="L17" s="281"/>
    </row>
    <row r="18" spans="1:12" ht="13.5" thickBot="1" x14ac:dyDescent="0.3">
      <c r="A18" s="519" t="s">
        <v>306</v>
      </c>
      <c r="B18" s="520"/>
      <c r="C18" s="520"/>
      <c r="D18" s="521"/>
      <c r="E18" s="213"/>
      <c r="F18" s="214"/>
      <c r="G18" s="214"/>
      <c r="H18" s="214"/>
      <c r="I18" s="214"/>
      <c r="J18" s="215"/>
      <c r="K18" s="522">
        <f>SUM(L11:L17)</f>
        <v>546.70000000000005</v>
      </c>
      <c r="L18" s="523"/>
    </row>
    <row r="19" spans="1:12" ht="13" thickBot="1" x14ac:dyDescent="0.3">
      <c r="K19" s="282"/>
      <c r="L19" s="282"/>
    </row>
    <row r="20" spans="1:12" ht="13.5" thickBot="1" x14ac:dyDescent="0.35">
      <c r="A20" s="519" t="s">
        <v>307</v>
      </c>
      <c r="B20" s="520"/>
      <c r="C20" s="520"/>
      <c r="D20" s="520"/>
      <c r="E20" s="520"/>
      <c r="F20" s="520"/>
      <c r="G20" s="520"/>
      <c r="H20" s="520"/>
      <c r="I20" s="520"/>
      <c r="J20" s="521"/>
      <c r="K20" s="524">
        <f>K18/12</f>
        <v>45.558333333333337</v>
      </c>
      <c r="L20" s="525"/>
    </row>
    <row r="21" spans="1:12" x14ac:dyDescent="0.25">
      <c r="K21" s="282"/>
      <c r="L21" s="282"/>
    </row>
    <row r="22" spans="1:12" ht="13" thickBot="1" x14ac:dyDescent="0.3">
      <c r="A22" s="68"/>
      <c r="K22" s="282"/>
      <c r="L22" s="283"/>
    </row>
    <row r="23" spans="1:12" ht="15" thickBot="1" x14ac:dyDescent="0.3">
      <c r="A23" s="526"/>
      <c r="B23" s="527"/>
      <c r="C23" s="527"/>
      <c r="D23" s="527"/>
      <c r="E23" s="527"/>
      <c r="F23" s="527"/>
      <c r="G23" s="527"/>
      <c r="H23" s="527"/>
      <c r="I23" s="527"/>
      <c r="J23" s="527"/>
      <c r="K23" s="528"/>
      <c r="L23" s="529"/>
    </row>
    <row r="25" spans="1:12" ht="13" thickBot="1" x14ac:dyDescent="0.3"/>
    <row r="26" spans="1:12" x14ac:dyDescent="0.25">
      <c r="A26" s="439"/>
      <c r="B26" s="440"/>
      <c r="C26" s="445" t="s">
        <v>309</v>
      </c>
      <c r="D26" s="448"/>
      <c r="E26" s="449"/>
      <c r="F26" s="449"/>
      <c r="G26" s="449"/>
      <c r="H26" s="449"/>
      <c r="I26" s="449"/>
      <c r="J26" s="449"/>
      <c r="K26" s="449"/>
      <c r="L26" s="450"/>
    </row>
    <row r="27" spans="1:12" x14ac:dyDescent="0.25">
      <c r="A27" s="441"/>
      <c r="B27" s="442"/>
      <c r="C27" s="446"/>
      <c r="D27" s="451"/>
      <c r="E27" s="452"/>
      <c r="F27" s="452"/>
      <c r="G27" s="452"/>
      <c r="H27" s="452"/>
      <c r="I27" s="452"/>
      <c r="J27" s="452"/>
      <c r="K27" s="452"/>
      <c r="L27" s="453"/>
    </row>
    <row r="28" spans="1:12" x14ac:dyDescent="0.25">
      <c r="A28" s="441"/>
      <c r="B28" s="442"/>
      <c r="C28" s="446"/>
      <c r="D28" s="451"/>
      <c r="E28" s="452"/>
      <c r="F28" s="452"/>
      <c r="G28" s="452"/>
      <c r="H28" s="452"/>
      <c r="I28" s="452"/>
      <c r="J28" s="452"/>
      <c r="K28" s="452"/>
      <c r="L28" s="453"/>
    </row>
    <row r="29" spans="1:12" ht="13" thickBot="1" x14ac:dyDescent="0.3">
      <c r="A29" s="443"/>
      <c r="B29" s="444"/>
      <c r="C29" s="447"/>
      <c r="D29" s="454"/>
      <c r="E29" s="455"/>
      <c r="F29" s="455"/>
      <c r="G29" s="455"/>
      <c r="H29" s="455"/>
      <c r="I29" s="455"/>
      <c r="J29" s="455"/>
      <c r="K29" s="455"/>
      <c r="L29" s="456"/>
    </row>
    <row r="31" spans="1:12" ht="13" thickBot="1" x14ac:dyDescent="0.3"/>
    <row r="32" spans="1:12" x14ac:dyDescent="0.25">
      <c r="A32" s="457"/>
      <c r="B32" s="458"/>
      <c r="C32" s="458"/>
      <c r="D32" s="458"/>
      <c r="E32" s="458"/>
      <c r="F32" s="458"/>
      <c r="G32" s="458"/>
      <c r="H32" s="458"/>
      <c r="I32" s="458"/>
      <c r="J32" s="458"/>
      <c r="K32" s="458"/>
      <c r="L32" s="459"/>
    </row>
    <row r="33" spans="1:12" x14ac:dyDescent="0.25">
      <c r="A33" s="460"/>
      <c r="B33" s="408"/>
      <c r="C33" s="408"/>
      <c r="D33" s="408"/>
      <c r="E33" s="408"/>
      <c r="F33" s="408"/>
      <c r="G33" s="408"/>
      <c r="H33" s="408"/>
      <c r="I33" s="408"/>
      <c r="J33" s="408"/>
      <c r="K33" s="408"/>
      <c r="L33" s="461"/>
    </row>
    <row r="34" spans="1:12" x14ac:dyDescent="0.25">
      <c r="A34" s="460"/>
      <c r="B34" s="408"/>
      <c r="C34" s="408"/>
      <c r="D34" s="408"/>
      <c r="E34" s="408"/>
      <c r="F34" s="408"/>
      <c r="G34" s="408"/>
      <c r="H34" s="408"/>
      <c r="I34" s="408"/>
      <c r="J34" s="408"/>
      <c r="K34" s="408"/>
      <c r="L34" s="461"/>
    </row>
    <row r="35" spans="1:12" x14ac:dyDescent="0.25">
      <c r="A35" s="460"/>
      <c r="B35" s="408"/>
      <c r="C35" s="408"/>
      <c r="D35" s="408"/>
      <c r="E35" s="408"/>
      <c r="F35" s="408"/>
      <c r="G35" s="408"/>
      <c r="H35" s="408"/>
      <c r="I35" s="408"/>
      <c r="J35" s="408"/>
      <c r="K35" s="408"/>
      <c r="L35" s="461"/>
    </row>
    <row r="36" spans="1:12" ht="13" thickBot="1" x14ac:dyDescent="0.3">
      <c r="A36" s="462"/>
      <c r="B36" s="463"/>
      <c r="C36" s="463"/>
      <c r="D36" s="463"/>
      <c r="E36" s="463"/>
      <c r="F36" s="463"/>
      <c r="G36" s="463"/>
      <c r="H36" s="463"/>
      <c r="I36" s="463"/>
      <c r="J36" s="463"/>
      <c r="K36" s="463"/>
      <c r="L36" s="464"/>
    </row>
    <row r="37" spans="1:12" ht="13" thickBot="1" x14ac:dyDescent="0.3"/>
    <row r="38" spans="1:12" x14ac:dyDescent="0.25">
      <c r="A38" s="465" t="s">
        <v>310</v>
      </c>
      <c r="B38" s="466"/>
      <c r="C38" s="466"/>
      <c r="D38" s="466"/>
      <c r="E38" s="466"/>
      <c r="F38" s="466"/>
      <c r="G38" s="466"/>
      <c r="H38" s="467"/>
    </row>
    <row r="39" spans="1:12" x14ac:dyDescent="0.25">
      <c r="A39" s="468"/>
      <c r="B39" s="469"/>
      <c r="C39" s="469"/>
      <c r="D39" s="469"/>
      <c r="E39" s="469"/>
      <c r="F39" s="469"/>
      <c r="G39" s="469"/>
      <c r="H39" s="470"/>
    </row>
    <row r="40" spans="1:12" x14ac:dyDescent="0.25">
      <c r="A40" s="468"/>
      <c r="B40" s="469"/>
      <c r="C40" s="469"/>
      <c r="D40" s="469"/>
      <c r="E40" s="469"/>
      <c r="F40" s="469"/>
      <c r="G40" s="469"/>
      <c r="H40" s="470"/>
    </row>
    <row r="41" spans="1:12" ht="13" thickBot="1" x14ac:dyDescent="0.3">
      <c r="A41" s="471"/>
      <c r="B41" s="472"/>
      <c r="C41" s="472"/>
      <c r="D41" s="472"/>
      <c r="E41" s="472"/>
      <c r="F41" s="472"/>
      <c r="G41" s="472"/>
      <c r="H41" s="473"/>
    </row>
    <row r="46" spans="1:12" ht="13" thickBot="1" x14ac:dyDescent="0.3"/>
    <row r="47" spans="1:12" ht="13" thickBot="1" x14ac:dyDescent="0.3">
      <c r="A47" s="503" t="s">
        <v>292</v>
      </c>
      <c r="B47" s="504"/>
      <c r="C47" s="504"/>
      <c r="D47" s="504"/>
      <c r="E47" s="504"/>
      <c r="F47" s="504"/>
      <c r="G47" s="504"/>
      <c r="H47" s="504"/>
      <c r="I47" s="504"/>
      <c r="J47" s="504"/>
      <c r="K47" s="504"/>
      <c r="L47" s="505"/>
    </row>
    <row r="48" spans="1:12" ht="13" x14ac:dyDescent="0.25">
      <c r="A48" s="188" t="s">
        <v>4</v>
      </c>
      <c r="B48" s="516" t="s">
        <v>293</v>
      </c>
      <c r="C48" s="506"/>
      <c r="D48" s="506"/>
      <c r="E48" s="189" t="s">
        <v>294</v>
      </c>
      <c r="F48" s="517"/>
      <c r="G48" s="506"/>
      <c r="H48" s="506"/>
      <c r="I48" s="506"/>
      <c r="J48" s="189" t="s">
        <v>295</v>
      </c>
      <c r="K48" s="506"/>
      <c r="L48" s="507"/>
    </row>
    <row r="49" spans="1:13" ht="13" x14ac:dyDescent="0.25">
      <c r="A49" s="190" t="s">
        <v>6</v>
      </c>
      <c r="B49" s="512" t="s">
        <v>442</v>
      </c>
      <c r="C49" s="512"/>
      <c r="D49" s="512"/>
      <c r="E49" s="191" t="s">
        <v>294</v>
      </c>
      <c r="F49" s="514"/>
      <c r="G49" s="518"/>
      <c r="H49" s="518"/>
      <c r="I49" s="518"/>
      <c r="J49" s="191" t="s">
        <v>295</v>
      </c>
      <c r="K49" s="508"/>
      <c r="L49" s="509"/>
    </row>
    <row r="50" spans="1:13" ht="13" x14ac:dyDescent="0.25">
      <c r="A50" s="192" t="s">
        <v>8</v>
      </c>
      <c r="B50" s="510"/>
      <c r="C50" s="510"/>
      <c r="D50" s="510"/>
      <c r="E50" s="193" t="s">
        <v>294</v>
      </c>
      <c r="F50" s="515"/>
      <c r="G50" s="510"/>
      <c r="H50" s="510"/>
      <c r="I50" s="510"/>
      <c r="J50" s="193" t="s">
        <v>295</v>
      </c>
      <c r="K50" s="510"/>
      <c r="L50" s="511"/>
    </row>
    <row r="51" spans="1:13" ht="13" x14ac:dyDescent="0.25">
      <c r="A51" s="190" t="s">
        <v>10</v>
      </c>
      <c r="B51" s="512"/>
      <c r="C51" s="512"/>
      <c r="D51" s="512"/>
      <c r="E51" s="191" t="s">
        <v>294</v>
      </c>
      <c r="F51" s="514"/>
      <c r="G51" s="508"/>
      <c r="H51" s="508"/>
      <c r="I51" s="508"/>
      <c r="J51" s="191" t="s">
        <v>295</v>
      </c>
      <c r="K51" s="512"/>
      <c r="L51" s="513"/>
    </row>
    <row r="52" spans="1:13" ht="13" x14ac:dyDescent="0.25">
      <c r="A52" s="194" t="s">
        <v>39</v>
      </c>
      <c r="B52" s="474"/>
      <c r="C52" s="474"/>
      <c r="D52" s="474"/>
      <c r="E52" s="195" t="s">
        <v>294</v>
      </c>
      <c r="F52" s="501"/>
      <c r="G52" s="502"/>
      <c r="H52" s="502"/>
      <c r="I52" s="502"/>
      <c r="J52" s="195" t="s">
        <v>295</v>
      </c>
      <c r="K52" s="474"/>
      <c r="L52" s="475"/>
    </row>
    <row r="53" spans="1:13" ht="13.5" thickBot="1" x14ac:dyDescent="0.3">
      <c r="A53" s="196" t="s">
        <v>41</v>
      </c>
      <c r="B53" s="476"/>
      <c r="C53" s="476"/>
      <c r="D53" s="476"/>
      <c r="E53" s="197" t="s">
        <v>294</v>
      </c>
      <c r="F53" s="499"/>
      <c r="G53" s="500"/>
      <c r="H53" s="500"/>
      <c r="I53" s="500"/>
      <c r="J53" s="198" t="s">
        <v>295</v>
      </c>
      <c r="K53" s="476"/>
      <c r="L53" s="477"/>
    </row>
    <row r="54" spans="1:13" ht="13" x14ac:dyDescent="0.25">
      <c r="A54" s="478" t="s">
        <v>296</v>
      </c>
      <c r="B54" s="481" t="s">
        <v>432</v>
      </c>
      <c r="C54" s="484" t="s">
        <v>297</v>
      </c>
      <c r="D54" s="487" t="s">
        <v>298</v>
      </c>
      <c r="E54" s="490" t="s">
        <v>299</v>
      </c>
      <c r="F54" s="491"/>
      <c r="G54" s="491"/>
      <c r="H54" s="491"/>
      <c r="I54" s="491"/>
      <c r="J54" s="492"/>
      <c r="K54" s="493" t="s">
        <v>300</v>
      </c>
      <c r="L54" s="494"/>
    </row>
    <row r="55" spans="1:13" ht="13.5" x14ac:dyDescent="0.25">
      <c r="A55" s="479"/>
      <c r="B55" s="482"/>
      <c r="C55" s="485"/>
      <c r="D55" s="488"/>
      <c r="E55" s="199" t="s">
        <v>4</v>
      </c>
      <c r="F55" s="200" t="s">
        <v>6</v>
      </c>
      <c r="G55" s="200" t="s">
        <v>8</v>
      </c>
      <c r="H55" s="200" t="s">
        <v>10</v>
      </c>
      <c r="I55" s="200" t="s">
        <v>39</v>
      </c>
      <c r="J55" s="201" t="s">
        <v>41</v>
      </c>
      <c r="K55" s="495" t="s">
        <v>301</v>
      </c>
      <c r="L55" s="497" t="s">
        <v>302</v>
      </c>
    </row>
    <row r="56" spans="1:13" ht="13" thickBot="1" x14ac:dyDescent="0.3">
      <c r="A56" s="480"/>
      <c r="B56" s="483"/>
      <c r="C56" s="486"/>
      <c r="D56" s="489"/>
      <c r="E56" s="202" t="s">
        <v>303</v>
      </c>
      <c r="F56" s="203" t="s">
        <v>303</v>
      </c>
      <c r="G56" s="203" t="s">
        <v>303</v>
      </c>
      <c r="H56" s="203" t="s">
        <v>303</v>
      </c>
      <c r="I56" s="203" t="s">
        <v>303</v>
      </c>
      <c r="J56" s="204" t="s">
        <v>303</v>
      </c>
      <c r="K56" s="496"/>
      <c r="L56" s="498"/>
    </row>
    <row r="57" spans="1:13" ht="14" x14ac:dyDescent="0.3">
      <c r="A57" s="205">
        <v>1</v>
      </c>
      <c r="B57" s="337" t="s">
        <v>460</v>
      </c>
      <c r="C57" s="218" t="s">
        <v>304</v>
      </c>
      <c r="D57" s="250">
        <v>2</v>
      </c>
      <c r="E57" s="276">
        <v>49.47</v>
      </c>
      <c r="F57" s="276"/>
      <c r="G57" s="276"/>
      <c r="H57" s="276"/>
      <c r="I57" s="276"/>
      <c r="J57" s="276"/>
      <c r="K57" s="277">
        <f>AVERAGE(E57,G57,H57:I57,I12)</f>
        <v>49.47</v>
      </c>
      <c r="L57" s="278">
        <f t="shared" ref="L57:L63" si="1">K57*D57</f>
        <v>98.94</v>
      </c>
      <c r="M57" s="282"/>
    </row>
    <row r="58" spans="1:13" ht="14" x14ac:dyDescent="0.25">
      <c r="A58" s="209">
        <v>2</v>
      </c>
      <c r="B58" s="333" t="s">
        <v>461</v>
      </c>
      <c r="C58" s="212" t="s">
        <v>304</v>
      </c>
      <c r="D58" s="251">
        <v>2</v>
      </c>
      <c r="E58" s="279">
        <v>64.150000000000006</v>
      </c>
      <c r="F58" s="279"/>
      <c r="G58" s="279"/>
      <c r="H58" s="279"/>
      <c r="I58" s="279"/>
      <c r="J58" s="279"/>
      <c r="K58" s="280">
        <f>AVERAGE(E58,F58,H58)</f>
        <v>64.150000000000006</v>
      </c>
      <c r="L58" s="281">
        <f t="shared" si="1"/>
        <v>128.30000000000001</v>
      </c>
      <c r="M58" s="282"/>
    </row>
    <row r="59" spans="1:13" ht="14" x14ac:dyDescent="0.3">
      <c r="A59" s="209">
        <v>3</v>
      </c>
      <c r="B59" s="338" t="s">
        <v>462</v>
      </c>
      <c r="C59" s="211" t="s">
        <v>305</v>
      </c>
      <c r="D59" s="251">
        <v>1</v>
      </c>
      <c r="E59" s="279">
        <v>44.37</v>
      </c>
      <c r="F59" s="279"/>
      <c r="G59" s="279"/>
      <c r="H59" s="279"/>
      <c r="I59" s="279"/>
      <c r="J59" s="279"/>
      <c r="K59" s="280">
        <f>AVERAGE(E59,G59,H59)</f>
        <v>44.37</v>
      </c>
      <c r="L59" s="281">
        <f t="shared" si="1"/>
        <v>44.37</v>
      </c>
    </row>
    <row r="60" spans="1:13" ht="14" x14ac:dyDescent="0.3">
      <c r="A60" s="209">
        <v>4</v>
      </c>
      <c r="B60" s="337" t="s">
        <v>463</v>
      </c>
      <c r="C60" s="211" t="s">
        <v>305</v>
      </c>
      <c r="D60" s="251">
        <v>2</v>
      </c>
      <c r="E60" s="279">
        <v>106.36</v>
      </c>
      <c r="F60" s="279"/>
      <c r="G60" s="279"/>
      <c r="H60" s="279"/>
      <c r="I60" s="279"/>
      <c r="J60" s="279"/>
      <c r="K60" s="280">
        <f>AVERAGE(E60,F60,G60,H60,I60)</f>
        <v>106.36</v>
      </c>
      <c r="L60" s="281">
        <f t="shared" si="1"/>
        <v>212.72</v>
      </c>
    </row>
    <row r="61" spans="1:13" ht="14" x14ac:dyDescent="0.25">
      <c r="A61" s="209">
        <v>5</v>
      </c>
      <c r="B61" s="336" t="s">
        <v>464</v>
      </c>
      <c r="C61" s="211" t="s">
        <v>297</v>
      </c>
      <c r="D61" s="251">
        <v>2</v>
      </c>
      <c r="E61" s="279">
        <v>13.23</v>
      </c>
      <c r="F61" s="279"/>
      <c r="G61" s="279"/>
      <c r="H61" s="279"/>
      <c r="I61" s="279"/>
      <c r="J61" s="279"/>
      <c r="K61" s="280">
        <f>AVERAGE(E61,F61,G61)</f>
        <v>13.23</v>
      </c>
      <c r="L61" s="281">
        <f t="shared" si="1"/>
        <v>26.46</v>
      </c>
    </row>
    <row r="62" spans="1:13" ht="14" x14ac:dyDescent="0.3">
      <c r="A62" s="209">
        <v>6</v>
      </c>
      <c r="B62" s="337" t="s">
        <v>459</v>
      </c>
      <c r="C62" s="253" t="s">
        <v>305</v>
      </c>
      <c r="D62" s="254">
        <v>1</v>
      </c>
      <c r="E62" s="279">
        <v>12.9</v>
      </c>
      <c r="F62" s="279"/>
      <c r="G62" s="279"/>
      <c r="H62" s="279"/>
      <c r="I62" s="279"/>
      <c r="J62" s="279"/>
      <c r="K62" s="280">
        <f>AVERAGE(E62,F62,G62,H62)</f>
        <v>12.9</v>
      </c>
      <c r="L62" s="281">
        <f t="shared" si="1"/>
        <v>12.9</v>
      </c>
    </row>
    <row r="63" spans="1:13" ht="15.5" x14ac:dyDescent="0.35">
      <c r="A63" s="209">
        <v>7</v>
      </c>
      <c r="B63" s="323"/>
      <c r="C63" s="253" t="s">
        <v>305</v>
      </c>
      <c r="D63" s="254">
        <v>0</v>
      </c>
      <c r="E63" s="279"/>
      <c r="F63" s="279"/>
      <c r="G63" s="279"/>
      <c r="H63" s="279"/>
      <c r="I63" s="279"/>
      <c r="J63" s="279"/>
      <c r="K63" s="280"/>
      <c r="L63" s="281">
        <f t="shared" si="1"/>
        <v>0</v>
      </c>
    </row>
    <row r="64" spans="1:13" ht="13" thickBot="1" x14ac:dyDescent="0.3">
      <c r="A64" s="209"/>
      <c r="B64" s="270"/>
      <c r="C64" s="253"/>
      <c r="D64" s="255"/>
      <c r="E64" s="279"/>
      <c r="F64" s="279"/>
      <c r="G64" s="279"/>
      <c r="H64" s="279"/>
      <c r="I64" s="279"/>
      <c r="J64" s="279"/>
      <c r="K64" s="280"/>
      <c r="L64" s="281"/>
    </row>
    <row r="65" spans="1:12" ht="13.5" thickBot="1" x14ac:dyDescent="0.3">
      <c r="A65" s="519" t="s">
        <v>306</v>
      </c>
      <c r="B65" s="520"/>
      <c r="C65" s="520"/>
      <c r="D65" s="521"/>
      <c r="E65" s="213"/>
      <c r="F65" s="214"/>
      <c r="G65" s="214"/>
      <c r="H65" s="214"/>
      <c r="I65" s="214"/>
      <c r="J65" s="215"/>
      <c r="K65" s="522">
        <f>SUM(L57:L64)</f>
        <v>523.69000000000005</v>
      </c>
      <c r="L65" s="523"/>
    </row>
    <row r="66" spans="1:12" ht="13" thickBot="1" x14ac:dyDescent="0.3">
      <c r="K66" s="282"/>
      <c r="L66" s="282"/>
    </row>
    <row r="67" spans="1:12" ht="13.5" thickBot="1" x14ac:dyDescent="0.35">
      <c r="A67" s="519" t="s">
        <v>307</v>
      </c>
      <c r="B67" s="520"/>
      <c r="C67" s="520"/>
      <c r="D67" s="520"/>
      <c r="E67" s="520"/>
      <c r="F67" s="520"/>
      <c r="G67" s="520"/>
      <c r="H67" s="520"/>
      <c r="I67" s="520"/>
      <c r="J67" s="521"/>
      <c r="K67" s="524">
        <f>K65/12</f>
        <v>43.64083333333334</v>
      </c>
      <c r="L67" s="525"/>
    </row>
    <row r="68" spans="1:12" x14ac:dyDescent="0.25">
      <c r="K68" s="282"/>
      <c r="L68" s="282"/>
    </row>
    <row r="69" spans="1:12" ht="13" thickBot="1" x14ac:dyDescent="0.3">
      <c r="A69" s="68"/>
      <c r="K69" s="282"/>
      <c r="L69" s="283"/>
    </row>
    <row r="70" spans="1:12" ht="15" thickBot="1" x14ac:dyDescent="0.3">
      <c r="A70" s="526" t="s">
        <v>308</v>
      </c>
      <c r="B70" s="527"/>
      <c r="C70" s="527"/>
      <c r="D70" s="527"/>
      <c r="E70" s="527"/>
      <c r="F70" s="527"/>
      <c r="G70" s="527"/>
      <c r="H70" s="527"/>
      <c r="I70" s="527"/>
      <c r="J70" s="527"/>
      <c r="K70" s="528">
        <f>(K20+K67)/2</f>
        <v>44.599583333333342</v>
      </c>
      <c r="L70" s="529"/>
    </row>
    <row r="72" spans="1:12" ht="13" thickBot="1" x14ac:dyDescent="0.3"/>
    <row r="73" spans="1:12" x14ac:dyDescent="0.25">
      <c r="A73" s="439"/>
      <c r="B73" s="440"/>
      <c r="C73" s="445" t="s">
        <v>309</v>
      </c>
      <c r="D73" s="448"/>
      <c r="E73" s="449"/>
      <c r="F73" s="449"/>
      <c r="G73" s="449"/>
      <c r="H73" s="449"/>
      <c r="I73" s="449"/>
      <c r="J73" s="449"/>
      <c r="K73" s="449"/>
      <c r="L73" s="450"/>
    </row>
    <row r="74" spans="1:12" x14ac:dyDescent="0.25">
      <c r="A74" s="441"/>
      <c r="B74" s="442"/>
      <c r="C74" s="446"/>
      <c r="D74" s="451"/>
      <c r="E74" s="452"/>
      <c r="F74" s="452"/>
      <c r="G74" s="452"/>
      <c r="H74" s="452"/>
      <c r="I74" s="452"/>
      <c r="J74" s="452"/>
      <c r="K74" s="452"/>
      <c r="L74" s="453"/>
    </row>
    <row r="75" spans="1:12" x14ac:dyDescent="0.25">
      <c r="A75" s="441"/>
      <c r="B75" s="442"/>
      <c r="C75" s="446"/>
      <c r="D75" s="451"/>
      <c r="E75" s="452"/>
      <c r="F75" s="452"/>
      <c r="G75" s="452"/>
      <c r="H75" s="452"/>
      <c r="I75" s="452"/>
      <c r="J75" s="452"/>
      <c r="K75" s="452"/>
      <c r="L75" s="453"/>
    </row>
    <row r="76" spans="1:12" ht="13" thickBot="1" x14ac:dyDescent="0.3">
      <c r="A76" s="443"/>
      <c r="B76" s="444"/>
      <c r="C76" s="447"/>
      <c r="D76" s="454"/>
      <c r="E76" s="455"/>
      <c r="F76" s="455"/>
      <c r="G76" s="455"/>
      <c r="H76" s="455"/>
      <c r="I76" s="455"/>
      <c r="J76" s="455"/>
      <c r="K76" s="455"/>
      <c r="L76" s="456"/>
    </row>
    <row r="78" spans="1:12" ht="13" thickBot="1" x14ac:dyDescent="0.3"/>
    <row r="79" spans="1:12" x14ac:dyDescent="0.25">
      <c r="A79" s="457"/>
      <c r="B79" s="458"/>
      <c r="C79" s="458"/>
      <c r="D79" s="458"/>
      <c r="E79" s="458"/>
      <c r="F79" s="458"/>
      <c r="G79" s="458"/>
      <c r="H79" s="458"/>
      <c r="I79" s="458"/>
      <c r="J79" s="458"/>
      <c r="K79" s="458"/>
      <c r="L79" s="459"/>
    </row>
    <row r="80" spans="1:12" x14ac:dyDescent="0.25">
      <c r="A80" s="460"/>
      <c r="B80" s="408"/>
      <c r="C80" s="408"/>
      <c r="D80" s="408"/>
      <c r="E80" s="408"/>
      <c r="F80" s="408"/>
      <c r="G80" s="408"/>
      <c r="H80" s="408"/>
      <c r="I80" s="408"/>
      <c r="J80" s="408"/>
      <c r="K80" s="408"/>
      <c r="L80" s="461"/>
    </row>
    <row r="81" spans="1:12" x14ac:dyDescent="0.25">
      <c r="A81" s="460"/>
      <c r="B81" s="408"/>
      <c r="C81" s="408"/>
      <c r="D81" s="408"/>
      <c r="E81" s="408"/>
      <c r="F81" s="408"/>
      <c r="G81" s="408"/>
      <c r="H81" s="408"/>
      <c r="I81" s="408"/>
      <c r="J81" s="408"/>
      <c r="K81" s="408"/>
      <c r="L81" s="461"/>
    </row>
    <row r="82" spans="1:12" x14ac:dyDescent="0.25">
      <c r="A82" s="460"/>
      <c r="B82" s="408"/>
      <c r="C82" s="408"/>
      <c r="D82" s="408"/>
      <c r="E82" s="408"/>
      <c r="F82" s="408"/>
      <c r="G82" s="408"/>
      <c r="H82" s="408"/>
      <c r="I82" s="408"/>
      <c r="J82" s="408"/>
      <c r="K82" s="408"/>
      <c r="L82" s="461"/>
    </row>
    <row r="83" spans="1:12" ht="13" thickBot="1" x14ac:dyDescent="0.3">
      <c r="A83" s="462"/>
      <c r="B83" s="463"/>
      <c r="C83" s="463"/>
      <c r="D83" s="463"/>
      <c r="E83" s="463"/>
      <c r="F83" s="463"/>
      <c r="G83" s="463"/>
      <c r="H83" s="463"/>
      <c r="I83" s="463"/>
      <c r="J83" s="463"/>
      <c r="K83" s="463"/>
      <c r="L83" s="464"/>
    </row>
    <row r="84" spans="1:12" ht="13" thickBot="1" x14ac:dyDescent="0.3"/>
    <row r="85" spans="1:12" x14ac:dyDescent="0.25">
      <c r="A85" s="465" t="s">
        <v>310</v>
      </c>
      <c r="B85" s="466"/>
      <c r="C85" s="466"/>
      <c r="D85" s="466"/>
      <c r="E85" s="466"/>
      <c r="F85" s="466"/>
      <c r="G85" s="466"/>
      <c r="H85" s="467"/>
    </row>
    <row r="86" spans="1:12" x14ac:dyDescent="0.25">
      <c r="A86" s="468"/>
      <c r="B86" s="469"/>
      <c r="C86" s="469"/>
      <c r="D86" s="469"/>
      <c r="E86" s="469"/>
      <c r="F86" s="469"/>
      <c r="G86" s="469"/>
      <c r="H86" s="470"/>
    </row>
    <row r="87" spans="1:12" x14ac:dyDescent="0.25">
      <c r="A87" s="468"/>
      <c r="B87" s="469"/>
      <c r="C87" s="469"/>
      <c r="D87" s="469"/>
      <c r="E87" s="469"/>
      <c r="F87" s="469"/>
      <c r="G87" s="469"/>
      <c r="H87" s="470"/>
    </row>
    <row r="88" spans="1:12" ht="13" thickBot="1" x14ac:dyDescent="0.3">
      <c r="A88" s="471"/>
      <c r="B88" s="472"/>
      <c r="C88" s="472"/>
      <c r="D88" s="472"/>
      <c r="E88" s="472"/>
      <c r="F88" s="472"/>
      <c r="G88" s="472"/>
      <c r="H88" s="473"/>
    </row>
  </sheetData>
  <mergeCells count="76">
    <mergeCell ref="A79:L83"/>
    <mergeCell ref="A85:H88"/>
    <mergeCell ref="A67:J67"/>
    <mergeCell ref="K67:L67"/>
    <mergeCell ref="A70:J70"/>
    <mergeCell ref="K70:L70"/>
    <mergeCell ref="A73:B76"/>
    <mergeCell ref="C73:C76"/>
    <mergeCell ref="D73:L76"/>
    <mergeCell ref="K54:L54"/>
    <mergeCell ref="K55:K56"/>
    <mergeCell ref="L55:L56"/>
    <mergeCell ref="A65:D65"/>
    <mergeCell ref="K65:L65"/>
    <mergeCell ref="A54:A56"/>
    <mergeCell ref="B54:B56"/>
    <mergeCell ref="C54:C56"/>
    <mergeCell ref="D54:D56"/>
    <mergeCell ref="E54:J54"/>
    <mergeCell ref="B52:D52"/>
    <mergeCell ref="F52:I52"/>
    <mergeCell ref="K52:L52"/>
    <mergeCell ref="B53:D53"/>
    <mergeCell ref="F53:I53"/>
    <mergeCell ref="K53:L53"/>
    <mergeCell ref="B50:D50"/>
    <mergeCell ref="F50:I50"/>
    <mergeCell ref="K50:L50"/>
    <mergeCell ref="B51:D51"/>
    <mergeCell ref="F51:I51"/>
    <mergeCell ref="K51:L51"/>
    <mergeCell ref="A47:L47"/>
    <mergeCell ref="B48:D48"/>
    <mergeCell ref="F48:I48"/>
    <mergeCell ref="K48:L48"/>
    <mergeCell ref="B49:D49"/>
    <mergeCell ref="F49:I49"/>
    <mergeCell ref="K49:L49"/>
    <mergeCell ref="A18:D18"/>
    <mergeCell ref="K18:L18"/>
    <mergeCell ref="A20:J20"/>
    <mergeCell ref="K20:L20"/>
    <mergeCell ref="A23:J23"/>
    <mergeCell ref="K23:L23"/>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6:B29"/>
    <mergeCell ref="C26:C29"/>
    <mergeCell ref="D26:L29"/>
    <mergeCell ref="A32:L36"/>
    <mergeCell ref="A38:H41"/>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6"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03" t="s">
        <v>311</v>
      </c>
      <c r="B1" s="504"/>
      <c r="C1" s="504"/>
      <c r="D1" s="504"/>
      <c r="E1" s="504"/>
      <c r="F1" s="504"/>
      <c r="G1" s="504"/>
      <c r="H1" s="504"/>
      <c r="I1" s="504"/>
      <c r="J1" s="504"/>
      <c r="K1" s="504"/>
      <c r="L1" s="505"/>
    </row>
    <row r="2" spans="1:12" ht="13" x14ac:dyDescent="0.25">
      <c r="A2" s="219" t="s">
        <v>4</v>
      </c>
      <c r="B2" s="516" t="s">
        <v>293</v>
      </c>
      <c r="C2" s="506"/>
      <c r="D2" s="506"/>
      <c r="E2" s="189" t="s">
        <v>294</v>
      </c>
      <c r="F2" s="562"/>
      <c r="G2" s="563"/>
      <c r="H2" s="563"/>
      <c r="I2" s="563"/>
      <c r="J2" s="189" t="s">
        <v>295</v>
      </c>
      <c r="K2" s="506"/>
      <c r="L2" s="507"/>
    </row>
    <row r="3" spans="1:12" ht="13" x14ac:dyDescent="0.25">
      <c r="A3" s="220" t="s">
        <v>6</v>
      </c>
      <c r="B3" s="564"/>
      <c r="C3" s="512"/>
      <c r="D3" s="512"/>
      <c r="E3" s="191" t="s">
        <v>294</v>
      </c>
      <c r="F3" s="514"/>
      <c r="G3" s="518"/>
      <c r="H3" s="518"/>
      <c r="I3" s="518"/>
      <c r="J3" s="191" t="s">
        <v>295</v>
      </c>
      <c r="K3" s="512"/>
      <c r="L3" s="513"/>
    </row>
    <row r="4" spans="1:12" ht="13" x14ac:dyDescent="0.25">
      <c r="A4" s="221" t="s">
        <v>8</v>
      </c>
      <c r="B4" s="565"/>
      <c r="C4" s="510"/>
      <c r="D4" s="510"/>
      <c r="E4" s="193" t="s">
        <v>294</v>
      </c>
      <c r="F4" s="515"/>
      <c r="G4" s="566"/>
      <c r="H4" s="566"/>
      <c r="I4" s="566"/>
      <c r="J4" s="193" t="s">
        <v>295</v>
      </c>
      <c r="K4" s="510"/>
      <c r="L4" s="511"/>
    </row>
    <row r="5" spans="1:12" ht="13" x14ac:dyDescent="0.25">
      <c r="A5" s="220" t="s">
        <v>10</v>
      </c>
      <c r="B5" s="564"/>
      <c r="C5" s="512"/>
      <c r="D5" s="512"/>
      <c r="E5" s="191" t="s">
        <v>294</v>
      </c>
      <c r="F5" s="514"/>
      <c r="G5" s="508"/>
      <c r="H5" s="508"/>
      <c r="I5" s="508"/>
      <c r="J5" s="191" t="s">
        <v>295</v>
      </c>
      <c r="K5" s="512"/>
      <c r="L5" s="513"/>
    </row>
    <row r="6" spans="1:12" ht="13" x14ac:dyDescent="0.25">
      <c r="A6" s="221" t="s">
        <v>39</v>
      </c>
      <c r="B6" s="565"/>
      <c r="C6" s="510"/>
      <c r="D6" s="510"/>
      <c r="E6" s="193" t="s">
        <v>294</v>
      </c>
      <c r="F6" s="515"/>
      <c r="G6" s="510"/>
      <c r="H6" s="510"/>
      <c r="I6" s="510"/>
      <c r="J6" s="193" t="s">
        <v>295</v>
      </c>
      <c r="K6" s="510"/>
      <c r="L6" s="511"/>
    </row>
    <row r="7" spans="1:12" ht="13.5" thickBot="1" x14ac:dyDescent="0.3">
      <c r="A7" s="222" t="s">
        <v>41</v>
      </c>
      <c r="B7" s="567"/>
      <c r="C7" s="476"/>
      <c r="D7" s="476"/>
      <c r="E7" s="197" t="s">
        <v>294</v>
      </c>
      <c r="F7" s="568"/>
      <c r="G7" s="569"/>
      <c r="H7" s="569"/>
      <c r="I7" s="570"/>
      <c r="J7" s="198" t="s">
        <v>295</v>
      </c>
      <c r="K7" s="476"/>
      <c r="L7" s="477"/>
    </row>
    <row r="8" spans="1:12" ht="13" x14ac:dyDescent="0.25">
      <c r="A8" s="478" t="s">
        <v>296</v>
      </c>
      <c r="B8" s="481" t="s">
        <v>312</v>
      </c>
      <c r="C8" s="484" t="s">
        <v>297</v>
      </c>
      <c r="D8" s="487" t="s">
        <v>298</v>
      </c>
      <c r="E8" s="490" t="s">
        <v>299</v>
      </c>
      <c r="F8" s="491"/>
      <c r="G8" s="491"/>
      <c r="H8" s="491"/>
      <c r="I8" s="491"/>
      <c r="J8" s="492"/>
      <c r="K8" s="493" t="s">
        <v>300</v>
      </c>
      <c r="L8" s="494"/>
    </row>
    <row r="9" spans="1:12" ht="13.5" x14ac:dyDescent="0.25">
      <c r="A9" s="479"/>
      <c r="B9" s="560"/>
      <c r="C9" s="485"/>
      <c r="D9" s="488"/>
      <c r="E9" s="199" t="s">
        <v>4</v>
      </c>
      <c r="F9" s="200" t="s">
        <v>6</v>
      </c>
      <c r="G9" s="200" t="s">
        <v>8</v>
      </c>
      <c r="H9" s="200" t="s">
        <v>10</v>
      </c>
      <c r="I9" s="200" t="s">
        <v>39</v>
      </c>
      <c r="J9" s="201" t="s">
        <v>41</v>
      </c>
      <c r="K9" s="495" t="s">
        <v>301</v>
      </c>
      <c r="L9" s="497" t="s">
        <v>302</v>
      </c>
    </row>
    <row r="10" spans="1:12" ht="13" thickBot="1" x14ac:dyDescent="0.3">
      <c r="A10" s="573"/>
      <c r="B10" s="574"/>
      <c r="C10" s="575"/>
      <c r="D10" s="576"/>
      <c r="E10" s="239" t="s">
        <v>303</v>
      </c>
      <c r="F10" s="240" t="s">
        <v>303</v>
      </c>
      <c r="G10" s="240" t="s">
        <v>303</v>
      </c>
      <c r="H10" s="240" t="s">
        <v>303</v>
      </c>
      <c r="I10" s="240" t="s">
        <v>303</v>
      </c>
      <c r="J10" s="241" t="s">
        <v>303</v>
      </c>
      <c r="K10" s="571"/>
      <c r="L10" s="572"/>
    </row>
    <row r="11" spans="1:12" s="208" customFormat="1" ht="65" x14ac:dyDescent="0.25">
      <c r="A11" s="223">
        <v>1</v>
      </c>
      <c r="B11" s="243" t="s">
        <v>313</v>
      </c>
      <c r="C11" s="244" t="s">
        <v>314</v>
      </c>
      <c r="D11" s="256">
        <v>5</v>
      </c>
      <c r="E11" s="284">
        <v>2.38</v>
      </c>
      <c r="F11" s="284">
        <v>2.76</v>
      </c>
      <c r="G11" s="284">
        <v>3.46</v>
      </c>
      <c r="H11" s="284"/>
      <c r="I11" s="284"/>
      <c r="J11" s="284"/>
      <c r="K11" s="277">
        <f>AVERAGE(E11:J11)</f>
        <v>2.8666666666666667</v>
      </c>
      <c r="L11" s="278">
        <f>K11*D11</f>
        <v>14.333333333333334</v>
      </c>
    </row>
    <row r="12" spans="1:12" s="208" customFormat="1" ht="13" x14ac:dyDescent="0.25">
      <c r="A12" s="209">
        <v>2</v>
      </c>
      <c r="B12" s="236" t="s">
        <v>315</v>
      </c>
      <c r="C12" s="238" t="s">
        <v>316</v>
      </c>
      <c r="D12" s="257">
        <v>3</v>
      </c>
      <c r="E12" s="279">
        <v>8.89</v>
      </c>
      <c r="F12" s="279">
        <v>9.3000000000000007</v>
      </c>
      <c r="G12" s="279">
        <v>9.89</v>
      </c>
      <c r="H12" s="279"/>
      <c r="I12" s="279"/>
      <c r="J12" s="279"/>
      <c r="K12" s="280">
        <f>AVERAGE(E12:J12)</f>
        <v>9.3600000000000012</v>
      </c>
      <c r="L12" s="281">
        <f>K12*D12</f>
        <v>28.080000000000005</v>
      </c>
    </row>
    <row r="13" spans="1:12" s="208" customFormat="1" ht="39" x14ac:dyDescent="0.25">
      <c r="A13" s="209">
        <v>3</v>
      </c>
      <c r="B13" s="237" t="s">
        <v>317</v>
      </c>
      <c r="C13" s="238" t="s">
        <v>316</v>
      </c>
      <c r="D13" s="257">
        <v>3</v>
      </c>
      <c r="E13" s="279">
        <v>7.47</v>
      </c>
      <c r="F13" s="279">
        <v>9.34</v>
      </c>
      <c r="G13" s="279">
        <v>11.59</v>
      </c>
      <c r="H13" s="279"/>
      <c r="I13" s="279"/>
      <c r="J13" s="279"/>
      <c r="K13" s="280">
        <f>AVERAGE(E13:J13)</f>
        <v>9.4666666666666668</v>
      </c>
      <c r="L13" s="281">
        <f>K13*D13</f>
        <v>28.4</v>
      </c>
    </row>
    <row r="14" spans="1:12" s="208" customFormat="1" ht="52" x14ac:dyDescent="0.25">
      <c r="A14" s="209">
        <v>4</v>
      </c>
      <c r="B14" s="237" t="s">
        <v>318</v>
      </c>
      <c r="C14" s="238" t="s">
        <v>316</v>
      </c>
      <c r="D14" s="257">
        <v>10</v>
      </c>
      <c r="E14" s="279">
        <v>6.2</v>
      </c>
      <c r="F14" s="279">
        <v>6.86</v>
      </c>
      <c r="G14" s="279">
        <v>4.9000000000000004</v>
      </c>
      <c r="H14" s="279"/>
      <c r="I14" s="279"/>
      <c r="J14" s="279"/>
      <c r="K14" s="280">
        <f t="shared" ref="K14:K33" si="0">AVERAGE(E14:J14)</f>
        <v>5.9866666666666672</v>
      </c>
      <c r="L14" s="281">
        <f>K14*D14</f>
        <v>59.866666666666674</v>
      </c>
    </row>
    <row r="15" spans="1:12" s="208" customFormat="1" ht="78" x14ac:dyDescent="0.25">
      <c r="A15" s="209">
        <v>5</v>
      </c>
      <c r="B15" s="237" t="s">
        <v>319</v>
      </c>
      <c r="C15" s="238" t="s">
        <v>316</v>
      </c>
      <c r="D15" s="257">
        <v>16</v>
      </c>
      <c r="E15" s="279">
        <v>12.84</v>
      </c>
      <c r="F15" s="279">
        <v>12.73</v>
      </c>
      <c r="G15" s="279">
        <v>14.9</v>
      </c>
      <c r="H15" s="279"/>
      <c r="I15" s="279"/>
      <c r="J15" s="279"/>
      <c r="K15" s="280">
        <f t="shared" si="0"/>
        <v>13.49</v>
      </c>
      <c r="L15" s="281">
        <f t="shared" ref="L15:L33" si="1">K15*D15</f>
        <v>215.84</v>
      </c>
    </row>
    <row r="16" spans="1:12" s="208" customFormat="1" ht="52" x14ac:dyDescent="0.25">
      <c r="A16" s="209">
        <v>6</v>
      </c>
      <c r="B16" s="237" t="s">
        <v>320</v>
      </c>
      <c r="C16" s="238" t="s">
        <v>316</v>
      </c>
      <c r="D16" s="257">
        <v>10</v>
      </c>
      <c r="E16" s="279">
        <v>2.08</v>
      </c>
      <c r="F16" s="279">
        <v>1.95</v>
      </c>
      <c r="G16" s="279">
        <v>3.2</v>
      </c>
      <c r="H16" s="279"/>
      <c r="I16" s="279"/>
      <c r="J16" s="279"/>
      <c r="K16" s="280">
        <f t="shared" si="0"/>
        <v>2.41</v>
      </c>
      <c r="L16" s="281">
        <f t="shared" si="1"/>
        <v>24.1</v>
      </c>
    </row>
    <row r="17" spans="1:13" s="208" customFormat="1" ht="39" x14ac:dyDescent="0.25">
      <c r="A17" s="209">
        <v>7</v>
      </c>
      <c r="B17" s="237" t="s">
        <v>321</v>
      </c>
      <c r="C17" s="238" t="s">
        <v>316</v>
      </c>
      <c r="D17" s="257">
        <v>5</v>
      </c>
      <c r="E17" s="279">
        <v>2</v>
      </c>
      <c r="F17" s="279">
        <v>2.27</v>
      </c>
      <c r="G17" s="279">
        <v>2.4</v>
      </c>
      <c r="H17" s="279"/>
      <c r="I17" s="279"/>
      <c r="J17" s="279"/>
      <c r="K17" s="280">
        <f t="shared" si="0"/>
        <v>2.2233333333333332</v>
      </c>
      <c r="L17" s="281">
        <f t="shared" si="1"/>
        <v>11.116666666666665</v>
      </c>
    </row>
    <row r="18" spans="1:13" s="208" customFormat="1" ht="65" x14ac:dyDescent="0.25">
      <c r="A18" s="209">
        <v>8</v>
      </c>
      <c r="B18" s="237" t="s">
        <v>322</v>
      </c>
      <c r="C18" s="238" t="s">
        <v>316</v>
      </c>
      <c r="D18" s="257">
        <v>5</v>
      </c>
      <c r="E18" s="279">
        <v>0.52</v>
      </c>
      <c r="F18" s="279">
        <v>0.57999999999999996</v>
      </c>
      <c r="G18" s="279">
        <v>1.7</v>
      </c>
      <c r="H18" s="279"/>
      <c r="I18" s="279"/>
      <c r="J18" s="279"/>
      <c r="K18" s="280">
        <f>AVERAGE(E18:J18)</f>
        <v>0.93333333333333324</v>
      </c>
      <c r="L18" s="281">
        <f>K18*D18</f>
        <v>4.6666666666666661</v>
      </c>
    </row>
    <row r="19" spans="1:13" s="208" customFormat="1" ht="13" x14ac:dyDescent="0.25">
      <c r="A19" s="209">
        <v>9</v>
      </c>
      <c r="B19" s="237" t="s">
        <v>323</v>
      </c>
      <c r="C19" s="238" t="s">
        <v>316</v>
      </c>
      <c r="D19" s="257">
        <v>1</v>
      </c>
      <c r="E19" s="279">
        <v>2.5</v>
      </c>
      <c r="F19" s="279">
        <v>1.23</v>
      </c>
      <c r="G19" s="279">
        <v>3.25</v>
      </c>
      <c r="H19" s="279"/>
      <c r="I19" s="279"/>
      <c r="J19" s="279"/>
      <c r="K19" s="280">
        <f t="shared" si="0"/>
        <v>2.3266666666666667</v>
      </c>
      <c r="L19" s="281">
        <f>K19*D19</f>
        <v>2.3266666666666667</v>
      </c>
    </row>
    <row r="20" spans="1:13" s="208" customFormat="1" ht="13" x14ac:dyDescent="0.25">
      <c r="A20" s="209">
        <v>10</v>
      </c>
      <c r="B20" s="237" t="s">
        <v>324</v>
      </c>
      <c r="C20" s="238" t="s">
        <v>325</v>
      </c>
      <c r="D20" s="257">
        <v>1</v>
      </c>
      <c r="E20" s="279">
        <v>3.3</v>
      </c>
      <c r="F20" s="279">
        <v>4.12</v>
      </c>
      <c r="G20" s="279">
        <v>4.17</v>
      </c>
      <c r="H20" s="279"/>
      <c r="I20" s="279"/>
      <c r="J20" s="279"/>
      <c r="K20" s="280">
        <f t="shared" si="0"/>
        <v>3.8633333333333333</v>
      </c>
      <c r="L20" s="281">
        <f t="shared" si="1"/>
        <v>3.8633333333333333</v>
      </c>
    </row>
    <row r="21" spans="1:13" s="208" customFormat="1" ht="13" x14ac:dyDescent="0.25">
      <c r="A21" s="209">
        <v>11</v>
      </c>
      <c r="B21" s="272" t="s">
        <v>326</v>
      </c>
      <c r="C21" s="238" t="s">
        <v>316</v>
      </c>
      <c r="D21" s="257">
        <v>3</v>
      </c>
      <c r="E21" s="279">
        <v>2.19</v>
      </c>
      <c r="F21" s="279">
        <v>2.29</v>
      </c>
      <c r="G21" s="279">
        <v>3</v>
      </c>
      <c r="H21" s="279"/>
      <c r="I21" s="279"/>
      <c r="J21" s="279"/>
      <c r="K21" s="280">
        <f t="shared" si="0"/>
        <v>2.4933333333333336</v>
      </c>
      <c r="L21" s="281">
        <f t="shared" si="1"/>
        <v>7.48</v>
      </c>
      <c r="M21" s="37"/>
    </row>
    <row r="22" spans="1:13" s="208" customFormat="1" ht="39" x14ac:dyDescent="0.25">
      <c r="A22" s="209">
        <v>12</v>
      </c>
      <c r="B22" s="237" t="s">
        <v>327</v>
      </c>
      <c r="C22" s="238" t="s">
        <v>316</v>
      </c>
      <c r="D22" s="257">
        <v>3</v>
      </c>
      <c r="E22" s="279">
        <v>9.75</v>
      </c>
      <c r="F22" s="279">
        <v>13.42</v>
      </c>
      <c r="G22" s="279">
        <v>24.34</v>
      </c>
      <c r="H22" s="279"/>
      <c r="I22" s="279"/>
      <c r="J22" s="279"/>
      <c r="K22" s="280">
        <f t="shared" si="0"/>
        <v>15.836666666666668</v>
      </c>
      <c r="L22" s="281">
        <f t="shared" si="1"/>
        <v>47.510000000000005</v>
      </c>
    </row>
    <row r="23" spans="1:13" s="208" customFormat="1" ht="52" x14ac:dyDescent="0.25">
      <c r="A23" s="209">
        <v>13</v>
      </c>
      <c r="B23" s="237" t="s">
        <v>328</v>
      </c>
      <c r="C23" s="238" t="s">
        <v>316</v>
      </c>
      <c r="D23" s="257">
        <v>2</v>
      </c>
      <c r="E23" s="279">
        <v>5.89</v>
      </c>
      <c r="F23" s="279">
        <v>7.98</v>
      </c>
      <c r="G23" s="279">
        <v>12.1</v>
      </c>
      <c r="H23" s="279"/>
      <c r="I23" s="279"/>
      <c r="J23" s="279"/>
      <c r="K23" s="280">
        <f t="shared" si="0"/>
        <v>8.6566666666666663</v>
      </c>
      <c r="L23" s="281">
        <f t="shared" si="1"/>
        <v>17.313333333333333</v>
      </c>
    </row>
    <row r="24" spans="1:13" s="208" customFormat="1" ht="26" x14ac:dyDescent="0.25">
      <c r="A24" s="209">
        <v>14</v>
      </c>
      <c r="B24" s="237" t="s">
        <v>329</v>
      </c>
      <c r="C24" s="238" t="s">
        <v>316</v>
      </c>
      <c r="D24" s="257">
        <v>1</v>
      </c>
      <c r="E24" s="279">
        <v>4.59</v>
      </c>
      <c r="F24" s="279">
        <v>3.59</v>
      </c>
      <c r="G24" s="279">
        <v>6.87</v>
      </c>
      <c r="H24" s="279"/>
      <c r="I24" s="279"/>
      <c r="J24" s="279"/>
      <c r="K24" s="280">
        <f t="shared" si="0"/>
        <v>5.0166666666666666</v>
      </c>
      <c r="L24" s="281">
        <f t="shared" si="1"/>
        <v>5.0166666666666666</v>
      </c>
    </row>
    <row r="25" spans="1:13" s="208" customFormat="1" ht="13" x14ac:dyDescent="0.25">
      <c r="A25" s="209">
        <v>15</v>
      </c>
      <c r="B25" s="237" t="s">
        <v>330</v>
      </c>
      <c r="C25" s="238" t="s">
        <v>316</v>
      </c>
      <c r="D25" s="257">
        <v>5</v>
      </c>
      <c r="E25" s="279">
        <v>6.29</v>
      </c>
      <c r="F25" s="279">
        <v>5.9</v>
      </c>
      <c r="G25" s="279">
        <v>4.75</v>
      </c>
      <c r="H25" s="279"/>
      <c r="I25" s="279"/>
      <c r="J25" s="279"/>
      <c r="K25" s="280">
        <f t="shared" si="0"/>
        <v>5.6466666666666674</v>
      </c>
      <c r="L25" s="281">
        <f t="shared" si="1"/>
        <v>28.233333333333338</v>
      </c>
    </row>
    <row r="26" spans="1:13" s="208" customFormat="1" ht="13" x14ac:dyDescent="0.25">
      <c r="A26" s="209">
        <v>16</v>
      </c>
      <c r="B26" s="237" t="s">
        <v>331</v>
      </c>
      <c r="C26" s="238" t="s">
        <v>316</v>
      </c>
      <c r="D26" s="257"/>
      <c r="E26" s="279">
        <v>2.75</v>
      </c>
      <c r="F26" s="279">
        <v>4.0999999999999996</v>
      </c>
      <c r="G26" s="279">
        <v>5.58</v>
      </c>
      <c r="H26" s="279"/>
      <c r="I26" s="279"/>
      <c r="J26" s="279"/>
      <c r="K26" s="280">
        <f t="shared" si="0"/>
        <v>4.1433333333333335</v>
      </c>
      <c r="L26" s="281">
        <f t="shared" si="1"/>
        <v>0</v>
      </c>
    </row>
    <row r="27" spans="1:13" s="208" customFormat="1" ht="39" x14ac:dyDescent="0.25">
      <c r="A27" s="209">
        <v>17</v>
      </c>
      <c r="B27" s="237" t="s">
        <v>332</v>
      </c>
      <c r="C27" s="238" t="s">
        <v>333</v>
      </c>
      <c r="D27" s="257">
        <v>5</v>
      </c>
      <c r="E27" s="279">
        <v>4.93</v>
      </c>
      <c r="F27" s="279">
        <v>5.17</v>
      </c>
      <c r="G27" s="279">
        <v>5.51</v>
      </c>
      <c r="H27" s="279"/>
      <c r="I27" s="279"/>
      <c r="J27" s="279"/>
      <c r="K27" s="280">
        <f t="shared" si="0"/>
        <v>5.2033333333333331</v>
      </c>
      <c r="L27" s="281">
        <f t="shared" si="1"/>
        <v>26.016666666666666</v>
      </c>
    </row>
    <row r="28" spans="1:13" s="208" customFormat="1" ht="13" x14ac:dyDescent="0.25">
      <c r="A28" s="209">
        <v>18</v>
      </c>
      <c r="B28" s="237" t="s">
        <v>334</v>
      </c>
      <c r="C28" s="238" t="s">
        <v>333</v>
      </c>
      <c r="D28" s="257">
        <v>1</v>
      </c>
      <c r="E28" s="279">
        <v>36</v>
      </c>
      <c r="F28" s="279">
        <v>20.059999999999999</v>
      </c>
      <c r="G28" s="279">
        <v>16.38</v>
      </c>
      <c r="H28" s="279"/>
      <c r="I28" s="279"/>
      <c r="J28" s="279"/>
      <c r="K28" s="280">
        <f t="shared" si="0"/>
        <v>24.146666666666665</v>
      </c>
      <c r="L28" s="281">
        <f t="shared" si="1"/>
        <v>24.146666666666665</v>
      </c>
    </row>
    <row r="29" spans="1:13" s="208" customFormat="1" ht="52" x14ac:dyDescent="0.25">
      <c r="A29" s="209">
        <v>19</v>
      </c>
      <c r="B29" s="237" t="s">
        <v>335</v>
      </c>
      <c r="C29" s="238" t="s">
        <v>316</v>
      </c>
      <c r="D29" s="257">
        <v>4</v>
      </c>
      <c r="E29" s="279">
        <v>2.9</v>
      </c>
      <c r="F29" s="279">
        <v>3.99</v>
      </c>
      <c r="G29" s="279">
        <v>7.5</v>
      </c>
      <c r="H29" s="279"/>
      <c r="I29" s="279"/>
      <c r="J29" s="279"/>
      <c r="K29" s="280">
        <f t="shared" si="0"/>
        <v>4.7966666666666669</v>
      </c>
      <c r="L29" s="281">
        <f t="shared" si="1"/>
        <v>19.186666666666667</v>
      </c>
    </row>
    <row r="30" spans="1:13" s="208" customFormat="1" ht="52" x14ac:dyDescent="0.25">
      <c r="A30" s="209">
        <v>20</v>
      </c>
      <c r="B30" s="237" t="s">
        <v>336</v>
      </c>
      <c r="C30" s="238" t="s">
        <v>316</v>
      </c>
      <c r="D30" s="257">
        <v>10</v>
      </c>
      <c r="E30" s="279">
        <v>14.99</v>
      </c>
      <c r="F30" s="279">
        <v>16.48</v>
      </c>
      <c r="G30" s="279">
        <v>9.49</v>
      </c>
      <c r="H30" s="279"/>
      <c r="I30" s="279"/>
      <c r="J30" s="279"/>
      <c r="K30" s="280">
        <f t="shared" si="0"/>
        <v>13.653333333333334</v>
      </c>
      <c r="L30" s="281">
        <f t="shared" si="1"/>
        <v>136.53333333333333</v>
      </c>
    </row>
    <row r="31" spans="1:13" s="208" customFormat="1" ht="13" x14ac:dyDescent="0.25">
      <c r="A31" s="209">
        <v>21</v>
      </c>
      <c r="B31" s="272" t="s">
        <v>337</v>
      </c>
      <c r="C31" s="238" t="s">
        <v>333</v>
      </c>
      <c r="D31" s="257">
        <v>1</v>
      </c>
      <c r="E31" s="279">
        <v>33</v>
      </c>
      <c r="F31" s="279">
        <v>36.299999999999997</v>
      </c>
      <c r="G31" s="279">
        <v>40.119999999999997</v>
      </c>
      <c r="H31" s="279"/>
      <c r="I31" s="279"/>
      <c r="J31" s="279"/>
      <c r="K31" s="280">
        <f t="shared" si="0"/>
        <v>36.473333333333329</v>
      </c>
      <c r="L31" s="281">
        <f t="shared" si="1"/>
        <v>36.473333333333329</v>
      </c>
    </row>
    <row r="32" spans="1:13" s="208" customFormat="1" ht="13" x14ac:dyDescent="0.25">
      <c r="A32" s="209">
        <v>22</v>
      </c>
      <c r="B32" s="272" t="s">
        <v>338</v>
      </c>
      <c r="C32" s="238" t="s">
        <v>316</v>
      </c>
      <c r="D32" s="257">
        <v>1</v>
      </c>
      <c r="E32" s="279">
        <v>12.4</v>
      </c>
      <c r="F32" s="279">
        <v>13.6</v>
      </c>
      <c r="G32" s="279">
        <v>20.69</v>
      </c>
      <c r="H32" s="279"/>
      <c r="I32" s="279"/>
      <c r="J32" s="279"/>
      <c r="K32" s="280">
        <f t="shared" si="0"/>
        <v>15.563333333333333</v>
      </c>
      <c r="L32" s="281">
        <f t="shared" si="1"/>
        <v>15.563333333333333</v>
      </c>
    </row>
    <row r="33" spans="1:13" s="208" customFormat="1" ht="91" x14ac:dyDescent="0.25">
      <c r="A33" s="209">
        <v>23</v>
      </c>
      <c r="B33" s="272" t="s">
        <v>339</v>
      </c>
      <c r="C33" s="238" t="s">
        <v>316</v>
      </c>
      <c r="D33" s="257">
        <v>16</v>
      </c>
      <c r="E33" s="279">
        <v>13.3</v>
      </c>
      <c r="F33" s="279">
        <v>14</v>
      </c>
      <c r="G33" s="279">
        <v>29.28</v>
      </c>
      <c r="H33" s="279"/>
      <c r="I33" s="279"/>
      <c r="J33" s="279"/>
      <c r="K33" s="280">
        <f t="shared" si="0"/>
        <v>18.86</v>
      </c>
      <c r="L33" s="281">
        <f t="shared" si="1"/>
        <v>301.76</v>
      </c>
      <c r="M33" s="269"/>
    </row>
    <row r="34" spans="1:13" s="208" customFormat="1" ht="12.75" customHeight="1" x14ac:dyDescent="0.25">
      <c r="A34" s="209"/>
      <c r="B34" s="242"/>
      <c r="C34" s="187"/>
      <c r="D34" s="187"/>
      <c r="E34" s="279"/>
      <c r="F34" s="279"/>
      <c r="G34" s="279"/>
      <c r="H34" s="279"/>
      <c r="I34" s="279"/>
      <c r="J34" s="279"/>
      <c r="K34" s="280"/>
      <c r="L34" s="281"/>
    </row>
    <row r="35" spans="1:13" ht="13.5" thickBot="1" x14ac:dyDescent="0.3">
      <c r="A35" s="555" t="s">
        <v>340</v>
      </c>
      <c r="B35" s="556"/>
      <c r="C35" s="556"/>
      <c r="D35" s="556"/>
      <c r="E35" s="556"/>
      <c r="F35" s="556"/>
      <c r="G35" s="556"/>
      <c r="H35" s="556"/>
      <c r="I35" s="556"/>
      <c r="J35" s="557"/>
      <c r="K35" s="558">
        <f>SUM(L11:L34)</f>
        <v>1057.8266666666666</v>
      </c>
      <c r="L35" s="559"/>
    </row>
    <row r="36" spans="1:13" ht="13" thickBot="1" x14ac:dyDescent="0.3"/>
    <row r="37" spans="1:13" ht="13.5" thickBot="1" x14ac:dyDescent="0.35">
      <c r="A37" s="519" t="s">
        <v>341</v>
      </c>
      <c r="B37" s="520"/>
      <c r="C37" s="520"/>
      <c r="D37" s="520"/>
      <c r="E37" s="520"/>
      <c r="F37" s="520"/>
      <c r="G37" s="520"/>
      <c r="H37" s="520"/>
      <c r="I37" s="520"/>
      <c r="J37" s="521"/>
      <c r="K37" s="548" t="e">
        <f>K35/'Secretario Nivel Médio II'!I250</f>
        <v>#DIV/0!</v>
      </c>
      <c r="L37" s="549"/>
    </row>
    <row r="38" spans="1:13" ht="13" x14ac:dyDescent="0.3">
      <c r="A38" s="258"/>
      <c r="B38" s="258"/>
      <c r="C38" s="258"/>
      <c r="D38" s="258"/>
      <c r="E38" s="258"/>
      <c r="F38" s="258"/>
      <c r="G38" s="258"/>
      <c r="H38" s="258"/>
      <c r="I38" s="258"/>
      <c r="J38" s="258"/>
      <c r="K38" s="259"/>
      <c r="L38" s="259"/>
    </row>
    <row r="40" spans="1:13" ht="13" thickBot="1" x14ac:dyDescent="0.3"/>
    <row r="41" spans="1:13" ht="13" x14ac:dyDescent="0.25">
      <c r="A41" s="478" t="s">
        <v>296</v>
      </c>
      <c r="B41" s="481" t="s">
        <v>342</v>
      </c>
      <c r="C41" s="484" t="s">
        <v>297</v>
      </c>
      <c r="D41" s="487" t="s">
        <v>298</v>
      </c>
      <c r="E41" s="490" t="s">
        <v>299</v>
      </c>
      <c r="F41" s="491"/>
      <c r="G41" s="491"/>
      <c r="H41" s="491"/>
      <c r="I41" s="491"/>
      <c r="J41" s="492"/>
      <c r="K41" s="493" t="s">
        <v>300</v>
      </c>
      <c r="L41" s="494"/>
    </row>
    <row r="42" spans="1:13" ht="13.5" x14ac:dyDescent="0.25">
      <c r="A42" s="479"/>
      <c r="B42" s="560"/>
      <c r="C42" s="485"/>
      <c r="D42" s="488"/>
      <c r="E42" s="199" t="s">
        <v>4</v>
      </c>
      <c r="F42" s="200" t="s">
        <v>6</v>
      </c>
      <c r="G42" s="200" t="s">
        <v>8</v>
      </c>
      <c r="H42" s="200" t="s">
        <v>10</v>
      </c>
      <c r="I42" s="200" t="s">
        <v>39</v>
      </c>
      <c r="J42" s="201" t="s">
        <v>41</v>
      </c>
      <c r="K42" s="495" t="s">
        <v>301</v>
      </c>
      <c r="L42" s="497" t="s">
        <v>302</v>
      </c>
    </row>
    <row r="43" spans="1:13" ht="13" thickBot="1" x14ac:dyDescent="0.3">
      <c r="A43" s="480"/>
      <c r="B43" s="561"/>
      <c r="C43" s="486"/>
      <c r="D43" s="489"/>
      <c r="E43" s="202" t="s">
        <v>303</v>
      </c>
      <c r="F43" s="203" t="s">
        <v>303</v>
      </c>
      <c r="G43" s="203" t="s">
        <v>303</v>
      </c>
      <c r="H43" s="203" t="s">
        <v>303</v>
      </c>
      <c r="I43" s="203" t="s">
        <v>303</v>
      </c>
      <c r="J43" s="204" t="s">
        <v>303</v>
      </c>
      <c r="K43" s="496"/>
      <c r="L43" s="498"/>
    </row>
    <row r="44" spans="1:13" x14ac:dyDescent="0.25">
      <c r="A44" s="245">
        <v>1</v>
      </c>
      <c r="B44" s="261" t="s">
        <v>343</v>
      </c>
      <c r="C44" s="207" t="s">
        <v>297</v>
      </c>
      <c r="D44" s="260">
        <v>4</v>
      </c>
      <c r="E44" s="285">
        <v>13.52</v>
      </c>
      <c r="F44" s="285">
        <v>21.68</v>
      </c>
      <c r="G44" s="285">
        <v>21.99</v>
      </c>
      <c r="H44" s="285"/>
      <c r="I44" s="285"/>
      <c r="J44" s="285"/>
      <c r="K44" s="286">
        <f t="shared" ref="K44:K55" si="2">AVERAGE(E44:J44)</f>
        <v>19.063333333333333</v>
      </c>
      <c r="L44" s="287">
        <f t="shared" ref="L44:L55" si="3">K44*D44</f>
        <v>76.25333333333333</v>
      </c>
    </row>
    <row r="45" spans="1:13" x14ac:dyDescent="0.25">
      <c r="A45" s="246">
        <v>2</v>
      </c>
      <c r="B45" s="261" t="s">
        <v>344</v>
      </c>
      <c r="C45" s="211" t="s">
        <v>297</v>
      </c>
      <c r="D45" s="260">
        <v>2</v>
      </c>
      <c r="E45" s="288">
        <v>15.39</v>
      </c>
      <c r="F45" s="288">
        <v>16.2</v>
      </c>
      <c r="G45" s="288">
        <v>18.62</v>
      </c>
      <c r="H45" s="288"/>
      <c r="I45" s="288"/>
      <c r="J45" s="288"/>
      <c r="K45" s="286">
        <f t="shared" si="2"/>
        <v>16.736666666666668</v>
      </c>
      <c r="L45" s="287">
        <f t="shared" si="3"/>
        <v>33.473333333333336</v>
      </c>
    </row>
    <row r="46" spans="1:13" x14ac:dyDescent="0.25">
      <c r="A46" s="246">
        <v>3</v>
      </c>
      <c r="B46" s="261" t="s">
        <v>345</v>
      </c>
      <c r="C46" s="212" t="s">
        <v>297</v>
      </c>
      <c r="D46" s="260">
        <v>2</v>
      </c>
      <c r="E46" s="288">
        <v>7.89</v>
      </c>
      <c r="F46" s="288">
        <v>9.5</v>
      </c>
      <c r="G46" s="288">
        <v>24.56</v>
      </c>
      <c r="H46" s="288"/>
      <c r="I46" s="288"/>
      <c r="J46" s="288"/>
      <c r="K46" s="286">
        <f t="shared" si="2"/>
        <v>13.983333333333334</v>
      </c>
      <c r="L46" s="287">
        <f t="shared" si="3"/>
        <v>27.966666666666669</v>
      </c>
    </row>
    <row r="47" spans="1:13" x14ac:dyDescent="0.25">
      <c r="A47" s="246">
        <v>4</v>
      </c>
      <c r="B47" s="273" t="s">
        <v>346</v>
      </c>
      <c r="C47" s="211" t="s">
        <v>297</v>
      </c>
      <c r="D47" s="260"/>
      <c r="E47" s="288">
        <v>3.37</v>
      </c>
      <c r="F47" s="288">
        <v>4.99</v>
      </c>
      <c r="G47" s="288">
        <v>8.1</v>
      </c>
      <c r="H47" s="288"/>
      <c r="I47" s="288"/>
      <c r="J47" s="288"/>
      <c r="K47" s="286">
        <f t="shared" si="2"/>
        <v>5.4866666666666672</v>
      </c>
      <c r="L47" s="287">
        <f t="shared" si="3"/>
        <v>0</v>
      </c>
    </row>
    <row r="48" spans="1:13" x14ac:dyDescent="0.25">
      <c r="A48" s="246">
        <v>5</v>
      </c>
      <c r="B48" s="273" t="s">
        <v>347</v>
      </c>
      <c r="C48" s="211" t="s">
        <v>297</v>
      </c>
      <c r="D48" s="260">
        <v>5</v>
      </c>
      <c r="E48" s="288">
        <v>8.1999999999999993</v>
      </c>
      <c r="F48" s="288">
        <v>8.9</v>
      </c>
      <c r="G48" s="288">
        <v>11.19</v>
      </c>
      <c r="H48" s="288"/>
      <c r="I48" s="288"/>
      <c r="J48" s="288"/>
      <c r="K48" s="286">
        <f t="shared" si="2"/>
        <v>9.43</v>
      </c>
      <c r="L48" s="287">
        <f t="shared" si="3"/>
        <v>47.15</v>
      </c>
    </row>
    <row r="49" spans="1:12" x14ac:dyDescent="0.25">
      <c r="A49" s="246">
        <v>6</v>
      </c>
      <c r="B49" s="261" t="s">
        <v>348</v>
      </c>
      <c r="C49" s="211" t="s">
        <v>297</v>
      </c>
      <c r="D49" s="260">
        <v>2</v>
      </c>
      <c r="E49" s="288">
        <v>10.48</v>
      </c>
      <c r="F49" s="288">
        <v>13.5</v>
      </c>
      <c r="G49" s="288">
        <v>21.5</v>
      </c>
      <c r="H49" s="288"/>
      <c r="I49" s="288"/>
      <c r="J49" s="288"/>
      <c r="K49" s="286">
        <f t="shared" si="2"/>
        <v>15.160000000000002</v>
      </c>
      <c r="L49" s="287">
        <f t="shared" si="3"/>
        <v>30.320000000000004</v>
      </c>
    </row>
    <row r="50" spans="1:12" ht="56" x14ac:dyDescent="0.25">
      <c r="A50" s="246">
        <v>7</v>
      </c>
      <c r="B50" s="261" t="s">
        <v>349</v>
      </c>
      <c r="C50" s="211" t="s">
        <v>305</v>
      </c>
      <c r="D50" s="260">
        <v>4</v>
      </c>
      <c r="E50" s="288">
        <v>3.3</v>
      </c>
      <c r="F50" s="288">
        <v>6.73</v>
      </c>
      <c r="G50" s="288">
        <v>11</v>
      </c>
      <c r="H50" s="288"/>
      <c r="I50" s="288"/>
      <c r="J50" s="288"/>
      <c r="K50" s="286">
        <f t="shared" si="2"/>
        <v>7.0100000000000007</v>
      </c>
      <c r="L50" s="287">
        <f t="shared" si="3"/>
        <v>28.040000000000003</v>
      </c>
    </row>
    <row r="51" spans="1:12" x14ac:dyDescent="0.25">
      <c r="A51" s="246">
        <v>8</v>
      </c>
      <c r="B51" s="273" t="s">
        <v>350</v>
      </c>
      <c r="C51" s="211" t="s">
        <v>297</v>
      </c>
      <c r="D51" s="260">
        <v>2</v>
      </c>
      <c r="E51" s="288">
        <v>37.9</v>
      </c>
      <c r="F51" s="288">
        <v>70.95</v>
      </c>
      <c r="G51" s="288">
        <v>37.9</v>
      </c>
      <c r="H51" s="288"/>
      <c r="I51" s="288"/>
      <c r="J51" s="288"/>
      <c r="K51" s="286">
        <f t="shared" si="2"/>
        <v>48.916666666666664</v>
      </c>
      <c r="L51" s="287">
        <f t="shared" si="3"/>
        <v>97.833333333333329</v>
      </c>
    </row>
    <row r="52" spans="1:12" x14ac:dyDescent="0.25">
      <c r="A52" s="246">
        <v>9</v>
      </c>
      <c r="B52" s="261" t="s">
        <v>351</v>
      </c>
      <c r="C52" s="211" t="s">
        <v>297</v>
      </c>
      <c r="D52" s="260">
        <v>2</v>
      </c>
      <c r="E52" s="288">
        <v>9.9</v>
      </c>
      <c r="F52" s="288">
        <v>13.99</v>
      </c>
      <c r="G52" s="288">
        <v>26</v>
      </c>
      <c r="H52" s="288"/>
      <c r="I52" s="288"/>
      <c r="J52" s="288"/>
      <c r="K52" s="286">
        <f t="shared" si="2"/>
        <v>16.63</v>
      </c>
      <c r="L52" s="287">
        <f t="shared" si="3"/>
        <v>33.26</v>
      </c>
    </row>
    <row r="53" spans="1:12" x14ac:dyDescent="0.25">
      <c r="A53" s="246">
        <v>10</v>
      </c>
      <c r="B53" s="274" t="s">
        <v>352</v>
      </c>
      <c r="C53" s="211" t="s">
        <v>297</v>
      </c>
      <c r="D53" s="260">
        <v>2</v>
      </c>
      <c r="E53" s="288">
        <v>9.36</v>
      </c>
      <c r="F53" s="288">
        <v>12.25</v>
      </c>
      <c r="G53" s="288">
        <v>23.39</v>
      </c>
      <c r="H53" s="288"/>
      <c r="I53" s="288"/>
      <c r="J53" s="288"/>
      <c r="K53" s="286">
        <f t="shared" si="2"/>
        <v>15</v>
      </c>
      <c r="L53" s="287">
        <f t="shared" si="3"/>
        <v>30</v>
      </c>
    </row>
    <row r="54" spans="1:12" x14ac:dyDescent="0.25">
      <c r="A54" s="246">
        <v>11</v>
      </c>
      <c r="B54" s="261" t="s">
        <v>353</v>
      </c>
      <c r="C54" s="211" t="s">
        <v>297</v>
      </c>
      <c r="D54" s="260">
        <v>2</v>
      </c>
      <c r="E54" s="288">
        <v>9.5</v>
      </c>
      <c r="F54" s="288">
        <v>16.77</v>
      </c>
      <c r="G54" s="288">
        <v>18.04</v>
      </c>
      <c r="H54" s="288"/>
      <c r="I54" s="288"/>
      <c r="J54" s="288"/>
      <c r="K54" s="286">
        <f t="shared" si="2"/>
        <v>14.770000000000001</v>
      </c>
      <c r="L54" s="287">
        <f t="shared" si="3"/>
        <v>29.540000000000003</v>
      </c>
    </row>
    <row r="55" spans="1:12" x14ac:dyDescent="0.25">
      <c r="A55" s="246">
        <v>12</v>
      </c>
      <c r="B55" s="261" t="s">
        <v>354</v>
      </c>
      <c r="C55" s="211" t="s">
        <v>297</v>
      </c>
      <c r="D55" s="260">
        <v>2</v>
      </c>
      <c r="E55" s="288">
        <v>16.739999999999998</v>
      </c>
      <c r="F55" s="288">
        <v>17.45</v>
      </c>
      <c r="G55" s="288">
        <v>17.5</v>
      </c>
      <c r="H55" s="288"/>
      <c r="I55" s="288"/>
      <c r="J55" s="288"/>
      <c r="K55" s="286">
        <f t="shared" si="2"/>
        <v>17.23</v>
      </c>
      <c r="L55" s="287">
        <f t="shared" si="3"/>
        <v>34.46</v>
      </c>
    </row>
    <row r="56" spans="1:12" x14ac:dyDescent="0.25">
      <c r="A56" s="246">
        <v>13</v>
      </c>
      <c r="B56" s="252"/>
      <c r="C56" s="211"/>
      <c r="D56" s="260"/>
      <c r="E56" s="288"/>
      <c r="F56" s="288"/>
      <c r="G56" s="288"/>
      <c r="H56" s="288"/>
      <c r="I56" s="288"/>
      <c r="J56" s="288"/>
      <c r="K56" s="286"/>
      <c r="L56" s="287"/>
    </row>
    <row r="57" spans="1:12" ht="13.5" thickBot="1" x14ac:dyDescent="0.3">
      <c r="A57" s="246">
        <v>14</v>
      </c>
      <c r="B57" s="217"/>
      <c r="C57" s="211"/>
      <c r="D57" s="248"/>
      <c r="E57" s="247"/>
      <c r="F57" s="247"/>
      <c r="G57" s="247"/>
      <c r="H57" s="247"/>
      <c r="I57" s="247"/>
      <c r="J57" s="247"/>
      <c r="K57" s="224"/>
      <c r="L57" s="225"/>
    </row>
    <row r="58" spans="1:12" ht="13.5" thickBot="1" x14ac:dyDescent="0.3">
      <c r="A58" s="519" t="s">
        <v>355</v>
      </c>
      <c r="B58" s="520"/>
      <c r="C58" s="520"/>
      <c r="D58" s="520"/>
      <c r="E58" s="520"/>
      <c r="F58" s="520"/>
      <c r="G58" s="520"/>
      <c r="H58" s="520"/>
      <c r="I58" s="520"/>
      <c r="J58" s="521"/>
      <c r="K58" s="543">
        <f>SUM(L44:L57)</f>
        <v>468.29666666666662</v>
      </c>
      <c r="L58" s="544"/>
    </row>
    <row r="59" spans="1:12" ht="13.5" thickBot="1" x14ac:dyDescent="0.3">
      <c r="A59" s="183"/>
      <c r="B59" s="183"/>
      <c r="C59" s="262"/>
      <c r="D59" s="263"/>
      <c r="E59" s="264"/>
      <c r="F59" s="264"/>
      <c r="G59" s="264"/>
      <c r="H59" s="264"/>
      <c r="I59" s="264"/>
      <c r="J59" s="264"/>
      <c r="K59" s="265"/>
      <c r="L59" s="265"/>
    </row>
    <row r="60" spans="1:12" ht="13.5" thickBot="1" x14ac:dyDescent="0.35">
      <c r="A60" s="545" t="s">
        <v>356</v>
      </c>
      <c r="B60" s="546"/>
      <c r="C60" s="546"/>
      <c r="D60" s="546"/>
      <c r="E60" s="546"/>
      <c r="F60" s="546"/>
      <c r="G60" s="546"/>
      <c r="H60" s="546"/>
      <c r="I60" s="546"/>
      <c r="J60" s="547"/>
      <c r="K60" s="548" t="e">
        <f>K58/12/'Secretario Nivel Médio II'!I250</f>
        <v>#DIV/0!</v>
      </c>
      <c r="L60" s="549"/>
    </row>
    <row r="61" spans="1:12" ht="13.5" thickBot="1" x14ac:dyDescent="0.35">
      <c r="A61" s="258"/>
      <c r="B61" s="258"/>
      <c r="C61" s="258"/>
      <c r="D61" s="258"/>
      <c r="E61" s="258"/>
      <c r="F61" s="258"/>
      <c r="G61" s="258"/>
      <c r="H61" s="258"/>
      <c r="I61" s="258"/>
      <c r="J61" s="258"/>
      <c r="K61" s="259"/>
      <c r="L61" s="259"/>
    </row>
    <row r="62" spans="1:12" ht="13.5" thickBot="1" x14ac:dyDescent="0.35">
      <c r="A62" s="550" t="s">
        <v>357</v>
      </c>
      <c r="B62" s="551"/>
      <c r="C62" s="551"/>
      <c r="D62" s="551"/>
      <c r="E62" s="551"/>
      <c r="F62" s="551"/>
      <c r="G62" s="551"/>
      <c r="H62" s="551"/>
      <c r="I62" s="551"/>
      <c r="J62" s="552"/>
      <c r="K62" s="553" t="s">
        <v>358</v>
      </c>
      <c r="L62" s="554"/>
    </row>
    <row r="63" spans="1:12" ht="13" x14ac:dyDescent="0.3">
      <c r="A63" s="539" t="s">
        <v>359</v>
      </c>
      <c r="B63" s="540"/>
      <c r="C63" s="540"/>
      <c r="D63" s="540"/>
      <c r="E63" s="540"/>
      <c r="F63" s="540"/>
      <c r="G63" s="540"/>
      <c r="H63" s="540"/>
      <c r="I63" s="540"/>
      <c r="J63" s="540"/>
      <c r="K63" s="530" t="e">
        <f>K37</f>
        <v>#DIV/0!</v>
      </c>
      <c r="L63" s="531"/>
    </row>
    <row r="64" spans="1:12" ht="13.5" thickBot="1" x14ac:dyDescent="0.35">
      <c r="A64" s="537" t="s">
        <v>360</v>
      </c>
      <c r="B64" s="538"/>
      <c r="C64" s="538"/>
      <c r="D64" s="538"/>
      <c r="E64" s="538"/>
      <c r="F64" s="538"/>
      <c r="G64" s="538"/>
      <c r="H64" s="538"/>
      <c r="I64" s="538"/>
      <c r="J64" s="538"/>
      <c r="K64" s="541" t="e">
        <f>K60</f>
        <v>#DIV/0!</v>
      </c>
      <c r="L64" s="542"/>
    </row>
    <row r="65" spans="1:12" ht="13.5" thickBot="1" x14ac:dyDescent="0.35">
      <c r="A65" s="532" t="s">
        <v>361</v>
      </c>
      <c r="B65" s="533"/>
      <c r="C65" s="533"/>
      <c r="D65" s="533"/>
      <c r="E65" s="533"/>
      <c r="F65" s="533"/>
      <c r="G65" s="533"/>
      <c r="H65" s="533"/>
      <c r="I65" s="533"/>
      <c r="J65" s="534"/>
      <c r="K65" s="535" t="e">
        <f>SUM(K63:L64)</f>
        <v>#DIV/0!</v>
      </c>
      <c r="L65" s="536"/>
    </row>
    <row r="67" spans="1:12" ht="13" thickBot="1" x14ac:dyDescent="0.3"/>
    <row r="68" spans="1:12" ht="20.25" customHeight="1" x14ac:dyDescent="0.25">
      <c r="A68" s="439"/>
      <c r="B68" s="440"/>
      <c r="C68" s="445" t="s">
        <v>309</v>
      </c>
      <c r="D68" s="448"/>
      <c r="E68" s="449"/>
      <c r="F68" s="449"/>
      <c r="G68" s="449"/>
      <c r="H68" s="449"/>
      <c r="I68" s="449"/>
      <c r="J68" s="449"/>
      <c r="K68" s="449"/>
      <c r="L68" s="450"/>
    </row>
    <row r="69" spans="1:12" ht="28.5" customHeight="1" x14ac:dyDescent="0.25">
      <c r="A69" s="441"/>
      <c r="B69" s="442"/>
      <c r="C69" s="446"/>
      <c r="D69" s="451"/>
      <c r="E69" s="452"/>
      <c r="F69" s="452"/>
      <c r="G69" s="452"/>
      <c r="H69" s="452"/>
      <c r="I69" s="452"/>
      <c r="J69" s="452"/>
      <c r="K69" s="452"/>
      <c r="L69" s="453"/>
    </row>
    <row r="70" spans="1:12" ht="14.25" customHeight="1" x14ac:dyDescent="0.25">
      <c r="A70" s="441"/>
      <c r="B70" s="442"/>
      <c r="C70" s="446"/>
      <c r="D70" s="451"/>
      <c r="E70" s="452"/>
      <c r="F70" s="452"/>
      <c r="G70" s="452"/>
      <c r="H70" s="452"/>
      <c r="I70" s="452"/>
      <c r="J70" s="452"/>
      <c r="K70" s="452"/>
      <c r="L70" s="453"/>
    </row>
    <row r="71" spans="1:12" ht="13" thickBot="1" x14ac:dyDescent="0.3">
      <c r="A71" s="443"/>
      <c r="B71" s="444"/>
      <c r="C71" s="447"/>
      <c r="D71" s="454"/>
      <c r="E71" s="455"/>
      <c r="F71" s="455"/>
      <c r="G71" s="455"/>
      <c r="H71" s="455"/>
      <c r="I71" s="455"/>
      <c r="J71" s="455"/>
      <c r="K71" s="455"/>
      <c r="L71" s="456"/>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customXml/itemProps2.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 Custo est. total</vt:lpstr>
      <vt:lpstr>Secretario Nivel Médio II</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2024-02-28T11:12:22Z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