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iago\Desktop\90018.2024 - Café\1.1. ANEXO I - Termo de Referência 14905904 e seus anexos\1.1.a. Termo de Referência\Anexos do TR\"/>
    </mc:Choice>
  </mc:AlternateContent>
  <xr:revisionPtr revIDLastSave="0" documentId="13_ncr:1_{9BEC3A5C-93F2-437E-A85E-62EE970E6B9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AFÉ" sheetId="3" r:id="rId1"/>
    <sheet name="AÇÚCAR" sheetId="4" r:id="rId2"/>
    <sheet name="ADOÇANTE" sheetId="5" r:id="rId3"/>
    <sheet name="COADOR DESCARTÁVEL" sheetId="6" r:id="rId4"/>
  </sheets>
  <definedNames>
    <definedName name="_xlnm._FilterDatabase" localSheetId="1" hidden="1">AÇÚCAR!$B$2:$M$29</definedName>
    <definedName name="_xlnm._FilterDatabase" localSheetId="2" hidden="1">ADOÇANTE!$B$2:$M$29</definedName>
    <definedName name="_xlnm._FilterDatabase" localSheetId="0" hidden="1">CAFÉ!$C$1:$C$36</definedName>
    <definedName name="_xlnm._FilterDatabase" localSheetId="3" hidden="1">'COADOR DESCARTÁVEL'!$C$1:$C$36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5" l="1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4" i="5"/>
  <c r="H5" i="3"/>
  <c r="F32" i="5" l="1"/>
  <c r="G32" i="5" s="1"/>
  <c r="F33" i="5"/>
  <c r="G33" i="5" s="1"/>
  <c r="I33" i="5" s="1"/>
  <c r="F34" i="5"/>
  <c r="G34" i="5" s="1"/>
  <c r="I34" i="5" s="1"/>
  <c r="F35" i="5"/>
  <c r="G35" i="5" s="1"/>
  <c r="I35" i="5" s="1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4" i="4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4" i="3"/>
  <c r="K32" i="5"/>
  <c r="K34" i="5"/>
  <c r="K33" i="5"/>
  <c r="K34" i="4"/>
  <c r="K35" i="5"/>
  <c r="K31" i="5"/>
  <c r="G32" i="4"/>
  <c r="K35" i="4"/>
  <c r="K33" i="4"/>
  <c r="K32" i="4"/>
  <c r="K31" i="4"/>
  <c r="K36" i="4" s="1"/>
  <c r="K35" i="3"/>
  <c r="K34" i="3"/>
  <c r="K33" i="3"/>
  <c r="K32" i="3"/>
  <c r="K31" i="3"/>
  <c r="F31" i="3"/>
  <c r="G31" i="3" s="1"/>
  <c r="I31" i="3" s="1"/>
  <c r="F35" i="3"/>
  <c r="G35" i="3" s="1"/>
  <c r="I35" i="3" s="1"/>
  <c r="F31" i="5"/>
  <c r="F34" i="4"/>
  <c r="F34" i="3"/>
  <c r="G34" i="3" s="1"/>
  <c r="I34" i="3" s="1"/>
  <c r="F33" i="3"/>
  <c r="G33" i="3" s="1"/>
  <c r="I33" i="3" s="1"/>
  <c r="F32" i="3"/>
  <c r="G32" i="3" s="1"/>
  <c r="I32" i="3" s="1"/>
  <c r="F32" i="4"/>
  <c r="F33" i="4"/>
  <c r="G33" i="4" s="1"/>
  <c r="F35" i="4"/>
  <c r="G35" i="4" s="1"/>
  <c r="F31" i="4"/>
  <c r="G31" i="4" s="1"/>
  <c r="F36" i="5" l="1"/>
  <c r="I32" i="5"/>
  <c r="G31" i="5"/>
  <c r="F36" i="4"/>
  <c r="G34" i="4"/>
  <c r="G36" i="4"/>
  <c r="K36" i="3"/>
  <c r="I36" i="3"/>
  <c r="K36" i="5"/>
  <c r="F36" i="3"/>
  <c r="G36" i="3" s="1"/>
  <c r="I31" i="5" l="1"/>
  <c r="G36" i="5"/>
  <c r="I36" i="5"/>
  <c r="J5" i="4"/>
  <c r="J4" i="4"/>
  <c r="P5" i="6" l="1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4" i="6"/>
  <c r="K5" i="4"/>
  <c r="J5" i="5"/>
  <c r="K5" i="5" s="1"/>
  <c r="J6" i="5"/>
  <c r="K6" i="5" s="1"/>
  <c r="J7" i="5"/>
  <c r="K7" i="5" s="1"/>
  <c r="J8" i="5"/>
  <c r="K8" i="5" s="1"/>
  <c r="J9" i="5"/>
  <c r="K9" i="5" s="1"/>
  <c r="J10" i="5"/>
  <c r="K10" i="5" s="1"/>
  <c r="J11" i="5"/>
  <c r="K11" i="5" s="1"/>
  <c r="J12" i="5"/>
  <c r="K12" i="5" s="1"/>
  <c r="J13" i="5"/>
  <c r="K13" i="5" s="1"/>
  <c r="J14" i="5"/>
  <c r="K14" i="5" s="1"/>
  <c r="J15" i="5"/>
  <c r="K15" i="5" s="1"/>
  <c r="J16" i="5"/>
  <c r="K16" i="5" s="1"/>
  <c r="J17" i="5"/>
  <c r="K17" i="5" s="1"/>
  <c r="J18" i="5"/>
  <c r="K18" i="5" s="1"/>
  <c r="J19" i="5"/>
  <c r="K19" i="5" s="1"/>
  <c r="J20" i="5"/>
  <c r="K20" i="5" s="1"/>
  <c r="J21" i="5"/>
  <c r="K21" i="5" s="1"/>
  <c r="J22" i="5"/>
  <c r="K22" i="5" s="1"/>
  <c r="J23" i="5"/>
  <c r="K23" i="5" s="1"/>
  <c r="J24" i="5"/>
  <c r="K24" i="5" s="1"/>
  <c r="J25" i="5"/>
  <c r="K25" i="5" s="1"/>
  <c r="J26" i="5"/>
  <c r="K26" i="5" s="1"/>
  <c r="J27" i="5"/>
  <c r="K27" i="5" s="1"/>
  <c r="J28" i="5"/>
  <c r="K28" i="5" s="1"/>
  <c r="J4" i="5"/>
  <c r="K4" i="5" s="1"/>
  <c r="K4" i="4"/>
  <c r="M4" i="4" s="1"/>
  <c r="J6" i="4"/>
  <c r="K6" i="4" s="1"/>
  <c r="J7" i="4"/>
  <c r="K7" i="4" s="1"/>
  <c r="J8" i="4"/>
  <c r="K8" i="4" s="1"/>
  <c r="J9" i="4"/>
  <c r="K9" i="4" s="1"/>
  <c r="J10" i="4"/>
  <c r="K10" i="4" s="1"/>
  <c r="J11" i="4"/>
  <c r="K11" i="4" s="1"/>
  <c r="J12" i="4"/>
  <c r="K12" i="4" s="1"/>
  <c r="J13" i="4"/>
  <c r="K13" i="4" s="1"/>
  <c r="J14" i="4"/>
  <c r="K14" i="4" s="1"/>
  <c r="J15" i="4"/>
  <c r="K15" i="4" s="1"/>
  <c r="J16" i="4"/>
  <c r="K16" i="4" s="1"/>
  <c r="J17" i="4"/>
  <c r="K17" i="4" s="1"/>
  <c r="J18" i="4"/>
  <c r="K18" i="4" s="1"/>
  <c r="J19" i="4"/>
  <c r="K19" i="4" s="1"/>
  <c r="J20" i="4"/>
  <c r="K20" i="4" s="1"/>
  <c r="J21" i="4"/>
  <c r="K21" i="4" s="1"/>
  <c r="J22" i="4"/>
  <c r="K22" i="4" s="1"/>
  <c r="J23" i="4"/>
  <c r="K23" i="4" s="1"/>
  <c r="J24" i="4"/>
  <c r="K24" i="4" s="1"/>
  <c r="J25" i="4"/>
  <c r="K25" i="4" s="1"/>
  <c r="J26" i="4"/>
  <c r="K26" i="4" s="1"/>
  <c r="J27" i="4"/>
  <c r="K27" i="4" s="1"/>
  <c r="J28" i="4"/>
  <c r="K28" i="4" s="1"/>
  <c r="J5" i="3"/>
  <c r="K5" i="3" s="1"/>
  <c r="J6" i="3"/>
  <c r="K6" i="3" s="1"/>
  <c r="J7" i="3"/>
  <c r="K7" i="3" s="1"/>
  <c r="J8" i="3"/>
  <c r="K8" i="3" s="1"/>
  <c r="J9" i="3"/>
  <c r="K9" i="3" s="1"/>
  <c r="J10" i="3"/>
  <c r="J11" i="3"/>
  <c r="K11" i="3" s="1"/>
  <c r="J12" i="3"/>
  <c r="K12" i="3" s="1"/>
  <c r="J13" i="3"/>
  <c r="K13" i="3" s="1"/>
  <c r="J14" i="3"/>
  <c r="K14" i="3" s="1"/>
  <c r="J15" i="3"/>
  <c r="K15" i="3" s="1"/>
  <c r="J16" i="3"/>
  <c r="K16" i="3" s="1"/>
  <c r="J17" i="3"/>
  <c r="K17" i="3" s="1"/>
  <c r="J18" i="3"/>
  <c r="K18" i="3" s="1"/>
  <c r="J19" i="3"/>
  <c r="K19" i="3" s="1"/>
  <c r="J20" i="3"/>
  <c r="K20" i="3" s="1"/>
  <c r="J21" i="3"/>
  <c r="K21" i="3" s="1"/>
  <c r="J22" i="3"/>
  <c r="K22" i="3" s="1"/>
  <c r="J23" i="3"/>
  <c r="K23" i="3" s="1"/>
  <c r="J24" i="3"/>
  <c r="K24" i="3" s="1"/>
  <c r="J25" i="3"/>
  <c r="K25" i="3" s="1"/>
  <c r="J26" i="3"/>
  <c r="K26" i="3" s="1"/>
  <c r="J27" i="3"/>
  <c r="K27" i="3" s="1"/>
  <c r="J28" i="3"/>
  <c r="K28" i="3" s="1"/>
  <c r="J4" i="3"/>
  <c r="K4" i="3" s="1"/>
  <c r="F29" i="3" l="1"/>
  <c r="W25" i="6" l="1"/>
  <c r="Z19" i="6" l="1"/>
  <c r="Y20" i="6"/>
  <c r="X19" i="6"/>
  <c r="V22" i="6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H28" i="6" l="1"/>
  <c r="H27" i="6"/>
  <c r="I27" i="6" s="1"/>
  <c r="J27" i="6" s="1"/>
  <c r="K27" i="6" s="1"/>
  <c r="L27" i="6" s="1"/>
  <c r="M27" i="6" s="1"/>
  <c r="N27" i="6" s="1"/>
  <c r="H26" i="6"/>
  <c r="H25" i="6"/>
  <c r="I25" i="6" s="1"/>
  <c r="J25" i="6" s="1"/>
  <c r="K25" i="6" s="1"/>
  <c r="L25" i="6" s="1"/>
  <c r="M25" i="6" s="1"/>
  <c r="H24" i="6"/>
  <c r="H23" i="6"/>
  <c r="I23" i="6" s="1"/>
  <c r="J23" i="6" s="1"/>
  <c r="K23" i="6" s="1"/>
  <c r="L23" i="6" s="1"/>
  <c r="M23" i="6" s="1"/>
  <c r="H22" i="6"/>
  <c r="H21" i="6"/>
  <c r="I21" i="6" s="1"/>
  <c r="J21" i="6" s="1"/>
  <c r="K21" i="6" s="1"/>
  <c r="L21" i="6" s="1"/>
  <c r="M21" i="6" s="1"/>
  <c r="N21" i="6" s="1"/>
  <c r="H20" i="6"/>
  <c r="H19" i="6"/>
  <c r="I19" i="6" s="1"/>
  <c r="J19" i="6" s="1"/>
  <c r="K19" i="6" s="1"/>
  <c r="L19" i="6" s="1"/>
  <c r="M19" i="6" s="1"/>
  <c r="H18" i="6"/>
  <c r="H17" i="6"/>
  <c r="I17" i="6" s="1"/>
  <c r="J17" i="6" s="1"/>
  <c r="K17" i="6" s="1"/>
  <c r="L17" i="6" s="1"/>
  <c r="M17" i="6" s="1"/>
  <c r="N17" i="6" s="1"/>
  <c r="H16" i="6"/>
  <c r="H15" i="6"/>
  <c r="I15" i="6" s="1"/>
  <c r="J15" i="6" s="1"/>
  <c r="K15" i="6" s="1"/>
  <c r="L15" i="6" s="1"/>
  <c r="M15" i="6" s="1"/>
  <c r="H14" i="6"/>
  <c r="H13" i="6"/>
  <c r="I13" i="6" s="1"/>
  <c r="J13" i="6" s="1"/>
  <c r="K13" i="6" s="1"/>
  <c r="L13" i="6" s="1"/>
  <c r="M13" i="6" s="1"/>
  <c r="H12" i="6"/>
  <c r="H11" i="6"/>
  <c r="I11" i="6" s="1"/>
  <c r="J11" i="6" s="1"/>
  <c r="K11" i="6" s="1"/>
  <c r="L11" i="6" s="1"/>
  <c r="M11" i="6" s="1"/>
  <c r="H10" i="6"/>
  <c r="H9" i="6"/>
  <c r="H8" i="6"/>
  <c r="H7" i="6"/>
  <c r="I7" i="6" s="1"/>
  <c r="J7" i="6" s="1"/>
  <c r="K7" i="6" s="1"/>
  <c r="L7" i="6" s="1"/>
  <c r="M7" i="6" s="1"/>
  <c r="H6" i="6"/>
  <c r="H5" i="6"/>
  <c r="H4" i="6"/>
  <c r="F29" i="6"/>
  <c r="Q13" i="6" l="1"/>
  <c r="N13" i="6"/>
  <c r="Q19" i="6"/>
  <c r="N19" i="6"/>
  <c r="Q25" i="6"/>
  <c r="N25" i="6"/>
  <c r="Q11" i="6"/>
  <c r="N11" i="6"/>
  <c r="Q23" i="6"/>
  <c r="N23" i="6"/>
  <c r="Q15" i="6"/>
  <c r="N15" i="6"/>
  <c r="Q7" i="6"/>
  <c r="R7" i="6" s="1"/>
  <c r="S7" i="6" s="1"/>
  <c r="N7" i="6"/>
  <c r="Q17" i="6"/>
  <c r="R17" i="6" s="1"/>
  <c r="S17" i="6" s="1"/>
  <c r="Q21" i="6"/>
  <c r="R21" i="6" s="1"/>
  <c r="S21" i="6" s="1"/>
  <c r="Q27" i="6"/>
  <c r="R27" i="6" s="1"/>
  <c r="S27" i="6" s="1"/>
  <c r="I16" i="6"/>
  <c r="J16" i="6" s="1"/>
  <c r="K16" i="6" s="1"/>
  <c r="L16" i="6" s="1"/>
  <c r="M16" i="6" s="1"/>
  <c r="N16" i="6" s="1"/>
  <c r="I18" i="6"/>
  <c r="J18" i="6" s="1"/>
  <c r="K18" i="6" s="1"/>
  <c r="L18" i="6" s="1"/>
  <c r="M18" i="6" s="1"/>
  <c r="N18" i="6" s="1"/>
  <c r="I22" i="6"/>
  <c r="J22" i="6" s="1"/>
  <c r="K22" i="6" s="1"/>
  <c r="L22" i="6" s="1"/>
  <c r="M22" i="6" s="1"/>
  <c r="N22" i="6" s="1"/>
  <c r="I26" i="6"/>
  <c r="J26" i="6" s="1"/>
  <c r="K26" i="6" s="1"/>
  <c r="L26" i="6" s="1"/>
  <c r="M26" i="6" s="1"/>
  <c r="N26" i="6" s="1"/>
  <c r="I4" i="6"/>
  <c r="J4" i="6" s="1"/>
  <c r="K4" i="6" s="1"/>
  <c r="L4" i="6" s="1"/>
  <c r="M4" i="6" s="1"/>
  <c r="N4" i="6" s="1"/>
  <c r="I6" i="6"/>
  <c r="J6" i="6" s="1"/>
  <c r="K6" i="6" s="1"/>
  <c r="L6" i="6" s="1"/>
  <c r="M6" i="6" s="1"/>
  <c r="I14" i="6"/>
  <c r="J14" i="6" s="1"/>
  <c r="K14" i="6" s="1"/>
  <c r="L14" i="6" s="1"/>
  <c r="M14" i="6" s="1"/>
  <c r="N14" i="6" s="1"/>
  <c r="I20" i="6"/>
  <c r="J20" i="6" s="1"/>
  <c r="K20" i="6" s="1"/>
  <c r="L20" i="6" s="1"/>
  <c r="M20" i="6" s="1"/>
  <c r="N20" i="6" s="1"/>
  <c r="I24" i="6"/>
  <c r="J24" i="6" s="1"/>
  <c r="K24" i="6" s="1"/>
  <c r="L24" i="6" s="1"/>
  <c r="M24" i="6" s="1"/>
  <c r="N24" i="6" s="1"/>
  <c r="I5" i="6"/>
  <c r="J5" i="6" s="1"/>
  <c r="K5" i="6" s="1"/>
  <c r="L5" i="6" s="1"/>
  <c r="M5" i="6" s="1"/>
  <c r="N5" i="6" s="1"/>
  <c r="I8" i="6"/>
  <c r="J8" i="6" s="1"/>
  <c r="K8" i="6" s="1"/>
  <c r="L8" i="6" s="1"/>
  <c r="M8" i="6" s="1"/>
  <c r="I28" i="6"/>
  <c r="J28" i="6" s="1"/>
  <c r="K28" i="6" s="1"/>
  <c r="L28" i="6" s="1"/>
  <c r="M28" i="6" s="1"/>
  <c r="N28" i="6" s="1"/>
  <c r="I9" i="6"/>
  <c r="J9" i="6" s="1"/>
  <c r="K9" i="6" s="1"/>
  <c r="L9" i="6" s="1"/>
  <c r="M9" i="6" s="1"/>
  <c r="N9" i="6" s="1"/>
  <c r="I10" i="6"/>
  <c r="J10" i="6" s="1"/>
  <c r="K10" i="6" s="1"/>
  <c r="L10" i="6" s="1"/>
  <c r="M10" i="6" s="1"/>
  <c r="N10" i="6" s="1"/>
  <c r="I12" i="6"/>
  <c r="J12" i="6" s="1"/>
  <c r="K12" i="6" s="1"/>
  <c r="L12" i="6" s="1"/>
  <c r="M12" i="6" s="1"/>
  <c r="N12" i="6" s="1"/>
  <c r="R25" i="6"/>
  <c r="R13" i="6"/>
  <c r="M33" i="6" l="1"/>
  <c r="O33" i="6" s="1"/>
  <c r="N6" i="6"/>
  <c r="M31" i="6"/>
  <c r="N8" i="6"/>
  <c r="M32" i="6"/>
  <c r="O32" i="6" s="1"/>
  <c r="O31" i="6"/>
  <c r="M35" i="6"/>
  <c r="O35" i="6" s="1"/>
  <c r="M34" i="6"/>
  <c r="O34" i="6" s="1"/>
  <c r="Q5" i="6"/>
  <c r="Q10" i="6"/>
  <c r="R10" i="6" s="1"/>
  <c r="S10" i="6" s="1"/>
  <c r="Q26" i="6"/>
  <c r="R26" i="6" s="1"/>
  <c r="S26" i="6" s="1"/>
  <c r="Q9" i="6"/>
  <c r="Q24" i="6"/>
  <c r="R24" i="6" s="1"/>
  <c r="S24" i="6" s="1"/>
  <c r="Q14" i="6"/>
  <c r="R14" i="6" s="1"/>
  <c r="S14" i="6" s="1"/>
  <c r="Q18" i="6"/>
  <c r="R18" i="6" s="1"/>
  <c r="S18" i="6" s="1"/>
  <c r="Q8" i="6"/>
  <c r="Q20" i="6"/>
  <c r="R20" i="6" s="1"/>
  <c r="S20" i="6" s="1"/>
  <c r="Q12" i="6"/>
  <c r="R12" i="6" s="1"/>
  <c r="S12" i="6" s="1"/>
  <c r="Q22" i="6"/>
  <c r="R22" i="6" s="1"/>
  <c r="S22" i="6" s="1"/>
  <c r="Q16" i="6"/>
  <c r="R16" i="6" s="1"/>
  <c r="S16" i="6" s="1"/>
  <c r="Q6" i="6"/>
  <c r="Q4" i="6"/>
  <c r="Q28" i="6"/>
  <c r="R28" i="6" s="1"/>
  <c r="S28" i="6" s="1"/>
  <c r="R15" i="6"/>
  <c r="S15" i="6" s="1"/>
  <c r="R23" i="6"/>
  <c r="S23" i="6" s="1"/>
  <c r="R19" i="6"/>
  <c r="S19" i="6" s="1"/>
  <c r="S25" i="6"/>
  <c r="M5" i="5"/>
  <c r="M15" i="5"/>
  <c r="M8" i="5"/>
  <c r="M9" i="5"/>
  <c r="M10" i="5"/>
  <c r="M12" i="5"/>
  <c r="M13" i="5"/>
  <c r="M14" i="5"/>
  <c r="M16" i="5"/>
  <c r="M17" i="5"/>
  <c r="M18" i="5"/>
  <c r="M20" i="5"/>
  <c r="M21" i="5"/>
  <c r="M22" i="5"/>
  <c r="M24" i="5"/>
  <c r="M25" i="5"/>
  <c r="M26" i="5"/>
  <c r="M28" i="5"/>
  <c r="L4" i="5"/>
  <c r="M6" i="4"/>
  <c r="M7" i="4"/>
  <c r="M8" i="4"/>
  <c r="M9" i="4"/>
  <c r="L10" i="4"/>
  <c r="M11" i="4"/>
  <c r="M12" i="4"/>
  <c r="M13" i="4"/>
  <c r="M14" i="4"/>
  <c r="M15" i="4"/>
  <c r="M16" i="4"/>
  <c r="M17" i="4"/>
  <c r="M18" i="4"/>
  <c r="M19" i="4"/>
  <c r="M20" i="4"/>
  <c r="L22" i="4"/>
  <c r="M23" i="4"/>
  <c r="M24" i="4"/>
  <c r="M25" i="4"/>
  <c r="L26" i="4"/>
  <c r="M27" i="4"/>
  <c r="M28" i="4"/>
  <c r="L4" i="4"/>
  <c r="R9" i="6" l="1"/>
  <c r="S9" i="6" s="1"/>
  <c r="Q35" i="6"/>
  <c r="R35" i="6" s="1"/>
  <c r="R4" i="6"/>
  <c r="S4" i="6" s="1"/>
  <c r="Q34" i="6"/>
  <c r="R34" i="6" s="1"/>
  <c r="Q29" i="6"/>
  <c r="R5" i="6"/>
  <c r="S5" i="6" s="1"/>
  <c r="Q32" i="6"/>
  <c r="R32" i="6" s="1"/>
  <c r="R6" i="6"/>
  <c r="S6" i="6" s="1"/>
  <c r="Q33" i="6"/>
  <c r="R33" i="6" s="1"/>
  <c r="R8" i="6"/>
  <c r="S8" i="6" s="1"/>
  <c r="Q31" i="6"/>
  <c r="O36" i="6"/>
  <c r="M36" i="6"/>
  <c r="M5" i="4"/>
  <c r="K29" i="4"/>
  <c r="L18" i="4"/>
  <c r="M10" i="4"/>
  <c r="L14" i="4"/>
  <c r="L6" i="4"/>
  <c r="M26" i="4"/>
  <c r="M22" i="4"/>
  <c r="M21" i="4"/>
  <c r="L21" i="4"/>
  <c r="M4" i="5"/>
  <c r="M27" i="5"/>
  <c r="M6" i="5"/>
  <c r="M23" i="5"/>
  <c r="M11" i="5"/>
  <c r="M19" i="5"/>
  <c r="M7" i="5"/>
  <c r="K29" i="5"/>
  <c r="R11" i="6"/>
  <c r="S11" i="6" s="1"/>
  <c r="M29" i="6"/>
  <c r="L25" i="4"/>
  <c r="L17" i="4"/>
  <c r="L13" i="4"/>
  <c r="L5" i="4"/>
  <c r="L28" i="4"/>
  <c r="L24" i="4"/>
  <c r="L20" i="4"/>
  <c r="L16" i="4"/>
  <c r="L12" i="4"/>
  <c r="L8" i="4"/>
  <c r="L27" i="4"/>
  <c r="L23" i="4"/>
  <c r="L19" i="4"/>
  <c r="L15" i="4"/>
  <c r="L11" i="4"/>
  <c r="L7" i="4"/>
  <c r="L9" i="4"/>
  <c r="R31" i="6" l="1"/>
  <c r="R36" i="6" s="1"/>
  <c r="Q36" i="6"/>
  <c r="M29" i="4"/>
  <c r="L29" i="4"/>
  <c r="R29" i="6"/>
  <c r="S29" i="6" s="1"/>
  <c r="S13" i="6"/>
  <c r="M4" i="3"/>
  <c r="M5" i="3"/>
  <c r="L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L28" i="3"/>
  <c r="L5" i="3"/>
  <c r="L24" i="3"/>
  <c r="L8" i="3" l="1"/>
  <c r="L20" i="3"/>
  <c r="L16" i="3"/>
  <c r="L12" i="3"/>
  <c r="L27" i="3"/>
  <c r="L23" i="3"/>
  <c r="L19" i="3"/>
  <c r="L11" i="3"/>
  <c r="L7" i="3"/>
  <c r="L26" i="3"/>
  <c r="L22" i="3"/>
  <c r="L18" i="3"/>
  <c r="L14" i="3"/>
  <c r="L10" i="3"/>
  <c r="L25" i="3"/>
  <c r="L21" i="3"/>
  <c r="L17" i="3"/>
  <c r="L13" i="3"/>
  <c r="L9" i="3"/>
  <c r="L15" i="3"/>
  <c r="M6" i="3"/>
  <c r="M28" i="3"/>
  <c r="F29" i="5"/>
  <c r="F29" i="4"/>
  <c r="L29" i="5" l="1"/>
  <c r="M29" i="5"/>
  <c r="K29" i="3" l="1"/>
  <c r="L4" i="3"/>
  <c r="L29" i="3" s="1"/>
  <c r="M29" i="3" l="1"/>
</calcChain>
</file>

<file path=xl/sharedStrings.xml><?xml version="1.0" encoding="utf-8"?>
<sst xmlns="http://schemas.openxmlformats.org/spreadsheetml/2006/main" count="305" uniqueCount="67">
  <si>
    <t xml:space="preserve">ESTIMATIVA CAFÉ </t>
  </si>
  <si>
    <t>ORDEM</t>
  </si>
  <si>
    <t>UNIDADE RESPONSÁVEL</t>
  </si>
  <si>
    <t>UASG</t>
  </si>
  <si>
    <t>UNIDADE DE FORNECIMENTO</t>
  </si>
  <si>
    <t>QUANTIDADE DE SERVIDORES E COLABORADORES</t>
  </si>
  <si>
    <t>CUSTO UNITÁRIO</t>
  </si>
  <si>
    <t>VALOR ANUAL ESTIMADO</t>
  </si>
  <si>
    <t>VALOR MENSAL ESTIMADO</t>
  </si>
  <si>
    <t>GER-MG, UAGV, UAPM e UAPC</t>
  </si>
  <si>
    <t>500gramas</t>
  </si>
  <si>
    <t>GER-BA</t>
  </si>
  <si>
    <t>GER-GO</t>
  </si>
  <si>
    <t>GER-MT</t>
  </si>
  <si>
    <t>GER-PA e UAI</t>
  </si>
  <si>
    <t>GER-SC e UAC</t>
  </si>
  <si>
    <t>GER-SP</t>
  </si>
  <si>
    <t>GER-ES</t>
  </si>
  <si>
    <t>GER-PR</t>
  </si>
  <si>
    <t>GER-RJ</t>
  </si>
  <si>
    <t>GER-RS</t>
  </si>
  <si>
    <t>GER-AM</t>
  </si>
  <si>
    <t>GER-CE</t>
  </si>
  <si>
    <t>GER-MS</t>
  </si>
  <si>
    <t>GER-PB</t>
  </si>
  <si>
    <t>GER-PE</t>
  </si>
  <si>
    <t>GER-RN</t>
  </si>
  <si>
    <t>GER-RO</t>
  </si>
  <si>
    <t>GER-TO</t>
  </si>
  <si>
    <t>GER-AL</t>
  </si>
  <si>
    <t>GER-AP</t>
  </si>
  <si>
    <t>GER-MA</t>
  </si>
  <si>
    <t>GER-PI</t>
  </si>
  <si>
    <t>GER-RR</t>
  </si>
  <si>
    <t>GER-SE</t>
  </si>
  <si>
    <t>TOTAIS</t>
  </si>
  <si>
    <t>-</t>
  </si>
  <si>
    <t>ESTIMATIVA AÇÚCAR</t>
  </si>
  <si>
    <t>QUANTIDADE ESTIMADA ANUAL (kg/pessoa)</t>
  </si>
  <si>
    <t>kg</t>
  </si>
  <si>
    <t>Norte</t>
  </si>
  <si>
    <t>Nordeste</t>
  </si>
  <si>
    <t>Centro-Oeste</t>
  </si>
  <si>
    <t>Sudeste</t>
  </si>
  <si>
    <t>Sul</t>
  </si>
  <si>
    <t>ESTIMATIVA ADOÇANTE</t>
  </si>
  <si>
    <t>QUANTIDADE ESTIMADA ANUAL (frasco/pessoa)</t>
  </si>
  <si>
    <t>VALOR ESTIMADO ANUAL</t>
  </si>
  <si>
    <t>65ml</t>
  </si>
  <si>
    <t>ESTIMATIVA COADOR DESCARTÁVEL</t>
  </si>
  <si>
    <t>QUANTIDADE DE SERVIDORES</t>
  </si>
  <si>
    <t>QUANTIDADE CAFÉ EM LITROS/ANO/PESSOA</t>
  </si>
  <si>
    <t>VALOR TOTAL EM LITROS/ANO/UNIDADE</t>
  </si>
  <si>
    <t>LITROS DE CAFÉ POR DIA/UNIDADE</t>
  </si>
  <si>
    <t xml:space="preserve">FILTROS UTILIZADOS POR DIA </t>
  </si>
  <si>
    <t>QUANTIDADE DE FILTRO POR DIA COM FATOR DE AJUSTE</t>
  </si>
  <si>
    <t>FILTROS UTILIZADOS POR MÊS</t>
  </si>
  <si>
    <t>QUANTIDADE DE CAIXAS POR MÊS</t>
  </si>
  <si>
    <t xml:space="preserve">VALOR MENSAL ESTIMADO </t>
  </si>
  <si>
    <t>Cx com 30 un</t>
  </si>
  <si>
    <t>VALOR ESTIMADO (24 MESES)</t>
  </si>
  <si>
    <t>QUANTIDADE ESTIMADA ANUAL (pcte/pessoa)</t>
  </si>
  <si>
    <t>CUSTO UNITÁRIO + FRETE ESTIMADO</t>
  </si>
  <si>
    <t>TOTAL</t>
  </si>
  <si>
    <t>Selecione</t>
  </si>
  <si>
    <t>QUANTIDADE TOTAL PARA 24 MESES</t>
  </si>
  <si>
    <t>QUANTIDADE TOTALPARA 24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</si>
</sst>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8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ADAD94"/>
      </left>
      <right style="medium">
        <color rgb="FFADAD94"/>
      </right>
      <top style="medium">
        <color rgb="FFADAD94"/>
      </top>
      <bottom style="medium">
        <color rgb="FFADAD9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0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41" fontId="4" fillId="0" borderId="1" xfId="3" applyFont="1" applyBorder="1" applyAlignment="1">
      <alignment horizontal="center" vertical="center" wrapText="1"/>
    </xf>
    <xf numFmtId="41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164" fontId="0" fillId="0" borderId="0" xfId="0" applyNumberFormat="1"/>
    <xf numFmtId="44" fontId="0" fillId="0" borderId="0" xfId="0" applyNumberFormat="1"/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Font="1" applyBorder="1" applyAlignment="1">
      <alignment vertical="center" wrapText="1"/>
    </xf>
    <xf numFmtId="164" fontId="0" fillId="0" borderId="3" xfId="1" applyFont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164" fontId="0" fillId="0" borderId="7" xfId="1" applyFont="1" applyBorder="1" applyAlignment="1">
      <alignment vertical="center" wrapText="1"/>
    </xf>
    <xf numFmtId="164" fontId="0" fillId="0" borderId="11" xfId="1" applyFont="1" applyBorder="1" applyAlignment="1">
      <alignment vertical="center" wrapText="1"/>
    </xf>
    <xf numFmtId="0" fontId="1" fillId="2" borderId="9" xfId="0" applyFont="1" applyFill="1" applyBorder="1" applyAlignment="1">
      <alignment horizontal="centerContinuous" vertical="center" wrapText="1"/>
    </xf>
    <xf numFmtId="0" fontId="0" fillId="2" borderId="9" xfId="0" applyFill="1" applyBorder="1" applyAlignment="1">
      <alignment horizontal="centerContinuous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2" borderId="13" xfId="2" applyNumberFormat="1" applyFont="1" applyFill="1" applyBorder="1" applyAlignment="1">
      <alignment horizontal="center" vertical="center" wrapText="1"/>
    </xf>
    <xf numFmtId="164" fontId="1" fillId="2" borderId="13" xfId="1" applyFont="1" applyFill="1" applyBorder="1" applyAlignment="1">
      <alignment horizontal="center" vertical="center" wrapText="1"/>
    </xf>
    <xf numFmtId="164" fontId="1" fillId="2" borderId="14" xfId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Continuous" vertical="center" wrapText="1"/>
    </xf>
    <xf numFmtId="0" fontId="0" fillId="3" borderId="9" xfId="0" applyFill="1" applyBorder="1" applyAlignment="1">
      <alignment horizontal="centerContinuous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0" fillId="3" borderId="13" xfId="2" applyNumberFormat="1" applyFont="1" applyFill="1" applyBorder="1" applyAlignment="1">
      <alignment horizontal="center" vertical="center" wrapText="1"/>
    </xf>
    <xf numFmtId="164" fontId="1" fillId="3" borderId="13" xfId="1" applyFont="1" applyFill="1" applyBorder="1" applyAlignment="1">
      <alignment horizontal="center" vertical="center" wrapText="1"/>
    </xf>
    <xf numFmtId="164" fontId="1" fillId="3" borderId="14" xfId="1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Continuous" vertical="center" wrapText="1"/>
    </xf>
    <xf numFmtId="0" fontId="0" fillId="4" borderId="9" xfId="0" applyFill="1" applyBorder="1" applyAlignment="1">
      <alignment horizontal="centerContinuous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0" fillId="4" borderId="13" xfId="2" applyNumberFormat="1" applyFont="1" applyFill="1" applyBorder="1" applyAlignment="1">
      <alignment horizontal="center" vertical="center" wrapText="1"/>
    </xf>
    <xf numFmtId="164" fontId="1" fillId="4" borderId="13" xfId="1" applyFont="1" applyFill="1" applyBorder="1" applyAlignment="1">
      <alignment horizontal="center" vertical="center" wrapText="1"/>
    </xf>
    <xf numFmtId="164" fontId="1" fillId="4" borderId="14" xfId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1" fontId="4" fillId="0" borderId="5" xfId="3" applyFont="1" applyBorder="1" applyAlignment="1">
      <alignment horizontal="center" vertical="center" wrapText="1"/>
    </xf>
    <xf numFmtId="41" fontId="4" fillId="0" borderId="7" xfId="3" applyFont="1" applyBorder="1" applyAlignment="1">
      <alignment horizontal="center" vertical="center" wrapText="1"/>
    </xf>
    <xf numFmtId="164" fontId="4" fillId="0" borderId="5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6" fillId="0" borderId="16" xfId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6" fillId="0" borderId="3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4" fillId="0" borderId="8" xfId="1" applyFont="1" applyBorder="1" applyAlignment="1">
      <alignment horizontal="center" vertical="center" wrapText="1"/>
    </xf>
    <xf numFmtId="164" fontId="6" fillId="0" borderId="11" xfId="1" applyFont="1" applyBorder="1" applyAlignment="1">
      <alignment horizontal="center" vertical="center" wrapText="1"/>
    </xf>
    <xf numFmtId="0" fontId="3" fillId="5" borderId="9" xfId="0" applyFont="1" applyFill="1" applyBorder="1" applyAlignment="1">
      <alignment wrapText="1"/>
    </xf>
    <xf numFmtId="0" fontId="3" fillId="5" borderId="9" xfId="0" applyFont="1" applyFill="1" applyBorder="1" applyAlignment="1">
      <alignment horizont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41" fontId="3" fillId="5" borderId="9" xfId="3" applyFont="1" applyFill="1" applyBorder="1" applyAlignment="1">
      <alignment horizontal="center" vertical="center" wrapText="1"/>
    </xf>
    <xf numFmtId="164" fontId="3" fillId="5" borderId="9" xfId="1" applyFont="1" applyFill="1" applyBorder="1" applyAlignment="1">
      <alignment wrapText="1"/>
    </xf>
    <xf numFmtId="164" fontId="7" fillId="5" borderId="9" xfId="1" applyFont="1" applyFill="1" applyBorder="1" applyAlignment="1">
      <alignment vertical="center" wrapText="1"/>
    </xf>
    <xf numFmtId="0" fontId="5" fillId="5" borderId="9" xfId="0" applyFont="1" applyFill="1" applyBorder="1" applyAlignment="1">
      <alignment horizontal="centerContinuous" vertical="center" wrapText="1"/>
    </xf>
    <xf numFmtId="0" fontId="3" fillId="5" borderId="9" xfId="0" applyFont="1" applyFill="1" applyBorder="1" applyAlignment="1">
      <alignment horizontal="center" vertical="center" wrapText="1"/>
    </xf>
    <xf numFmtId="164" fontId="1" fillId="2" borderId="18" xfId="1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vertical="center" wrapText="1"/>
    </xf>
    <xf numFmtId="164" fontId="8" fillId="0" borderId="3" xfId="1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0" borderId="7" xfId="1" applyFont="1" applyBorder="1" applyAlignment="1">
      <alignment vertical="center" wrapText="1"/>
    </xf>
    <xf numFmtId="164" fontId="8" fillId="0" borderId="11" xfId="1" applyFont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164" fontId="9" fillId="4" borderId="13" xfId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6" fillId="6" borderId="0" xfId="0" applyFont="1" applyFill="1" applyAlignment="1">
      <alignment horizontal="center"/>
    </xf>
    <xf numFmtId="44" fontId="0" fillId="6" borderId="0" xfId="0" applyNumberFormat="1" applyFill="1"/>
    <xf numFmtId="0" fontId="10" fillId="7" borderId="1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18" fillId="9" borderId="21" xfId="4" applyFill="1" applyBorder="1" applyAlignment="1">
      <alignment horizontal="center" vertical="center" wrapText="1"/>
    </xf>
    <xf numFmtId="0" fontId="17" fillId="8" borderId="21" xfId="0" applyFont="1" applyFill="1" applyBorder="1" applyAlignment="1">
      <alignment horizontal="center" vertical="center" wrapText="1"/>
    </xf>
    <xf numFmtId="0" fontId="18" fillId="8" borderId="21" xfId="4" applyFill="1" applyBorder="1" applyAlignment="1">
      <alignment horizontal="center" vertical="center" wrapText="1"/>
    </xf>
    <xf numFmtId="1" fontId="19" fillId="7" borderId="5" xfId="3" applyNumberFormat="1" applyFont="1" applyFill="1" applyBorder="1" applyAlignment="1">
      <alignment horizontal="center" vertical="center" wrapText="1"/>
    </xf>
    <xf numFmtId="0" fontId="17" fillId="0" borderId="0" xfId="0" applyFont="1"/>
    <xf numFmtId="0" fontId="8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">
    <cellStyle name="Hiperlink" xfId="4" builtinId="8"/>
    <cellStyle name="Moeda" xfId="1" builtinId="4"/>
    <cellStyle name="Normal" xfId="0" builtinId="0"/>
    <cellStyle name="Separador de milhares [0]" xfId="3" builtinId="6"/>
    <cellStyle name="Vírgula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javascript:void(0)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javascript:void(0)" TargetMode="External"/><Relationship Id="rId1" Type="http://schemas.openxmlformats.org/officeDocument/2006/relationships/hyperlink" Target="javascript:void(0)" TargetMode="External"/><Relationship Id="rId6" Type="http://schemas.openxmlformats.org/officeDocument/2006/relationships/hyperlink" Target="javascript:void(0)" TargetMode="External"/><Relationship Id="rId5" Type="http://schemas.openxmlformats.org/officeDocument/2006/relationships/hyperlink" Target="javascript:void(0)" TargetMode="External"/><Relationship Id="rId4" Type="http://schemas.openxmlformats.org/officeDocument/2006/relationships/hyperlink" Target="javascript:void(0)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AE679-19C4-48E9-83A4-5C9B1C7491A7}">
  <dimension ref="B1:P48"/>
  <sheetViews>
    <sheetView tabSelected="1" zoomScale="70" zoomScaleNormal="70" workbookViewId="0">
      <selection activeCell="C34" sqref="C34"/>
    </sheetView>
  </sheetViews>
  <sheetFormatPr defaultRowHeight="15" x14ac:dyDescent="0.25"/>
  <cols>
    <col min="2" max="2" width="18.140625" customWidth="1"/>
    <col min="3" max="3" width="21.42578125" customWidth="1"/>
    <col min="4" max="4" width="9.28515625" customWidth="1"/>
    <col min="5" max="5" width="27.85546875" customWidth="1"/>
    <col min="6" max="6" width="25" customWidth="1"/>
    <col min="7" max="8" width="24.85546875" customWidth="1"/>
    <col min="9" max="9" width="16.42578125" bestFit="1" customWidth="1"/>
    <col min="10" max="10" width="16.42578125" customWidth="1"/>
    <col min="11" max="11" width="23.5703125" customWidth="1"/>
    <col min="12" max="12" width="21.140625" customWidth="1"/>
    <col min="13" max="13" width="23.42578125" customWidth="1"/>
    <col min="14" max="14" width="9.140625" customWidth="1"/>
    <col min="16" max="16" width="13.28515625" bestFit="1" customWidth="1"/>
  </cols>
  <sheetData>
    <row r="1" spans="2:16" ht="15.75" thickBot="1" x14ac:dyDescent="0.3"/>
    <row r="2" spans="2:16" ht="19.5" customHeight="1" thickBot="1" x14ac:dyDescent="0.3">
      <c r="B2" s="33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2:16" ht="86.25" customHeight="1" thickBot="1" x14ac:dyDescent="0.3"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61</v>
      </c>
      <c r="H3" s="35" t="s">
        <v>65</v>
      </c>
      <c r="I3" s="35" t="s">
        <v>6</v>
      </c>
      <c r="J3" s="35" t="s">
        <v>62</v>
      </c>
      <c r="K3" s="69" t="s">
        <v>7</v>
      </c>
      <c r="L3" s="35" t="s">
        <v>8</v>
      </c>
      <c r="M3" s="35" t="s">
        <v>60</v>
      </c>
      <c r="N3" s="1"/>
    </row>
    <row r="4" spans="2:16" ht="30" x14ac:dyDescent="0.25">
      <c r="B4" s="91">
        <v>1</v>
      </c>
      <c r="C4" s="92" t="s">
        <v>9</v>
      </c>
      <c r="D4" s="93">
        <v>323104</v>
      </c>
      <c r="E4" s="93" t="s">
        <v>10</v>
      </c>
      <c r="F4" s="11">
        <v>92</v>
      </c>
      <c r="G4" s="63">
        <v>10</v>
      </c>
      <c r="H4" s="84">
        <f>(F4*G4)*2</f>
        <v>1840</v>
      </c>
      <c r="I4" s="64">
        <v>20</v>
      </c>
      <c r="J4" s="64">
        <f>I4*1.25</f>
        <v>25</v>
      </c>
      <c r="K4" s="64">
        <f>F4*G4*J4</f>
        <v>23000</v>
      </c>
      <c r="L4" s="64">
        <f t="shared" ref="L4:L28" si="0">K4/12</f>
        <v>1916.6666666666667</v>
      </c>
      <c r="M4" s="65">
        <f t="shared" ref="M4:M28" si="1">K4*2</f>
        <v>46000</v>
      </c>
      <c r="N4" s="1"/>
      <c r="P4" s="9"/>
    </row>
    <row r="5" spans="2:16" x14ac:dyDescent="0.25">
      <c r="B5" s="91">
        <v>2</v>
      </c>
      <c r="C5" s="94" t="s">
        <v>11</v>
      </c>
      <c r="D5" s="93">
        <v>323105</v>
      </c>
      <c r="E5" s="93" t="s">
        <v>10</v>
      </c>
      <c r="F5" s="11">
        <v>44</v>
      </c>
      <c r="G5" s="63">
        <v>10</v>
      </c>
      <c r="H5" s="84">
        <f>(F5*G5)*2</f>
        <v>880</v>
      </c>
      <c r="I5" s="64">
        <v>20</v>
      </c>
      <c r="J5" s="64">
        <f t="shared" ref="J5:J28" si="2">I5*1.25</f>
        <v>25</v>
      </c>
      <c r="K5" s="64">
        <f t="shared" ref="K5:K28" si="3">F5*G5*J5</f>
        <v>11000</v>
      </c>
      <c r="L5" s="64">
        <f t="shared" si="0"/>
        <v>916.66666666666663</v>
      </c>
      <c r="M5" s="65">
        <f t="shared" si="1"/>
        <v>22000</v>
      </c>
      <c r="N5" s="1"/>
    </row>
    <row r="6" spans="2:16" x14ac:dyDescent="0.25">
      <c r="B6" s="91">
        <v>3</v>
      </c>
      <c r="C6" s="95" t="s">
        <v>12</v>
      </c>
      <c r="D6" s="93">
        <v>323106</v>
      </c>
      <c r="E6" s="93" t="s">
        <v>10</v>
      </c>
      <c r="F6" s="11">
        <v>20</v>
      </c>
      <c r="G6" s="63">
        <v>10</v>
      </c>
      <c r="H6" s="84">
        <f t="shared" ref="H6:H28" si="4">(F6*G6)*2</f>
        <v>400</v>
      </c>
      <c r="I6" s="64">
        <v>20</v>
      </c>
      <c r="J6" s="64">
        <f t="shared" si="2"/>
        <v>25</v>
      </c>
      <c r="K6" s="64">
        <f t="shared" si="3"/>
        <v>5000</v>
      </c>
      <c r="L6" s="64">
        <f t="shared" si="0"/>
        <v>416.66666666666669</v>
      </c>
      <c r="M6" s="65">
        <f t="shared" si="1"/>
        <v>10000</v>
      </c>
      <c r="N6" s="1"/>
    </row>
    <row r="7" spans="2:16" x14ac:dyDescent="0.25">
      <c r="B7" s="91">
        <v>4</v>
      </c>
      <c r="C7" s="95" t="s">
        <v>13</v>
      </c>
      <c r="D7" s="93">
        <v>323107</v>
      </c>
      <c r="E7" s="93" t="s">
        <v>10</v>
      </c>
      <c r="F7" s="11">
        <v>24</v>
      </c>
      <c r="G7" s="63">
        <v>10</v>
      </c>
      <c r="H7" s="84">
        <f t="shared" si="4"/>
        <v>480</v>
      </c>
      <c r="I7" s="64">
        <v>20</v>
      </c>
      <c r="J7" s="64">
        <f t="shared" si="2"/>
        <v>25</v>
      </c>
      <c r="K7" s="64">
        <f t="shared" si="3"/>
        <v>6000</v>
      </c>
      <c r="L7" s="64">
        <f t="shared" si="0"/>
        <v>500</v>
      </c>
      <c r="M7" s="65">
        <f t="shared" si="1"/>
        <v>12000</v>
      </c>
      <c r="N7" s="1"/>
    </row>
    <row r="8" spans="2:16" x14ac:dyDescent="0.25">
      <c r="B8" s="91">
        <v>5</v>
      </c>
      <c r="C8" s="96" t="s">
        <v>14</v>
      </c>
      <c r="D8" s="93">
        <v>323108</v>
      </c>
      <c r="E8" s="93" t="s">
        <v>10</v>
      </c>
      <c r="F8" s="11">
        <v>49</v>
      </c>
      <c r="G8" s="63">
        <v>10</v>
      </c>
      <c r="H8" s="84">
        <f t="shared" si="4"/>
        <v>980</v>
      </c>
      <c r="I8" s="64">
        <v>20</v>
      </c>
      <c r="J8" s="64">
        <f t="shared" si="2"/>
        <v>25</v>
      </c>
      <c r="K8" s="64">
        <f t="shared" si="3"/>
        <v>12250</v>
      </c>
      <c r="L8" s="64">
        <f t="shared" si="0"/>
        <v>1020.8333333333334</v>
      </c>
      <c r="M8" s="65">
        <f>K8*2</f>
        <v>24500</v>
      </c>
      <c r="N8" s="1"/>
    </row>
    <row r="9" spans="2:16" x14ac:dyDescent="0.25">
      <c r="B9" s="91">
        <v>6</v>
      </c>
      <c r="C9" s="97" t="s">
        <v>15</v>
      </c>
      <c r="D9" s="93">
        <v>323109</v>
      </c>
      <c r="E9" s="93" t="s">
        <v>10</v>
      </c>
      <c r="F9" s="11">
        <v>33</v>
      </c>
      <c r="G9" s="63">
        <v>10</v>
      </c>
      <c r="H9" s="84">
        <f t="shared" si="4"/>
        <v>660</v>
      </c>
      <c r="I9" s="64">
        <v>20</v>
      </c>
      <c r="J9" s="64">
        <f t="shared" si="2"/>
        <v>25</v>
      </c>
      <c r="K9" s="64">
        <f t="shared" si="3"/>
        <v>8250</v>
      </c>
      <c r="L9" s="64">
        <f t="shared" si="0"/>
        <v>687.5</v>
      </c>
      <c r="M9" s="65">
        <f t="shared" si="1"/>
        <v>16500</v>
      </c>
      <c r="N9" s="1"/>
    </row>
    <row r="10" spans="2:16" x14ac:dyDescent="0.25">
      <c r="B10" s="91">
        <v>7</v>
      </c>
      <c r="C10" s="92" t="s">
        <v>16</v>
      </c>
      <c r="D10" s="93">
        <v>323110</v>
      </c>
      <c r="E10" s="93" t="s">
        <v>10</v>
      </c>
      <c r="F10" s="11">
        <v>24</v>
      </c>
      <c r="G10" s="63">
        <v>10</v>
      </c>
      <c r="H10" s="84">
        <f t="shared" si="4"/>
        <v>480</v>
      </c>
      <c r="I10" s="64">
        <v>20</v>
      </c>
      <c r="J10" s="64">
        <f t="shared" si="2"/>
        <v>25</v>
      </c>
      <c r="K10" s="64">
        <v>6000</v>
      </c>
      <c r="L10" s="64">
        <f t="shared" si="0"/>
        <v>500</v>
      </c>
      <c r="M10" s="65">
        <f t="shared" si="1"/>
        <v>12000</v>
      </c>
      <c r="N10" s="1"/>
    </row>
    <row r="11" spans="2:16" x14ac:dyDescent="0.25">
      <c r="B11" s="91">
        <v>8</v>
      </c>
      <c r="C11" s="92" t="s">
        <v>17</v>
      </c>
      <c r="D11" s="93">
        <v>323111</v>
      </c>
      <c r="E11" s="93" t="s">
        <v>10</v>
      </c>
      <c r="F11" s="11">
        <v>21</v>
      </c>
      <c r="G11" s="63">
        <v>10</v>
      </c>
      <c r="H11" s="84">
        <f t="shared" si="4"/>
        <v>420</v>
      </c>
      <c r="I11" s="64">
        <v>20</v>
      </c>
      <c r="J11" s="64">
        <f t="shared" si="2"/>
        <v>25</v>
      </c>
      <c r="K11" s="64">
        <f t="shared" si="3"/>
        <v>5250</v>
      </c>
      <c r="L11" s="64">
        <f t="shared" si="0"/>
        <v>437.5</v>
      </c>
      <c r="M11" s="65">
        <f t="shared" si="1"/>
        <v>10500</v>
      </c>
      <c r="N11" s="1"/>
    </row>
    <row r="12" spans="2:16" x14ac:dyDescent="0.25">
      <c r="B12" s="91">
        <v>9</v>
      </c>
      <c r="C12" s="97" t="s">
        <v>18</v>
      </c>
      <c r="D12" s="93">
        <v>323112</v>
      </c>
      <c r="E12" s="93" t="s">
        <v>10</v>
      </c>
      <c r="F12" s="11">
        <v>9</v>
      </c>
      <c r="G12" s="63">
        <v>10</v>
      </c>
      <c r="H12" s="84">
        <f t="shared" si="4"/>
        <v>180</v>
      </c>
      <c r="I12" s="64">
        <v>20</v>
      </c>
      <c r="J12" s="64">
        <f t="shared" si="2"/>
        <v>25</v>
      </c>
      <c r="K12" s="64">
        <f t="shared" si="3"/>
        <v>2250</v>
      </c>
      <c r="L12" s="64">
        <f t="shared" si="0"/>
        <v>187.5</v>
      </c>
      <c r="M12" s="65">
        <f t="shared" si="1"/>
        <v>4500</v>
      </c>
      <c r="N12" s="1"/>
    </row>
    <row r="13" spans="2:16" x14ac:dyDescent="0.25">
      <c r="B13" s="91">
        <v>10</v>
      </c>
      <c r="C13" s="92" t="s">
        <v>19</v>
      </c>
      <c r="D13" s="93">
        <v>323113</v>
      </c>
      <c r="E13" s="93" t="s">
        <v>10</v>
      </c>
      <c r="F13" s="11">
        <v>19</v>
      </c>
      <c r="G13" s="63">
        <v>10</v>
      </c>
      <c r="H13" s="84">
        <f t="shared" si="4"/>
        <v>380</v>
      </c>
      <c r="I13" s="64">
        <v>20</v>
      </c>
      <c r="J13" s="64">
        <f t="shared" si="2"/>
        <v>25</v>
      </c>
      <c r="K13" s="64">
        <f t="shared" si="3"/>
        <v>4750</v>
      </c>
      <c r="L13" s="64">
        <f t="shared" si="0"/>
        <v>395.83333333333331</v>
      </c>
      <c r="M13" s="65">
        <f t="shared" si="1"/>
        <v>9500</v>
      </c>
      <c r="N13" s="1"/>
    </row>
    <row r="14" spans="2:16" x14ac:dyDescent="0.25">
      <c r="B14" s="91">
        <v>11</v>
      </c>
      <c r="C14" s="97" t="s">
        <v>20</v>
      </c>
      <c r="D14" s="93">
        <v>323114</v>
      </c>
      <c r="E14" s="93" t="s">
        <v>10</v>
      </c>
      <c r="F14" s="11">
        <v>15</v>
      </c>
      <c r="G14" s="63">
        <v>10</v>
      </c>
      <c r="H14" s="84">
        <f t="shared" si="4"/>
        <v>300</v>
      </c>
      <c r="I14" s="64">
        <v>20</v>
      </c>
      <c r="J14" s="64">
        <f t="shared" si="2"/>
        <v>25</v>
      </c>
      <c r="K14" s="64">
        <f t="shared" si="3"/>
        <v>3750</v>
      </c>
      <c r="L14" s="64">
        <f t="shared" si="0"/>
        <v>312.5</v>
      </c>
      <c r="M14" s="65">
        <f t="shared" si="1"/>
        <v>7500</v>
      </c>
      <c r="N14" s="1"/>
    </row>
    <row r="15" spans="2:16" x14ac:dyDescent="0.25">
      <c r="B15" s="91">
        <v>12</v>
      </c>
      <c r="C15" s="96" t="s">
        <v>21</v>
      </c>
      <c r="D15" s="93">
        <v>323115</v>
      </c>
      <c r="E15" s="93" t="s">
        <v>10</v>
      </c>
      <c r="F15" s="11">
        <v>29</v>
      </c>
      <c r="G15" s="63">
        <v>10</v>
      </c>
      <c r="H15" s="84">
        <f t="shared" si="4"/>
        <v>580</v>
      </c>
      <c r="I15" s="64">
        <v>20</v>
      </c>
      <c r="J15" s="64">
        <f t="shared" si="2"/>
        <v>25</v>
      </c>
      <c r="K15" s="64">
        <f>F15*G15*J15</f>
        <v>7250</v>
      </c>
      <c r="L15" s="64">
        <f t="shared" si="0"/>
        <v>604.16666666666663</v>
      </c>
      <c r="M15" s="65">
        <f t="shared" si="1"/>
        <v>14500</v>
      </c>
      <c r="N15" s="1"/>
    </row>
    <row r="16" spans="2:16" x14ac:dyDescent="0.25">
      <c r="B16" s="91">
        <v>13</v>
      </c>
      <c r="C16" s="94" t="s">
        <v>22</v>
      </c>
      <c r="D16" s="93">
        <v>323116</v>
      </c>
      <c r="E16" s="93" t="s">
        <v>10</v>
      </c>
      <c r="F16" s="11">
        <v>24</v>
      </c>
      <c r="G16" s="63">
        <v>10</v>
      </c>
      <c r="H16" s="84">
        <f t="shared" si="4"/>
        <v>480</v>
      </c>
      <c r="I16" s="64">
        <v>20</v>
      </c>
      <c r="J16" s="64">
        <f t="shared" si="2"/>
        <v>25</v>
      </c>
      <c r="K16" s="64">
        <f t="shared" si="3"/>
        <v>6000</v>
      </c>
      <c r="L16" s="64">
        <f t="shared" si="0"/>
        <v>500</v>
      </c>
      <c r="M16" s="65">
        <f t="shared" si="1"/>
        <v>12000</v>
      </c>
      <c r="N16" s="1"/>
    </row>
    <row r="17" spans="2:14" x14ac:dyDescent="0.25">
      <c r="B17" s="91">
        <v>14</v>
      </c>
      <c r="C17" s="95" t="s">
        <v>23</v>
      </c>
      <c r="D17" s="93">
        <v>323117</v>
      </c>
      <c r="E17" s="93" t="s">
        <v>10</v>
      </c>
      <c r="F17" s="11">
        <v>13</v>
      </c>
      <c r="G17" s="63">
        <v>10</v>
      </c>
      <c r="H17" s="84">
        <f t="shared" si="4"/>
        <v>260</v>
      </c>
      <c r="I17" s="64">
        <v>20</v>
      </c>
      <c r="J17" s="64">
        <f t="shared" si="2"/>
        <v>25</v>
      </c>
      <c r="K17" s="64">
        <f t="shared" si="3"/>
        <v>3250</v>
      </c>
      <c r="L17" s="64">
        <f t="shared" si="0"/>
        <v>270.83333333333331</v>
      </c>
      <c r="M17" s="65">
        <f t="shared" si="1"/>
        <v>6500</v>
      </c>
      <c r="N17" s="1"/>
    </row>
    <row r="18" spans="2:14" x14ac:dyDescent="0.25">
      <c r="B18" s="91">
        <v>15</v>
      </c>
      <c r="C18" s="94" t="s">
        <v>24</v>
      </c>
      <c r="D18" s="93">
        <v>323118</v>
      </c>
      <c r="E18" s="93" t="s">
        <v>10</v>
      </c>
      <c r="F18" s="11">
        <v>13</v>
      </c>
      <c r="G18" s="63">
        <v>10</v>
      </c>
      <c r="H18" s="84">
        <f t="shared" si="4"/>
        <v>260</v>
      </c>
      <c r="I18" s="64">
        <v>20</v>
      </c>
      <c r="J18" s="64">
        <f t="shared" si="2"/>
        <v>25</v>
      </c>
      <c r="K18" s="64">
        <f t="shared" si="3"/>
        <v>3250</v>
      </c>
      <c r="L18" s="64">
        <f t="shared" si="0"/>
        <v>270.83333333333331</v>
      </c>
      <c r="M18" s="65">
        <f t="shared" si="1"/>
        <v>6500</v>
      </c>
      <c r="N18" s="1"/>
    </row>
    <row r="19" spans="2:14" x14ac:dyDescent="0.25">
      <c r="B19" s="91">
        <v>16</v>
      </c>
      <c r="C19" s="94" t="s">
        <v>25</v>
      </c>
      <c r="D19" s="93">
        <v>323119</v>
      </c>
      <c r="E19" s="93" t="s">
        <v>10</v>
      </c>
      <c r="F19" s="11">
        <v>42</v>
      </c>
      <c r="G19" s="63">
        <v>10</v>
      </c>
      <c r="H19" s="84">
        <f t="shared" si="4"/>
        <v>840</v>
      </c>
      <c r="I19" s="64">
        <v>20</v>
      </c>
      <c r="J19" s="64">
        <f t="shared" si="2"/>
        <v>25</v>
      </c>
      <c r="K19" s="64">
        <f t="shared" si="3"/>
        <v>10500</v>
      </c>
      <c r="L19" s="64">
        <f t="shared" si="0"/>
        <v>875</v>
      </c>
      <c r="M19" s="65">
        <f t="shared" si="1"/>
        <v>21000</v>
      </c>
      <c r="N19" s="1"/>
    </row>
    <row r="20" spans="2:14" x14ac:dyDescent="0.25">
      <c r="B20" s="91">
        <v>17</v>
      </c>
      <c r="C20" s="94" t="s">
        <v>26</v>
      </c>
      <c r="D20" s="93">
        <v>323120</v>
      </c>
      <c r="E20" s="93" t="s">
        <v>10</v>
      </c>
      <c r="F20" s="11">
        <v>18</v>
      </c>
      <c r="G20" s="63">
        <v>10</v>
      </c>
      <c r="H20" s="84">
        <f t="shared" si="4"/>
        <v>360</v>
      </c>
      <c r="I20" s="64">
        <v>20</v>
      </c>
      <c r="J20" s="64">
        <f t="shared" si="2"/>
        <v>25</v>
      </c>
      <c r="K20" s="64">
        <f t="shared" si="3"/>
        <v>4500</v>
      </c>
      <c r="L20" s="64">
        <f t="shared" si="0"/>
        <v>375</v>
      </c>
      <c r="M20" s="65">
        <f t="shared" si="1"/>
        <v>9000</v>
      </c>
      <c r="N20" s="1"/>
    </row>
    <row r="21" spans="2:14" x14ac:dyDescent="0.25">
      <c r="B21" s="91">
        <v>18</v>
      </c>
      <c r="C21" s="96" t="s">
        <v>27</v>
      </c>
      <c r="D21" s="93">
        <v>323121</v>
      </c>
      <c r="E21" s="93" t="s">
        <v>10</v>
      </c>
      <c r="F21" s="11">
        <v>19</v>
      </c>
      <c r="G21" s="63">
        <v>10</v>
      </c>
      <c r="H21" s="84">
        <f t="shared" si="4"/>
        <v>380</v>
      </c>
      <c r="I21" s="64">
        <v>20</v>
      </c>
      <c r="J21" s="64">
        <f t="shared" si="2"/>
        <v>25</v>
      </c>
      <c r="K21" s="64">
        <f t="shared" si="3"/>
        <v>4750</v>
      </c>
      <c r="L21" s="64">
        <f t="shared" si="0"/>
        <v>395.83333333333331</v>
      </c>
      <c r="M21" s="65">
        <f t="shared" si="1"/>
        <v>9500</v>
      </c>
      <c r="N21" s="1"/>
    </row>
    <row r="22" spans="2:14" x14ac:dyDescent="0.25">
      <c r="B22" s="91">
        <v>19</v>
      </c>
      <c r="C22" s="96" t="s">
        <v>28</v>
      </c>
      <c r="D22" s="93">
        <v>323122</v>
      </c>
      <c r="E22" s="93" t="s">
        <v>10</v>
      </c>
      <c r="F22" s="11">
        <v>15</v>
      </c>
      <c r="G22" s="63">
        <v>10</v>
      </c>
      <c r="H22" s="84">
        <f t="shared" si="4"/>
        <v>300</v>
      </c>
      <c r="I22" s="64">
        <v>20</v>
      </c>
      <c r="J22" s="64">
        <f t="shared" si="2"/>
        <v>25</v>
      </c>
      <c r="K22" s="64">
        <f t="shared" si="3"/>
        <v>3750</v>
      </c>
      <c r="L22" s="64">
        <f t="shared" si="0"/>
        <v>312.5</v>
      </c>
      <c r="M22" s="65">
        <f t="shared" si="1"/>
        <v>7500</v>
      </c>
      <c r="N22" s="1"/>
    </row>
    <row r="23" spans="2:14" x14ac:dyDescent="0.25">
      <c r="B23" s="91">
        <v>20</v>
      </c>
      <c r="C23" s="94" t="s">
        <v>29</v>
      </c>
      <c r="D23" s="93">
        <v>323123</v>
      </c>
      <c r="E23" s="93" t="s">
        <v>10</v>
      </c>
      <c r="F23" s="11">
        <v>6</v>
      </c>
      <c r="G23" s="63">
        <v>10</v>
      </c>
      <c r="H23" s="84">
        <f t="shared" si="4"/>
        <v>120</v>
      </c>
      <c r="I23" s="64">
        <v>20</v>
      </c>
      <c r="J23" s="64">
        <f t="shared" si="2"/>
        <v>25</v>
      </c>
      <c r="K23" s="64">
        <f t="shared" si="3"/>
        <v>1500</v>
      </c>
      <c r="L23" s="64">
        <f t="shared" si="0"/>
        <v>125</v>
      </c>
      <c r="M23" s="65">
        <f t="shared" si="1"/>
        <v>3000</v>
      </c>
      <c r="N23" s="1"/>
    </row>
    <row r="24" spans="2:14" x14ac:dyDescent="0.25">
      <c r="B24" s="91">
        <v>21</v>
      </c>
      <c r="C24" s="96" t="s">
        <v>30</v>
      </c>
      <c r="D24" s="93">
        <v>323124</v>
      </c>
      <c r="E24" s="93" t="s">
        <v>10</v>
      </c>
      <c r="F24" s="11">
        <v>17</v>
      </c>
      <c r="G24" s="63">
        <v>10</v>
      </c>
      <c r="H24" s="84">
        <f t="shared" si="4"/>
        <v>340</v>
      </c>
      <c r="I24" s="64">
        <v>20</v>
      </c>
      <c r="J24" s="64">
        <f t="shared" si="2"/>
        <v>25</v>
      </c>
      <c r="K24" s="64">
        <f t="shared" si="3"/>
        <v>4250</v>
      </c>
      <c r="L24" s="64">
        <f t="shared" si="0"/>
        <v>354.16666666666669</v>
      </c>
      <c r="M24" s="65">
        <f t="shared" si="1"/>
        <v>8500</v>
      </c>
      <c r="N24" s="1"/>
    </row>
    <row r="25" spans="2:14" x14ac:dyDescent="0.25">
      <c r="B25" s="91">
        <v>22</v>
      </c>
      <c r="C25" s="94" t="s">
        <v>31</v>
      </c>
      <c r="D25" s="93">
        <v>323125</v>
      </c>
      <c r="E25" s="93" t="s">
        <v>10</v>
      </c>
      <c r="F25" s="11">
        <v>13</v>
      </c>
      <c r="G25" s="63">
        <v>10</v>
      </c>
      <c r="H25" s="84">
        <f t="shared" si="4"/>
        <v>260</v>
      </c>
      <c r="I25" s="64">
        <v>20</v>
      </c>
      <c r="J25" s="64">
        <f t="shared" si="2"/>
        <v>25</v>
      </c>
      <c r="K25" s="64">
        <f t="shared" si="3"/>
        <v>3250</v>
      </c>
      <c r="L25" s="64">
        <f t="shared" si="0"/>
        <v>270.83333333333331</v>
      </c>
      <c r="M25" s="65">
        <f t="shared" si="1"/>
        <v>6500</v>
      </c>
      <c r="N25" s="1"/>
    </row>
    <row r="26" spans="2:14" x14ac:dyDescent="0.25">
      <c r="B26" s="91">
        <v>23</v>
      </c>
      <c r="C26" s="94" t="s">
        <v>32</v>
      </c>
      <c r="D26" s="93">
        <v>323126</v>
      </c>
      <c r="E26" s="93" t="s">
        <v>10</v>
      </c>
      <c r="F26" s="11">
        <v>10</v>
      </c>
      <c r="G26" s="63">
        <v>10</v>
      </c>
      <c r="H26" s="84">
        <f t="shared" si="4"/>
        <v>200</v>
      </c>
      <c r="I26" s="64">
        <v>20</v>
      </c>
      <c r="J26" s="64">
        <f t="shared" si="2"/>
        <v>25</v>
      </c>
      <c r="K26" s="64">
        <f t="shared" si="3"/>
        <v>2500</v>
      </c>
      <c r="L26" s="64">
        <f t="shared" si="0"/>
        <v>208.33333333333334</v>
      </c>
      <c r="M26" s="65">
        <f t="shared" si="1"/>
        <v>5000</v>
      </c>
      <c r="N26" s="1"/>
    </row>
    <row r="27" spans="2:14" x14ac:dyDescent="0.25">
      <c r="B27" s="91">
        <v>24</v>
      </c>
      <c r="C27" s="96" t="s">
        <v>33</v>
      </c>
      <c r="D27" s="93">
        <v>323127</v>
      </c>
      <c r="E27" s="93" t="s">
        <v>10</v>
      </c>
      <c r="F27" s="11">
        <v>11</v>
      </c>
      <c r="G27" s="63">
        <v>10</v>
      </c>
      <c r="H27" s="84">
        <f t="shared" si="4"/>
        <v>220</v>
      </c>
      <c r="I27" s="64">
        <v>20</v>
      </c>
      <c r="J27" s="64">
        <f t="shared" si="2"/>
        <v>25</v>
      </c>
      <c r="K27" s="64">
        <f t="shared" si="3"/>
        <v>2750</v>
      </c>
      <c r="L27" s="64">
        <f t="shared" si="0"/>
        <v>229.16666666666666</v>
      </c>
      <c r="M27" s="65">
        <f t="shared" si="1"/>
        <v>5500</v>
      </c>
      <c r="N27" s="1"/>
    </row>
    <row r="28" spans="2:14" ht="15.75" thickBot="1" x14ac:dyDescent="0.3">
      <c r="B28" s="98">
        <v>25</v>
      </c>
      <c r="C28" s="99" t="s">
        <v>34</v>
      </c>
      <c r="D28" s="100">
        <v>323128</v>
      </c>
      <c r="E28" s="100" t="s">
        <v>10</v>
      </c>
      <c r="F28" s="14">
        <v>7</v>
      </c>
      <c r="G28" s="66">
        <v>10</v>
      </c>
      <c r="H28" s="84">
        <f t="shared" si="4"/>
        <v>140</v>
      </c>
      <c r="I28" s="67">
        <v>20</v>
      </c>
      <c r="J28" s="64">
        <f t="shared" si="2"/>
        <v>25</v>
      </c>
      <c r="K28" s="64">
        <f t="shared" si="3"/>
        <v>1750</v>
      </c>
      <c r="L28" s="67">
        <f t="shared" si="0"/>
        <v>145.83333333333334</v>
      </c>
      <c r="M28" s="68">
        <f t="shared" si="1"/>
        <v>3500</v>
      </c>
      <c r="N28" s="1"/>
    </row>
    <row r="29" spans="2:14" ht="33.75" customHeight="1" thickBot="1" x14ac:dyDescent="0.3">
      <c r="B29" s="36" t="s">
        <v>35</v>
      </c>
      <c r="C29" s="37" t="s">
        <v>36</v>
      </c>
      <c r="D29" s="37" t="s">
        <v>36</v>
      </c>
      <c r="E29" s="37" t="s">
        <v>36</v>
      </c>
      <c r="F29" s="37">
        <f>SUM(F4:F28)</f>
        <v>587</v>
      </c>
      <c r="G29" s="38" t="s">
        <v>36</v>
      </c>
      <c r="H29" s="38"/>
      <c r="I29" s="39" t="s">
        <v>36</v>
      </c>
      <c r="J29" s="39"/>
      <c r="K29" s="70">
        <f>SUM(K4:K28)</f>
        <v>146750</v>
      </c>
      <c r="L29" s="39">
        <f>SUM(L4:L28)</f>
        <v>12229.166666666668</v>
      </c>
      <c r="M29" s="40">
        <f>SUM(M4:M28)</f>
        <v>293500</v>
      </c>
      <c r="N29" s="1"/>
    </row>
    <row r="31" spans="2:14" x14ac:dyDescent="0.25">
      <c r="E31" s="75" t="s">
        <v>40</v>
      </c>
      <c r="F31" s="76">
        <f>SUM(F8+F15+F21+F22+F24+F27)</f>
        <v>140</v>
      </c>
      <c r="G31">
        <f>F31*10</f>
        <v>1400</v>
      </c>
      <c r="I31">
        <f>G31*2</f>
        <v>2800</v>
      </c>
      <c r="K31" s="9">
        <f>140*10*25</f>
        <v>35000</v>
      </c>
    </row>
    <row r="32" spans="2:14" x14ac:dyDescent="0.25">
      <c r="E32" s="77" t="s">
        <v>41</v>
      </c>
      <c r="F32" s="77">
        <f>SUM(F5+F16+F18+F19+F20+F23+F25+F26+F28)</f>
        <v>177</v>
      </c>
      <c r="G32">
        <f t="shared" ref="G32:G36" si="5">F32*10</f>
        <v>1770</v>
      </c>
      <c r="I32">
        <f t="shared" ref="I32:I35" si="6">G32*2</f>
        <v>3540</v>
      </c>
      <c r="K32" s="9">
        <f>177*10*25</f>
        <v>44250</v>
      </c>
    </row>
    <row r="33" spans="2:11" x14ac:dyDescent="0.25">
      <c r="E33" s="78" t="s">
        <v>42</v>
      </c>
      <c r="F33" s="78">
        <f>SUM(F6+F7+F17)</f>
        <v>57</v>
      </c>
      <c r="G33">
        <f t="shared" si="5"/>
        <v>570</v>
      </c>
      <c r="I33">
        <f>G33*2</f>
        <v>1140</v>
      </c>
      <c r="K33" s="9">
        <f>57*10*25</f>
        <v>14250</v>
      </c>
    </row>
    <row r="34" spans="2:11" x14ac:dyDescent="0.25">
      <c r="E34" s="79" t="s">
        <v>43</v>
      </c>
      <c r="F34" s="80">
        <f>SUM(F4+F10+F11+F13)</f>
        <v>156</v>
      </c>
      <c r="G34">
        <f t="shared" si="5"/>
        <v>1560</v>
      </c>
      <c r="I34">
        <f t="shared" si="6"/>
        <v>3120</v>
      </c>
      <c r="K34" s="9">
        <f>156*10*25</f>
        <v>39000</v>
      </c>
    </row>
    <row r="35" spans="2:11" x14ac:dyDescent="0.25">
      <c r="E35" s="5" t="s">
        <v>44</v>
      </c>
      <c r="F35" s="81">
        <f>SUM(F9+F12+F14)</f>
        <v>57</v>
      </c>
      <c r="G35">
        <f t="shared" si="5"/>
        <v>570</v>
      </c>
      <c r="I35">
        <f t="shared" si="6"/>
        <v>1140</v>
      </c>
      <c r="K35" s="9">
        <f>57*10*25</f>
        <v>14250</v>
      </c>
    </row>
    <row r="36" spans="2:11" x14ac:dyDescent="0.25">
      <c r="E36" s="82" t="s">
        <v>63</v>
      </c>
      <c r="F36" s="82">
        <f>SUM(F31+F32+F33+F34+F35)</f>
        <v>587</v>
      </c>
      <c r="G36">
        <f t="shared" si="5"/>
        <v>5870</v>
      </c>
      <c r="I36">
        <f>SUM(I31:I35)</f>
        <v>11740</v>
      </c>
      <c r="K36" s="83">
        <f>SUM(K31:K35)</f>
        <v>146750</v>
      </c>
    </row>
    <row r="38" spans="2:11" x14ac:dyDescent="0.25">
      <c r="B38" s="5"/>
      <c r="C38" s="5"/>
    </row>
    <row r="39" spans="2:11" x14ac:dyDescent="0.25">
      <c r="B39" s="5"/>
      <c r="C39" s="90"/>
    </row>
    <row r="40" spans="2:11" x14ac:dyDescent="0.25">
      <c r="B40" s="5"/>
      <c r="C40" s="90"/>
    </row>
    <row r="41" spans="2:11" x14ac:dyDescent="0.25">
      <c r="B41" s="5"/>
      <c r="C41" s="90"/>
    </row>
    <row r="42" spans="2:11" x14ac:dyDescent="0.25">
      <c r="B42" s="5"/>
      <c r="C42" s="90"/>
    </row>
    <row r="43" spans="2:11" x14ac:dyDescent="0.25">
      <c r="C43" s="5"/>
    </row>
    <row r="44" spans="2:11" x14ac:dyDescent="0.25">
      <c r="C44" s="5"/>
    </row>
    <row r="45" spans="2:11" x14ac:dyDescent="0.25">
      <c r="C45" s="5"/>
    </row>
    <row r="46" spans="2:11" x14ac:dyDescent="0.25">
      <c r="C46" s="5"/>
    </row>
    <row r="47" spans="2:11" x14ac:dyDescent="0.25">
      <c r="C47" s="5"/>
    </row>
    <row r="48" spans="2:11" x14ac:dyDescent="0.25">
      <c r="C48" s="5"/>
    </row>
  </sheetData>
  <autoFilter ref="C1:C36" xr:uid="{14AAE679-19C4-48E9-83A4-5C9B1C7491A7}"/>
  <sortState xmlns:xlrd2="http://schemas.microsoft.com/office/spreadsheetml/2017/richdata2" ref="B4:M28">
    <sortCondition ref="D4:D28"/>
  </sortState>
  <pageMargins left="0.51181102362204722" right="0.51181102362204722" top="0.78740157480314965" bottom="0.78740157480314965" header="0.31496062992125984" footer="0.31496062992125984"/>
  <pageSetup paperSize="9" scale="55" orientation="landscape" r:id="rId1"/>
  <ignoredErrors>
    <ignoredError sqref="K3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3D44A-90F9-4411-B657-7A06B3598C0D}">
  <dimension ref="B1:S45"/>
  <sheetViews>
    <sheetView zoomScale="85" zoomScaleNormal="85" workbookViewId="0">
      <selection activeCell="M15" sqref="M15"/>
    </sheetView>
  </sheetViews>
  <sheetFormatPr defaultRowHeight="15" x14ac:dyDescent="0.25"/>
  <cols>
    <col min="2" max="2" width="12.42578125" customWidth="1"/>
    <col min="3" max="3" width="19.85546875" customWidth="1"/>
    <col min="4" max="4" width="9.140625" customWidth="1"/>
    <col min="5" max="5" width="22.85546875" customWidth="1"/>
    <col min="6" max="6" width="28.5703125" customWidth="1"/>
    <col min="7" max="8" width="19.42578125" customWidth="1"/>
    <col min="9" max="10" width="13.42578125" customWidth="1"/>
    <col min="11" max="11" width="21.85546875" customWidth="1"/>
    <col min="12" max="12" width="20" customWidth="1"/>
    <col min="13" max="13" width="23.7109375" customWidth="1"/>
    <col min="15" max="15" width="14.28515625" customWidth="1"/>
    <col min="17" max="17" width="12.7109375" customWidth="1"/>
    <col min="18" max="18" width="12.5703125" customWidth="1"/>
  </cols>
  <sheetData>
    <row r="1" spans="2:18" ht="15.75" thickBot="1" x14ac:dyDescent="0.3"/>
    <row r="2" spans="2:18" ht="18.75" customHeight="1" thickBot="1" x14ac:dyDescent="0.3">
      <c r="B2" s="17" t="s">
        <v>37</v>
      </c>
      <c r="C2" s="18"/>
      <c r="D2" s="18"/>
      <c r="E2" s="18"/>
      <c r="F2" s="18"/>
      <c r="G2" s="18"/>
      <c r="H2" s="18"/>
      <c r="I2" s="18"/>
      <c r="J2" s="73"/>
      <c r="K2" s="18"/>
      <c r="L2" s="18"/>
      <c r="M2" s="18"/>
    </row>
    <row r="3" spans="2:18" ht="75" customHeight="1" thickBot="1" x14ac:dyDescent="0.3"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38</v>
      </c>
      <c r="H3" s="71" t="s">
        <v>66</v>
      </c>
      <c r="I3" s="71" t="s">
        <v>6</v>
      </c>
      <c r="J3" s="74" t="s">
        <v>62</v>
      </c>
      <c r="K3" s="72" t="s">
        <v>7</v>
      </c>
      <c r="L3" s="19" t="s">
        <v>8</v>
      </c>
      <c r="M3" s="19" t="s">
        <v>60</v>
      </c>
    </row>
    <row r="4" spans="2:18" ht="30" x14ac:dyDescent="0.25">
      <c r="B4" s="91">
        <v>1</v>
      </c>
      <c r="C4" s="92" t="s">
        <v>9</v>
      </c>
      <c r="D4" s="11">
        <v>323104</v>
      </c>
      <c r="E4" s="11" t="s">
        <v>39</v>
      </c>
      <c r="F4" s="11">
        <v>92</v>
      </c>
      <c r="G4" s="11">
        <v>18</v>
      </c>
      <c r="H4" s="84">
        <f>(F4*G4)*2</f>
        <v>3312</v>
      </c>
      <c r="I4" s="12">
        <v>4.6500000000000004</v>
      </c>
      <c r="J4" s="62">
        <f t="shared" ref="J4:J28" si="0">I4*1.25</f>
        <v>5.8125</v>
      </c>
      <c r="K4" s="12">
        <f>F4*G4*J4</f>
        <v>9625.5</v>
      </c>
      <c r="L4" s="12">
        <f t="shared" ref="L4:L28" si="1">K4/12</f>
        <v>802.125</v>
      </c>
      <c r="M4" s="13">
        <f>K4*2</f>
        <v>19251</v>
      </c>
    </row>
    <row r="5" spans="2:18" x14ac:dyDescent="0.25">
      <c r="B5" s="91">
        <v>2</v>
      </c>
      <c r="C5" s="94" t="s">
        <v>11</v>
      </c>
      <c r="D5" s="11">
        <v>323105</v>
      </c>
      <c r="E5" s="11" t="s">
        <v>39</v>
      </c>
      <c r="F5" s="11">
        <v>44</v>
      </c>
      <c r="G5" s="11">
        <v>18</v>
      </c>
      <c r="H5" s="84">
        <f t="shared" ref="H5:H28" si="2">(F5*G5)*2</f>
        <v>1584</v>
      </c>
      <c r="I5" s="12">
        <v>4.6500000000000004</v>
      </c>
      <c r="J5" s="62">
        <f>I5*1.25</f>
        <v>5.8125</v>
      </c>
      <c r="K5" s="12">
        <f t="shared" ref="K5:K28" si="3">F5*G5*J5</f>
        <v>4603.5</v>
      </c>
      <c r="L5" s="12">
        <f t="shared" si="1"/>
        <v>383.625</v>
      </c>
      <c r="M5" s="13">
        <f t="shared" ref="M5:M28" si="4">K5*2</f>
        <v>9207</v>
      </c>
    </row>
    <row r="6" spans="2:18" x14ac:dyDescent="0.25">
      <c r="B6" s="91">
        <v>3</v>
      </c>
      <c r="C6" s="95" t="s">
        <v>12</v>
      </c>
      <c r="D6" s="11">
        <v>323106</v>
      </c>
      <c r="E6" s="11" t="s">
        <v>39</v>
      </c>
      <c r="F6" s="11">
        <v>20</v>
      </c>
      <c r="G6" s="11">
        <v>18</v>
      </c>
      <c r="H6" s="84">
        <f t="shared" si="2"/>
        <v>720</v>
      </c>
      <c r="I6" s="12">
        <v>4.6500000000000004</v>
      </c>
      <c r="J6" s="62">
        <f t="shared" si="0"/>
        <v>5.8125</v>
      </c>
      <c r="K6" s="12">
        <f t="shared" si="3"/>
        <v>2092.5</v>
      </c>
      <c r="L6" s="12">
        <f t="shared" si="1"/>
        <v>174.375</v>
      </c>
      <c r="M6" s="13">
        <f t="shared" si="4"/>
        <v>4185</v>
      </c>
    </row>
    <row r="7" spans="2:18" x14ac:dyDescent="0.25">
      <c r="B7" s="91">
        <v>4</v>
      </c>
      <c r="C7" s="95" t="s">
        <v>13</v>
      </c>
      <c r="D7" s="11">
        <v>323107</v>
      </c>
      <c r="E7" s="11" t="s">
        <v>39</v>
      </c>
      <c r="F7" s="11">
        <v>24</v>
      </c>
      <c r="G7" s="11">
        <v>18</v>
      </c>
      <c r="H7" s="84">
        <f t="shared" si="2"/>
        <v>864</v>
      </c>
      <c r="I7" s="12">
        <v>4.6500000000000004</v>
      </c>
      <c r="J7" s="62">
        <f t="shared" si="0"/>
        <v>5.8125</v>
      </c>
      <c r="K7" s="12">
        <f t="shared" si="3"/>
        <v>2511</v>
      </c>
      <c r="L7" s="12">
        <f t="shared" si="1"/>
        <v>209.25</v>
      </c>
      <c r="M7" s="13">
        <f t="shared" si="4"/>
        <v>5022</v>
      </c>
    </row>
    <row r="8" spans="2:18" x14ac:dyDescent="0.25">
      <c r="B8" s="91">
        <v>5</v>
      </c>
      <c r="C8" s="96" t="s">
        <v>14</v>
      </c>
      <c r="D8" s="11">
        <v>323108</v>
      </c>
      <c r="E8" s="11" t="s">
        <v>39</v>
      </c>
      <c r="F8" s="11">
        <v>49</v>
      </c>
      <c r="G8" s="11">
        <v>18</v>
      </c>
      <c r="H8" s="84">
        <f t="shared" si="2"/>
        <v>1764</v>
      </c>
      <c r="I8" s="12">
        <v>4.6500000000000004</v>
      </c>
      <c r="J8" s="62">
        <f t="shared" si="0"/>
        <v>5.8125</v>
      </c>
      <c r="K8" s="12">
        <f t="shared" si="3"/>
        <v>5126.625</v>
      </c>
      <c r="L8" s="12">
        <f t="shared" si="1"/>
        <v>427.21875</v>
      </c>
      <c r="M8" s="13">
        <f t="shared" si="4"/>
        <v>10253.25</v>
      </c>
      <c r="R8" s="5"/>
    </row>
    <row r="9" spans="2:18" x14ac:dyDescent="0.25">
      <c r="B9" s="91">
        <v>6</v>
      </c>
      <c r="C9" s="97" t="s">
        <v>15</v>
      </c>
      <c r="D9" s="11">
        <v>323109</v>
      </c>
      <c r="E9" s="11" t="s">
        <v>39</v>
      </c>
      <c r="F9" s="11">
        <v>33</v>
      </c>
      <c r="G9" s="11">
        <v>18</v>
      </c>
      <c r="H9" s="84">
        <f t="shared" si="2"/>
        <v>1188</v>
      </c>
      <c r="I9" s="12">
        <v>4.6500000000000004</v>
      </c>
      <c r="J9" s="62">
        <f t="shared" si="0"/>
        <v>5.8125</v>
      </c>
      <c r="K9" s="12">
        <f t="shared" si="3"/>
        <v>3452.625</v>
      </c>
      <c r="L9" s="12">
        <f t="shared" si="1"/>
        <v>287.71875</v>
      </c>
      <c r="M9" s="13">
        <f t="shared" si="4"/>
        <v>6905.25</v>
      </c>
    </row>
    <row r="10" spans="2:18" x14ac:dyDescent="0.25">
      <c r="B10" s="91">
        <v>7</v>
      </c>
      <c r="C10" s="92" t="s">
        <v>16</v>
      </c>
      <c r="D10" s="11">
        <v>323110</v>
      </c>
      <c r="E10" s="11" t="s">
        <v>39</v>
      </c>
      <c r="F10" s="11">
        <v>24</v>
      </c>
      <c r="G10" s="11">
        <v>18</v>
      </c>
      <c r="H10" s="84">
        <f t="shared" si="2"/>
        <v>864</v>
      </c>
      <c r="I10" s="12">
        <v>4.6500000000000004</v>
      </c>
      <c r="J10" s="62">
        <f t="shared" si="0"/>
        <v>5.8125</v>
      </c>
      <c r="K10" s="12">
        <f t="shared" si="3"/>
        <v>2511</v>
      </c>
      <c r="L10" s="12">
        <f t="shared" si="1"/>
        <v>209.25</v>
      </c>
      <c r="M10" s="13">
        <f t="shared" si="4"/>
        <v>5022</v>
      </c>
    </row>
    <row r="11" spans="2:18" x14ac:dyDescent="0.25">
      <c r="B11" s="91">
        <v>8</v>
      </c>
      <c r="C11" s="92" t="s">
        <v>17</v>
      </c>
      <c r="D11" s="11">
        <v>323111</v>
      </c>
      <c r="E11" s="11" t="s">
        <v>39</v>
      </c>
      <c r="F11" s="11">
        <v>21</v>
      </c>
      <c r="G11" s="11">
        <v>18</v>
      </c>
      <c r="H11" s="84">
        <f t="shared" si="2"/>
        <v>756</v>
      </c>
      <c r="I11" s="12">
        <v>4.6500000000000004</v>
      </c>
      <c r="J11" s="62">
        <f t="shared" si="0"/>
        <v>5.8125</v>
      </c>
      <c r="K11" s="12">
        <f t="shared" si="3"/>
        <v>2197.125</v>
      </c>
      <c r="L11" s="12">
        <f t="shared" si="1"/>
        <v>183.09375</v>
      </c>
      <c r="M11" s="13">
        <f t="shared" si="4"/>
        <v>4394.25</v>
      </c>
    </row>
    <row r="12" spans="2:18" x14ac:dyDescent="0.25">
      <c r="B12" s="91">
        <v>9</v>
      </c>
      <c r="C12" s="97" t="s">
        <v>18</v>
      </c>
      <c r="D12" s="11">
        <v>323112</v>
      </c>
      <c r="E12" s="11" t="s">
        <v>39</v>
      </c>
      <c r="F12" s="11">
        <v>9</v>
      </c>
      <c r="G12" s="11">
        <v>18</v>
      </c>
      <c r="H12" s="84">
        <f t="shared" si="2"/>
        <v>324</v>
      </c>
      <c r="I12" s="12">
        <v>4.6500000000000004</v>
      </c>
      <c r="J12" s="62">
        <f t="shared" si="0"/>
        <v>5.8125</v>
      </c>
      <c r="K12" s="12">
        <f t="shared" si="3"/>
        <v>941.625</v>
      </c>
      <c r="L12" s="12">
        <f t="shared" si="1"/>
        <v>78.46875</v>
      </c>
      <c r="M12" s="13">
        <f t="shared" si="4"/>
        <v>1883.25</v>
      </c>
    </row>
    <row r="13" spans="2:18" x14ac:dyDescent="0.25">
      <c r="B13" s="91">
        <v>10</v>
      </c>
      <c r="C13" s="92" t="s">
        <v>19</v>
      </c>
      <c r="D13" s="11">
        <v>323113</v>
      </c>
      <c r="E13" s="11" t="s">
        <v>39</v>
      </c>
      <c r="F13" s="11">
        <v>19</v>
      </c>
      <c r="G13" s="11">
        <v>18</v>
      </c>
      <c r="H13" s="84">
        <f t="shared" si="2"/>
        <v>684</v>
      </c>
      <c r="I13" s="12">
        <v>4.6500000000000004</v>
      </c>
      <c r="J13" s="62">
        <f t="shared" si="0"/>
        <v>5.8125</v>
      </c>
      <c r="K13" s="12">
        <f t="shared" si="3"/>
        <v>1987.875</v>
      </c>
      <c r="L13" s="12">
        <f t="shared" si="1"/>
        <v>165.65625</v>
      </c>
      <c r="M13" s="13">
        <f t="shared" si="4"/>
        <v>3975.75</v>
      </c>
    </row>
    <row r="14" spans="2:18" x14ac:dyDescent="0.25">
      <c r="B14" s="91">
        <v>11</v>
      </c>
      <c r="C14" s="97" t="s">
        <v>20</v>
      </c>
      <c r="D14" s="11">
        <v>323114</v>
      </c>
      <c r="E14" s="11" t="s">
        <v>39</v>
      </c>
      <c r="F14" s="11">
        <v>15</v>
      </c>
      <c r="G14" s="11">
        <v>18</v>
      </c>
      <c r="H14" s="84">
        <f t="shared" si="2"/>
        <v>540</v>
      </c>
      <c r="I14" s="12">
        <v>4.6500000000000004</v>
      </c>
      <c r="J14" s="62">
        <f t="shared" si="0"/>
        <v>5.8125</v>
      </c>
      <c r="K14" s="12">
        <f t="shared" si="3"/>
        <v>1569.375</v>
      </c>
      <c r="L14" s="12">
        <f t="shared" si="1"/>
        <v>130.78125</v>
      </c>
      <c r="M14" s="13">
        <f t="shared" si="4"/>
        <v>3138.75</v>
      </c>
    </row>
    <row r="15" spans="2:18" x14ac:dyDescent="0.25">
      <c r="B15" s="91">
        <v>12</v>
      </c>
      <c r="C15" s="96" t="s">
        <v>21</v>
      </c>
      <c r="D15" s="11">
        <v>323115</v>
      </c>
      <c r="E15" s="11" t="s">
        <v>39</v>
      </c>
      <c r="F15" s="11">
        <v>29</v>
      </c>
      <c r="G15" s="11">
        <v>18</v>
      </c>
      <c r="H15" s="84">
        <f t="shared" si="2"/>
        <v>1044</v>
      </c>
      <c r="I15" s="12">
        <v>4.6500000000000004</v>
      </c>
      <c r="J15" s="62">
        <f t="shared" si="0"/>
        <v>5.8125</v>
      </c>
      <c r="K15" s="12">
        <f t="shared" si="3"/>
        <v>3034.125</v>
      </c>
      <c r="L15" s="12">
        <f t="shared" si="1"/>
        <v>252.84375</v>
      </c>
      <c r="M15" s="13">
        <f t="shared" si="4"/>
        <v>6068.25</v>
      </c>
    </row>
    <row r="16" spans="2:18" x14ac:dyDescent="0.25">
      <c r="B16" s="91">
        <v>13</v>
      </c>
      <c r="C16" s="94" t="s">
        <v>22</v>
      </c>
      <c r="D16" s="11">
        <v>323116</v>
      </c>
      <c r="E16" s="11" t="s">
        <v>39</v>
      </c>
      <c r="F16" s="11">
        <v>24</v>
      </c>
      <c r="G16" s="11">
        <v>18</v>
      </c>
      <c r="H16" s="84">
        <f t="shared" si="2"/>
        <v>864</v>
      </c>
      <c r="I16" s="12">
        <v>4.6500000000000004</v>
      </c>
      <c r="J16" s="62">
        <f t="shared" si="0"/>
        <v>5.8125</v>
      </c>
      <c r="K16" s="12">
        <f t="shared" si="3"/>
        <v>2511</v>
      </c>
      <c r="L16" s="12">
        <f t="shared" si="1"/>
        <v>209.25</v>
      </c>
      <c r="M16" s="13">
        <f t="shared" si="4"/>
        <v>5022</v>
      </c>
    </row>
    <row r="17" spans="2:19" x14ac:dyDescent="0.25">
      <c r="B17" s="91">
        <v>14</v>
      </c>
      <c r="C17" s="95" t="s">
        <v>23</v>
      </c>
      <c r="D17" s="11">
        <v>323117</v>
      </c>
      <c r="E17" s="11" t="s">
        <v>39</v>
      </c>
      <c r="F17" s="11">
        <v>13</v>
      </c>
      <c r="G17" s="11">
        <v>18</v>
      </c>
      <c r="H17" s="84">
        <f t="shared" si="2"/>
        <v>468</v>
      </c>
      <c r="I17" s="12">
        <v>4.6500000000000004</v>
      </c>
      <c r="J17" s="62">
        <f t="shared" si="0"/>
        <v>5.8125</v>
      </c>
      <c r="K17" s="12">
        <f t="shared" si="3"/>
        <v>1360.125</v>
      </c>
      <c r="L17" s="12">
        <f t="shared" si="1"/>
        <v>113.34375</v>
      </c>
      <c r="M17" s="13">
        <f t="shared" si="4"/>
        <v>2720.25</v>
      </c>
    </row>
    <row r="18" spans="2:19" x14ac:dyDescent="0.25">
      <c r="B18" s="91">
        <v>15</v>
      </c>
      <c r="C18" s="94" t="s">
        <v>24</v>
      </c>
      <c r="D18" s="11">
        <v>323118</v>
      </c>
      <c r="E18" s="11" t="s">
        <v>39</v>
      </c>
      <c r="F18" s="11">
        <v>13</v>
      </c>
      <c r="G18" s="11">
        <v>18</v>
      </c>
      <c r="H18" s="84">
        <f t="shared" si="2"/>
        <v>468</v>
      </c>
      <c r="I18" s="12">
        <v>4.6500000000000004</v>
      </c>
      <c r="J18" s="62">
        <f t="shared" si="0"/>
        <v>5.8125</v>
      </c>
      <c r="K18" s="12">
        <f t="shared" si="3"/>
        <v>1360.125</v>
      </c>
      <c r="L18" s="12">
        <f t="shared" si="1"/>
        <v>113.34375</v>
      </c>
      <c r="M18" s="13">
        <f t="shared" si="4"/>
        <v>2720.25</v>
      </c>
    </row>
    <row r="19" spans="2:19" x14ac:dyDescent="0.25">
      <c r="B19" s="91">
        <v>16</v>
      </c>
      <c r="C19" s="94" t="s">
        <v>25</v>
      </c>
      <c r="D19" s="11">
        <v>323119</v>
      </c>
      <c r="E19" s="11" t="s">
        <v>39</v>
      </c>
      <c r="F19" s="11">
        <v>42</v>
      </c>
      <c r="G19" s="11">
        <v>18</v>
      </c>
      <c r="H19" s="84">
        <f t="shared" si="2"/>
        <v>1512</v>
      </c>
      <c r="I19" s="12">
        <v>4.6500000000000004</v>
      </c>
      <c r="J19" s="62">
        <f t="shared" si="0"/>
        <v>5.8125</v>
      </c>
      <c r="K19" s="12">
        <f t="shared" si="3"/>
        <v>4394.25</v>
      </c>
      <c r="L19" s="12">
        <f t="shared" si="1"/>
        <v>366.1875</v>
      </c>
      <c r="M19" s="13">
        <f t="shared" si="4"/>
        <v>8788.5</v>
      </c>
      <c r="O19" s="6"/>
      <c r="P19" s="6"/>
      <c r="Q19" s="6"/>
      <c r="R19" s="6"/>
      <c r="S19" s="6"/>
    </row>
    <row r="20" spans="2:19" x14ac:dyDescent="0.25">
      <c r="B20" s="91">
        <v>17</v>
      </c>
      <c r="C20" s="94" t="s">
        <v>26</v>
      </c>
      <c r="D20" s="11">
        <v>323120</v>
      </c>
      <c r="E20" s="11" t="s">
        <v>39</v>
      </c>
      <c r="F20" s="11">
        <v>18</v>
      </c>
      <c r="G20" s="11">
        <v>18</v>
      </c>
      <c r="H20" s="84">
        <f t="shared" si="2"/>
        <v>648</v>
      </c>
      <c r="I20" s="12">
        <v>4.6500000000000004</v>
      </c>
      <c r="J20" s="62">
        <f t="shared" si="0"/>
        <v>5.8125</v>
      </c>
      <c r="K20" s="12">
        <f t="shared" si="3"/>
        <v>1883.25</v>
      </c>
      <c r="L20" s="12">
        <f t="shared" si="1"/>
        <v>156.9375</v>
      </c>
      <c r="M20" s="13">
        <f t="shared" si="4"/>
        <v>3766.5</v>
      </c>
      <c r="O20" s="6"/>
      <c r="P20" s="6"/>
      <c r="Q20" s="6"/>
      <c r="R20" s="6"/>
      <c r="S20" s="6"/>
    </row>
    <row r="21" spans="2:19" x14ac:dyDescent="0.25">
      <c r="B21" s="91">
        <v>18</v>
      </c>
      <c r="C21" s="96" t="s">
        <v>27</v>
      </c>
      <c r="D21" s="11">
        <v>323121</v>
      </c>
      <c r="E21" s="11" t="s">
        <v>39</v>
      </c>
      <c r="F21" s="11">
        <v>19</v>
      </c>
      <c r="G21" s="11">
        <v>18</v>
      </c>
      <c r="H21" s="84">
        <f t="shared" si="2"/>
        <v>684</v>
      </c>
      <c r="I21" s="12">
        <v>4.6500000000000004</v>
      </c>
      <c r="J21" s="62">
        <f t="shared" si="0"/>
        <v>5.8125</v>
      </c>
      <c r="K21" s="12">
        <f t="shared" si="3"/>
        <v>1987.875</v>
      </c>
      <c r="L21" s="12">
        <f t="shared" si="1"/>
        <v>165.65625</v>
      </c>
      <c r="M21" s="13">
        <f t="shared" si="4"/>
        <v>3975.75</v>
      </c>
      <c r="O21" s="6"/>
      <c r="P21" s="6"/>
      <c r="Q21" s="6"/>
      <c r="R21" s="6"/>
      <c r="S21" s="6"/>
    </row>
    <row r="22" spans="2:19" x14ac:dyDescent="0.25">
      <c r="B22" s="91">
        <v>19</v>
      </c>
      <c r="C22" s="96" t="s">
        <v>28</v>
      </c>
      <c r="D22" s="11">
        <v>323122</v>
      </c>
      <c r="E22" s="11" t="s">
        <v>39</v>
      </c>
      <c r="F22" s="11">
        <v>15</v>
      </c>
      <c r="G22" s="11">
        <v>18</v>
      </c>
      <c r="H22" s="84">
        <f t="shared" si="2"/>
        <v>540</v>
      </c>
      <c r="I22" s="12">
        <v>4.6500000000000004</v>
      </c>
      <c r="J22" s="62">
        <f t="shared" si="0"/>
        <v>5.8125</v>
      </c>
      <c r="K22" s="12">
        <f t="shared" si="3"/>
        <v>1569.375</v>
      </c>
      <c r="L22" s="12">
        <f t="shared" si="1"/>
        <v>130.78125</v>
      </c>
      <c r="M22" s="13">
        <f t="shared" si="4"/>
        <v>3138.75</v>
      </c>
      <c r="O22" s="6"/>
      <c r="P22" s="6"/>
      <c r="Q22" s="7"/>
      <c r="R22" s="6"/>
      <c r="S22" s="7"/>
    </row>
    <row r="23" spans="2:19" x14ac:dyDescent="0.25">
      <c r="B23" s="91">
        <v>20</v>
      </c>
      <c r="C23" s="94" t="s">
        <v>29</v>
      </c>
      <c r="D23" s="11">
        <v>323123</v>
      </c>
      <c r="E23" s="11" t="s">
        <v>39</v>
      </c>
      <c r="F23" s="11">
        <v>6</v>
      </c>
      <c r="G23" s="11">
        <v>18</v>
      </c>
      <c r="H23" s="84">
        <f t="shared" si="2"/>
        <v>216</v>
      </c>
      <c r="I23" s="12">
        <v>4.6500000000000004</v>
      </c>
      <c r="J23" s="62">
        <f t="shared" si="0"/>
        <v>5.8125</v>
      </c>
      <c r="K23" s="12">
        <f t="shared" si="3"/>
        <v>627.75</v>
      </c>
      <c r="L23" s="12">
        <f t="shared" si="1"/>
        <v>52.3125</v>
      </c>
      <c r="M23" s="13">
        <f t="shared" si="4"/>
        <v>1255.5</v>
      </c>
      <c r="O23" s="6"/>
      <c r="P23" s="6"/>
      <c r="R23" s="7"/>
    </row>
    <row r="24" spans="2:19" x14ac:dyDescent="0.25">
      <c r="B24" s="91">
        <v>21</v>
      </c>
      <c r="C24" s="96" t="s">
        <v>30</v>
      </c>
      <c r="D24" s="11">
        <v>323124</v>
      </c>
      <c r="E24" s="11" t="s">
        <v>39</v>
      </c>
      <c r="F24" s="11">
        <v>17</v>
      </c>
      <c r="G24" s="11">
        <v>18</v>
      </c>
      <c r="H24" s="84">
        <f t="shared" si="2"/>
        <v>612</v>
      </c>
      <c r="I24" s="12">
        <v>4.6500000000000004</v>
      </c>
      <c r="J24" s="62">
        <f t="shared" si="0"/>
        <v>5.8125</v>
      </c>
      <c r="K24" s="12">
        <f t="shared" si="3"/>
        <v>1778.625</v>
      </c>
      <c r="L24" s="12">
        <f t="shared" si="1"/>
        <v>148.21875</v>
      </c>
      <c r="M24" s="13">
        <f t="shared" si="4"/>
        <v>3557.25</v>
      </c>
      <c r="O24" s="6"/>
      <c r="P24" s="6"/>
    </row>
    <row r="25" spans="2:19" x14ac:dyDescent="0.25">
      <c r="B25" s="91">
        <v>22</v>
      </c>
      <c r="C25" s="94" t="s">
        <v>31</v>
      </c>
      <c r="D25" s="11">
        <v>323125</v>
      </c>
      <c r="E25" s="11" t="s">
        <v>39</v>
      </c>
      <c r="F25" s="11">
        <v>13</v>
      </c>
      <c r="G25" s="11">
        <v>18</v>
      </c>
      <c r="H25" s="84">
        <f t="shared" si="2"/>
        <v>468</v>
      </c>
      <c r="I25" s="12">
        <v>4.6500000000000004</v>
      </c>
      <c r="J25" s="62">
        <f t="shared" si="0"/>
        <v>5.8125</v>
      </c>
      <c r="K25" s="12">
        <f t="shared" si="3"/>
        <v>1360.125</v>
      </c>
      <c r="L25" s="12">
        <f t="shared" si="1"/>
        <v>113.34375</v>
      </c>
      <c r="M25" s="13">
        <f t="shared" si="4"/>
        <v>2720.25</v>
      </c>
      <c r="O25" s="7"/>
      <c r="P25" s="6"/>
    </row>
    <row r="26" spans="2:19" x14ac:dyDescent="0.25">
      <c r="B26" s="91">
        <v>23</v>
      </c>
      <c r="C26" s="94" t="s">
        <v>32</v>
      </c>
      <c r="D26" s="11">
        <v>323126</v>
      </c>
      <c r="E26" s="11" t="s">
        <v>39</v>
      </c>
      <c r="F26" s="11">
        <v>10</v>
      </c>
      <c r="G26" s="11">
        <v>18</v>
      </c>
      <c r="H26" s="84">
        <f t="shared" si="2"/>
        <v>360</v>
      </c>
      <c r="I26" s="12">
        <v>4.6500000000000004</v>
      </c>
      <c r="J26" s="62">
        <f t="shared" si="0"/>
        <v>5.8125</v>
      </c>
      <c r="K26" s="12">
        <f t="shared" si="3"/>
        <v>1046.25</v>
      </c>
      <c r="L26" s="12">
        <f t="shared" si="1"/>
        <v>87.1875</v>
      </c>
      <c r="M26" s="13">
        <f t="shared" si="4"/>
        <v>2092.5</v>
      </c>
      <c r="P26" s="6"/>
    </row>
    <row r="27" spans="2:19" x14ac:dyDescent="0.25">
      <c r="B27" s="91">
        <v>24</v>
      </c>
      <c r="C27" s="96" t="s">
        <v>33</v>
      </c>
      <c r="D27" s="11">
        <v>323127</v>
      </c>
      <c r="E27" s="11" t="s">
        <v>39</v>
      </c>
      <c r="F27" s="11">
        <v>11</v>
      </c>
      <c r="G27" s="11">
        <v>18</v>
      </c>
      <c r="H27" s="84">
        <f t="shared" si="2"/>
        <v>396</v>
      </c>
      <c r="I27" s="12">
        <v>4.6500000000000004</v>
      </c>
      <c r="J27" s="62">
        <f t="shared" si="0"/>
        <v>5.8125</v>
      </c>
      <c r="K27" s="12">
        <f t="shared" si="3"/>
        <v>1150.875</v>
      </c>
      <c r="L27" s="12">
        <f t="shared" si="1"/>
        <v>95.90625</v>
      </c>
      <c r="M27" s="13">
        <f t="shared" si="4"/>
        <v>2301.75</v>
      </c>
      <c r="P27" s="6"/>
    </row>
    <row r="28" spans="2:19" ht="15.75" thickBot="1" x14ac:dyDescent="0.3">
      <c r="B28" s="98">
        <v>25</v>
      </c>
      <c r="C28" s="99" t="s">
        <v>34</v>
      </c>
      <c r="D28" s="14">
        <v>323128</v>
      </c>
      <c r="E28" s="14" t="s">
        <v>39</v>
      </c>
      <c r="F28" s="14">
        <v>7</v>
      </c>
      <c r="G28" s="14">
        <v>18</v>
      </c>
      <c r="H28" s="84">
        <f t="shared" si="2"/>
        <v>252</v>
      </c>
      <c r="I28" s="15">
        <v>4.6500000000000004</v>
      </c>
      <c r="J28" s="62">
        <f t="shared" si="0"/>
        <v>5.8125</v>
      </c>
      <c r="K28" s="12">
        <f t="shared" si="3"/>
        <v>732.375</v>
      </c>
      <c r="L28" s="15">
        <f t="shared" si="1"/>
        <v>61.03125</v>
      </c>
      <c r="M28" s="16">
        <f t="shared" si="4"/>
        <v>1464.75</v>
      </c>
      <c r="P28" s="7"/>
    </row>
    <row r="29" spans="2:19" ht="15.75" thickBot="1" x14ac:dyDescent="0.3">
      <c r="B29" s="20" t="s">
        <v>35</v>
      </c>
      <c r="C29" s="21"/>
      <c r="D29" s="21"/>
      <c r="E29" s="21"/>
      <c r="F29" s="21">
        <f>SUM(F4:F28)</f>
        <v>587</v>
      </c>
      <c r="G29" s="22"/>
      <c r="H29" s="22"/>
      <c r="I29" s="23" t="s">
        <v>36</v>
      </c>
      <c r="J29" s="61"/>
      <c r="K29" s="23">
        <f>SUM(K4:K28)</f>
        <v>61414.875</v>
      </c>
      <c r="L29" s="23">
        <f>SUM(L4:L28)</f>
        <v>5117.90625</v>
      </c>
      <c r="M29" s="24">
        <f>SUM(M4:M28)</f>
        <v>122829.75</v>
      </c>
    </row>
    <row r="30" spans="2:19" x14ac:dyDescent="0.25">
      <c r="K30" s="8"/>
      <c r="L30" s="8"/>
      <c r="M30" s="8"/>
    </row>
    <row r="31" spans="2:19" x14ac:dyDescent="0.25">
      <c r="E31" s="75" t="s">
        <v>40</v>
      </c>
      <c r="F31" s="76">
        <f>SUM(F8+F15+F21+F22+F24+F27)</f>
        <v>140</v>
      </c>
      <c r="G31">
        <f>F31*18</f>
        <v>2520</v>
      </c>
      <c r="K31" s="9">
        <f>140*18*5.81</f>
        <v>14641.199999999999</v>
      </c>
    </row>
    <row r="32" spans="2:19" x14ac:dyDescent="0.25">
      <c r="E32" s="77" t="s">
        <v>41</v>
      </c>
      <c r="F32" s="77">
        <f>SUM(F5+F16+F18+F19+F20+F23+F25+F26+F28)</f>
        <v>177</v>
      </c>
      <c r="G32">
        <f t="shared" ref="G32:G35" si="5">F32*18</f>
        <v>3186</v>
      </c>
      <c r="K32" s="9">
        <f>177*18*5.81</f>
        <v>18510.66</v>
      </c>
    </row>
    <row r="33" spans="4:11" x14ac:dyDescent="0.25">
      <c r="E33" s="78" t="s">
        <v>42</v>
      </c>
      <c r="F33" s="78">
        <f>SUM(F6+F7+F17)</f>
        <v>57</v>
      </c>
      <c r="G33">
        <f t="shared" si="5"/>
        <v>1026</v>
      </c>
      <c r="K33" s="9">
        <f>57*18*5.81</f>
        <v>5961.0599999999995</v>
      </c>
    </row>
    <row r="34" spans="4:11" x14ac:dyDescent="0.25">
      <c r="E34" s="79" t="s">
        <v>43</v>
      </c>
      <c r="F34" s="80">
        <f>SUM(F4+F10+F11+F13)</f>
        <v>156</v>
      </c>
      <c r="G34">
        <f t="shared" si="5"/>
        <v>2808</v>
      </c>
      <c r="K34" s="9">
        <f>156*18*5.81</f>
        <v>16314.48</v>
      </c>
    </row>
    <row r="35" spans="4:11" x14ac:dyDescent="0.25">
      <c r="E35" s="5" t="s">
        <v>44</v>
      </c>
      <c r="F35" s="81">
        <f>SUM(F9+F12+F14)</f>
        <v>57</v>
      </c>
      <c r="G35">
        <f t="shared" si="5"/>
        <v>1026</v>
      </c>
      <c r="K35" s="9">
        <f>57*18*5.81</f>
        <v>5961.0599999999995</v>
      </c>
    </row>
    <row r="36" spans="4:11" x14ac:dyDescent="0.25">
      <c r="E36" s="82" t="s">
        <v>63</v>
      </c>
      <c r="F36" s="82">
        <f>SUM(F31+F32+F33+F34+F35)</f>
        <v>587</v>
      </c>
      <c r="G36">
        <f>SUM(G31:G35)</f>
        <v>10566</v>
      </c>
      <c r="K36" s="83">
        <f>SUM(K31:K35)</f>
        <v>61388.459999999992</v>
      </c>
    </row>
    <row r="39" spans="4:11" ht="15.75" thickBot="1" x14ac:dyDescent="0.3"/>
    <row r="40" spans="4:11" ht="15.75" thickBot="1" x14ac:dyDescent="0.3">
      <c r="D40" s="85">
        <v>1764</v>
      </c>
      <c r="E40" s="86" t="s">
        <v>64</v>
      </c>
    </row>
    <row r="41" spans="4:11" ht="15.75" thickBot="1" x14ac:dyDescent="0.3">
      <c r="D41" s="87">
        <v>396</v>
      </c>
      <c r="E41" s="88" t="s">
        <v>64</v>
      </c>
    </row>
    <row r="42" spans="4:11" ht="15.75" thickBot="1" x14ac:dyDescent="0.3">
      <c r="D42" s="85">
        <v>612</v>
      </c>
      <c r="E42" s="86" t="s">
        <v>64</v>
      </c>
    </row>
    <row r="43" spans="4:11" ht="15.75" thickBot="1" x14ac:dyDescent="0.3">
      <c r="D43" s="87">
        <v>1044</v>
      </c>
      <c r="E43" s="88" t="s">
        <v>64</v>
      </c>
    </row>
    <row r="44" spans="4:11" ht="15.75" thickBot="1" x14ac:dyDescent="0.3">
      <c r="D44" s="85">
        <v>540</v>
      </c>
      <c r="E44" s="86" t="s">
        <v>64</v>
      </c>
    </row>
    <row r="45" spans="4:11" ht="15.75" thickBot="1" x14ac:dyDescent="0.3">
      <c r="D45" s="87">
        <v>684</v>
      </c>
      <c r="E45" s="88" t="s">
        <v>64</v>
      </c>
    </row>
  </sheetData>
  <autoFilter ref="B2:M29" xr:uid="{CA23D44A-90F9-4411-B657-7A06B3598C0D}"/>
  <hyperlinks>
    <hyperlink ref="E40" r:id="rId1" display="javascript:void(0)" xr:uid="{B48C7A29-5B42-4DF2-9903-E6F5170053DB}"/>
    <hyperlink ref="E41" r:id="rId2" display="javascript:void(0)" xr:uid="{D267EEEC-D6BF-4470-AA5E-C9B9A8EC9C5B}"/>
    <hyperlink ref="E42" r:id="rId3" display="javascript:void(0)" xr:uid="{9E97C432-6754-427E-B6EB-75D844DC33CC}"/>
    <hyperlink ref="E43" r:id="rId4" display="javascript:void(0)" xr:uid="{1B796B62-5197-4422-8DB1-74053988DDD8}"/>
    <hyperlink ref="E44" r:id="rId5" display="javascript:void(0)" xr:uid="{35A0C569-EA67-468B-8A0B-741F31ED9DDE}"/>
    <hyperlink ref="E45" r:id="rId6" display="javascript:void(0)" xr:uid="{E9AE220F-7CE1-4EE0-98D6-C0F1D8B898FB}"/>
  </hyperlinks>
  <pageMargins left="0.511811024" right="0.511811024" top="0.78740157499999996" bottom="0.78740157499999996" header="0.31496062000000002" footer="0.31496062000000002"/>
  <pageSetup paperSize="9" orientation="portrait" r:id="rId7"/>
  <ignoredErrors>
    <ignoredError sqref="F32 K3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6286F-F2EE-4D76-B8A6-8F81D0351F6C}">
  <dimension ref="B1:T36"/>
  <sheetViews>
    <sheetView zoomScale="70" zoomScaleNormal="70" workbookViewId="0">
      <selection activeCell="N1" sqref="A1:N1048576"/>
    </sheetView>
  </sheetViews>
  <sheetFormatPr defaultRowHeight="15" x14ac:dyDescent="0.25"/>
  <cols>
    <col min="2" max="2" width="11.140625" customWidth="1"/>
    <col min="3" max="3" width="17.140625" customWidth="1"/>
    <col min="4" max="4" width="9.140625" customWidth="1"/>
    <col min="5" max="5" width="22.42578125" customWidth="1"/>
    <col min="6" max="6" width="25.42578125" customWidth="1"/>
    <col min="7" max="8" width="19.140625" customWidth="1"/>
    <col min="9" max="10" width="12.42578125" customWidth="1"/>
    <col min="11" max="11" width="21.7109375" customWidth="1"/>
    <col min="12" max="12" width="20.5703125" customWidth="1"/>
    <col min="13" max="13" width="19.140625" customWidth="1"/>
    <col min="15" max="15" width="12.28515625" bestFit="1" customWidth="1"/>
    <col min="18" max="18" width="14.7109375" customWidth="1"/>
  </cols>
  <sheetData>
    <row r="1" spans="2:20" ht="15.75" thickBot="1" x14ac:dyDescent="0.3"/>
    <row r="2" spans="2:20" ht="18.75" customHeight="1" thickBot="1" x14ac:dyDescent="0.3">
      <c r="B2" s="25" t="s">
        <v>45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20" ht="62.25" customHeight="1" thickBot="1" x14ac:dyDescent="0.3">
      <c r="B3" s="27" t="s">
        <v>1</v>
      </c>
      <c r="C3" s="27" t="s">
        <v>2</v>
      </c>
      <c r="D3" s="27" t="s">
        <v>3</v>
      </c>
      <c r="E3" s="27" t="s">
        <v>4</v>
      </c>
      <c r="F3" s="27" t="s">
        <v>5</v>
      </c>
      <c r="G3" s="27" t="s">
        <v>46</v>
      </c>
      <c r="H3" s="27" t="s">
        <v>65</v>
      </c>
      <c r="I3" s="27" t="s">
        <v>6</v>
      </c>
      <c r="J3" s="27" t="s">
        <v>62</v>
      </c>
      <c r="K3" s="27" t="s">
        <v>47</v>
      </c>
      <c r="L3" s="27" t="s">
        <v>8</v>
      </c>
      <c r="M3" s="27" t="s">
        <v>60</v>
      </c>
    </row>
    <row r="4" spans="2:20" ht="30" x14ac:dyDescent="0.25">
      <c r="B4" s="91">
        <v>1</v>
      </c>
      <c r="C4" s="92" t="s">
        <v>9</v>
      </c>
      <c r="D4" s="11">
        <v>323104</v>
      </c>
      <c r="E4" s="11" t="s">
        <v>48</v>
      </c>
      <c r="F4" s="11">
        <v>92</v>
      </c>
      <c r="G4" s="11">
        <v>2</v>
      </c>
      <c r="H4" s="84">
        <f>(F4*G4)*2</f>
        <v>368</v>
      </c>
      <c r="I4" s="12">
        <v>6.7</v>
      </c>
      <c r="J4" s="12">
        <f t="shared" ref="J4:J28" si="0">I4*1.25</f>
        <v>8.375</v>
      </c>
      <c r="K4" s="12">
        <f t="shared" ref="K4:K28" si="1">F4*G4*J4</f>
        <v>1541</v>
      </c>
      <c r="L4" s="12">
        <f t="shared" ref="L4:L28" si="2">K4/12</f>
        <v>128.41666666666666</v>
      </c>
      <c r="M4" s="13">
        <f t="shared" ref="M4:M28" si="3">K4*2</f>
        <v>3082</v>
      </c>
      <c r="O4" s="9"/>
    </row>
    <row r="5" spans="2:20" x14ac:dyDescent="0.25">
      <c r="B5" s="91">
        <v>2</v>
      </c>
      <c r="C5" s="94" t="s">
        <v>11</v>
      </c>
      <c r="D5" s="11">
        <v>323105</v>
      </c>
      <c r="E5" s="11" t="s">
        <v>48</v>
      </c>
      <c r="F5" s="11">
        <v>44</v>
      </c>
      <c r="G5" s="11">
        <v>2</v>
      </c>
      <c r="H5" s="84">
        <f t="shared" ref="H5:H28" si="4">(F5*G5)*2</f>
        <v>176</v>
      </c>
      <c r="I5" s="12">
        <v>6.7</v>
      </c>
      <c r="J5" s="12">
        <f t="shared" si="0"/>
        <v>8.375</v>
      </c>
      <c r="K5" s="12">
        <f t="shared" si="1"/>
        <v>737</v>
      </c>
      <c r="L5" s="12">
        <f t="shared" si="2"/>
        <v>61.416666666666664</v>
      </c>
      <c r="M5" s="13">
        <f t="shared" si="3"/>
        <v>1474</v>
      </c>
    </row>
    <row r="6" spans="2:20" x14ac:dyDescent="0.25">
      <c r="B6" s="91">
        <v>3</v>
      </c>
      <c r="C6" s="95" t="s">
        <v>12</v>
      </c>
      <c r="D6" s="11">
        <v>323106</v>
      </c>
      <c r="E6" s="11" t="s">
        <v>48</v>
      </c>
      <c r="F6" s="11">
        <v>20</v>
      </c>
      <c r="G6" s="11">
        <v>2</v>
      </c>
      <c r="H6" s="84">
        <f t="shared" si="4"/>
        <v>80</v>
      </c>
      <c r="I6" s="12">
        <v>6.7</v>
      </c>
      <c r="J6" s="12">
        <f t="shared" si="0"/>
        <v>8.375</v>
      </c>
      <c r="K6" s="12">
        <f t="shared" si="1"/>
        <v>335</v>
      </c>
      <c r="L6" s="12">
        <f t="shared" si="2"/>
        <v>27.916666666666668</v>
      </c>
      <c r="M6" s="13">
        <f t="shared" si="3"/>
        <v>670</v>
      </c>
    </row>
    <row r="7" spans="2:20" x14ac:dyDescent="0.25">
      <c r="B7" s="91">
        <v>4</v>
      </c>
      <c r="C7" s="95" t="s">
        <v>13</v>
      </c>
      <c r="D7" s="11">
        <v>323107</v>
      </c>
      <c r="E7" s="11" t="s">
        <v>48</v>
      </c>
      <c r="F7" s="11">
        <v>24</v>
      </c>
      <c r="G7" s="11">
        <v>2</v>
      </c>
      <c r="H7" s="84">
        <f t="shared" si="4"/>
        <v>96</v>
      </c>
      <c r="I7" s="12">
        <v>6.7</v>
      </c>
      <c r="J7" s="12">
        <f t="shared" si="0"/>
        <v>8.375</v>
      </c>
      <c r="K7" s="12">
        <f t="shared" si="1"/>
        <v>402</v>
      </c>
      <c r="L7" s="12">
        <f t="shared" si="2"/>
        <v>33.5</v>
      </c>
      <c r="M7" s="13">
        <f t="shared" si="3"/>
        <v>804</v>
      </c>
    </row>
    <row r="8" spans="2:20" x14ac:dyDescent="0.25">
      <c r="B8" s="91">
        <v>5</v>
      </c>
      <c r="C8" s="96" t="s">
        <v>14</v>
      </c>
      <c r="D8" s="11">
        <v>323108</v>
      </c>
      <c r="E8" s="11" t="s">
        <v>48</v>
      </c>
      <c r="F8" s="11">
        <v>49</v>
      </c>
      <c r="G8" s="11">
        <v>2</v>
      </c>
      <c r="H8" s="84">
        <f t="shared" si="4"/>
        <v>196</v>
      </c>
      <c r="I8" s="12">
        <v>6.7</v>
      </c>
      <c r="J8" s="12">
        <f t="shared" si="0"/>
        <v>8.375</v>
      </c>
      <c r="K8" s="12">
        <f t="shared" si="1"/>
        <v>820.75</v>
      </c>
      <c r="L8" s="12">
        <f t="shared" si="2"/>
        <v>68.395833333333329</v>
      </c>
      <c r="M8" s="13">
        <f t="shared" si="3"/>
        <v>1641.5</v>
      </c>
    </row>
    <row r="9" spans="2:20" x14ac:dyDescent="0.25">
      <c r="B9" s="91">
        <v>6</v>
      </c>
      <c r="C9" s="97" t="s">
        <v>15</v>
      </c>
      <c r="D9" s="11">
        <v>323109</v>
      </c>
      <c r="E9" s="11" t="s">
        <v>48</v>
      </c>
      <c r="F9" s="11">
        <v>33</v>
      </c>
      <c r="G9" s="11">
        <v>2</v>
      </c>
      <c r="H9" s="84">
        <f t="shared" si="4"/>
        <v>132</v>
      </c>
      <c r="I9" s="12">
        <v>6.7</v>
      </c>
      <c r="J9" s="12">
        <f t="shared" si="0"/>
        <v>8.375</v>
      </c>
      <c r="K9" s="12">
        <f t="shared" si="1"/>
        <v>552.75</v>
      </c>
      <c r="L9" s="12">
        <f t="shared" si="2"/>
        <v>46.0625</v>
      </c>
      <c r="M9" s="13">
        <f t="shared" si="3"/>
        <v>1105.5</v>
      </c>
    </row>
    <row r="10" spans="2:20" x14ac:dyDescent="0.25">
      <c r="B10" s="91">
        <v>7</v>
      </c>
      <c r="C10" s="92" t="s">
        <v>16</v>
      </c>
      <c r="D10" s="11">
        <v>323110</v>
      </c>
      <c r="E10" s="11" t="s">
        <v>48</v>
      </c>
      <c r="F10" s="11">
        <v>24</v>
      </c>
      <c r="G10" s="11">
        <v>2</v>
      </c>
      <c r="H10" s="84">
        <f t="shared" si="4"/>
        <v>96</v>
      </c>
      <c r="I10" s="12">
        <v>6.7</v>
      </c>
      <c r="J10" s="12">
        <f t="shared" si="0"/>
        <v>8.375</v>
      </c>
      <c r="K10" s="12">
        <f t="shared" si="1"/>
        <v>402</v>
      </c>
      <c r="L10" s="12">
        <f t="shared" si="2"/>
        <v>33.5</v>
      </c>
      <c r="M10" s="13">
        <f t="shared" si="3"/>
        <v>804</v>
      </c>
      <c r="P10" s="5"/>
      <c r="Q10" s="5"/>
      <c r="R10" s="5"/>
      <c r="S10" s="5"/>
      <c r="T10" s="5"/>
    </row>
    <row r="11" spans="2:20" x14ac:dyDescent="0.25">
      <c r="B11" s="91">
        <v>8</v>
      </c>
      <c r="C11" s="92" t="s">
        <v>17</v>
      </c>
      <c r="D11" s="11">
        <v>323111</v>
      </c>
      <c r="E11" s="11" t="s">
        <v>48</v>
      </c>
      <c r="F11" s="11">
        <v>21</v>
      </c>
      <c r="G11" s="11">
        <v>2</v>
      </c>
      <c r="H11" s="84">
        <f t="shared" si="4"/>
        <v>84</v>
      </c>
      <c r="I11" s="12">
        <v>6.7</v>
      </c>
      <c r="J11" s="12">
        <f t="shared" si="0"/>
        <v>8.375</v>
      </c>
      <c r="K11" s="12">
        <f t="shared" si="1"/>
        <v>351.75</v>
      </c>
      <c r="L11" s="12">
        <f t="shared" si="2"/>
        <v>29.3125</v>
      </c>
      <c r="M11" s="13">
        <f t="shared" si="3"/>
        <v>703.5</v>
      </c>
    </row>
    <row r="12" spans="2:20" x14ac:dyDescent="0.25">
      <c r="B12" s="91">
        <v>9</v>
      </c>
      <c r="C12" s="97" t="s">
        <v>18</v>
      </c>
      <c r="D12" s="11">
        <v>323112</v>
      </c>
      <c r="E12" s="11" t="s">
        <v>48</v>
      </c>
      <c r="F12" s="11">
        <v>9</v>
      </c>
      <c r="G12" s="11">
        <v>2</v>
      </c>
      <c r="H12" s="84">
        <f t="shared" si="4"/>
        <v>36</v>
      </c>
      <c r="I12" s="12">
        <v>6.7</v>
      </c>
      <c r="J12" s="12">
        <f t="shared" si="0"/>
        <v>8.375</v>
      </c>
      <c r="K12" s="12">
        <f t="shared" si="1"/>
        <v>150.75</v>
      </c>
      <c r="L12" s="12">
        <f t="shared" si="2"/>
        <v>12.5625</v>
      </c>
      <c r="M12" s="13">
        <f t="shared" si="3"/>
        <v>301.5</v>
      </c>
    </row>
    <row r="13" spans="2:20" x14ac:dyDescent="0.25">
      <c r="B13" s="91">
        <v>10</v>
      </c>
      <c r="C13" s="92" t="s">
        <v>19</v>
      </c>
      <c r="D13" s="11">
        <v>323113</v>
      </c>
      <c r="E13" s="11" t="s">
        <v>48</v>
      </c>
      <c r="F13" s="11">
        <v>19</v>
      </c>
      <c r="G13" s="11">
        <v>2</v>
      </c>
      <c r="H13" s="84">
        <f t="shared" si="4"/>
        <v>76</v>
      </c>
      <c r="I13" s="12">
        <v>6.7</v>
      </c>
      <c r="J13" s="12">
        <f t="shared" si="0"/>
        <v>8.375</v>
      </c>
      <c r="K13" s="12">
        <f t="shared" si="1"/>
        <v>318.25</v>
      </c>
      <c r="L13" s="12">
        <f t="shared" si="2"/>
        <v>26.520833333333332</v>
      </c>
      <c r="M13" s="13">
        <f t="shared" si="3"/>
        <v>636.5</v>
      </c>
    </row>
    <row r="14" spans="2:20" x14ac:dyDescent="0.25">
      <c r="B14" s="91">
        <v>11</v>
      </c>
      <c r="C14" s="97" t="s">
        <v>20</v>
      </c>
      <c r="D14" s="11">
        <v>323114</v>
      </c>
      <c r="E14" s="11" t="s">
        <v>48</v>
      </c>
      <c r="F14" s="11">
        <v>15</v>
      </c>
      <c r="G14" s="11">
        <v>2</v>
      </c>
      <c r="H14" s="84">
        <f t="shared" si="4"/>
        <v>60</v>
      </c>
      <c r="I14" s="12">
        <v>6.7</v>
      </c>
      <c r="J14" s="12">
        <f t="shared" si="0"/>
        <v>8.375</v>
      </c>
      <c r="K14" s="12">
        <f t="shared" si="1"/>
        <v>251.25</v>
      </c>
      <c r="L14" s="12">
        <f t="shared" si="2"/>
        <v>20.9375</v>
      </c>
      <c r="M14" s="13">
        <f t="shared" si="3"/>
        <v>502.5</v>
      </c>
    </row>
    <row r="15" spans="2:20" x14ac:dyDescent="0.25">
      <c r="B15" s="91">
        <v>12</v>
      </c>
      <c r="C15" s="96" t="s">
        <v>21</v>
      </c>
      <c r="D15" s="11">
        <v>323115</v>
      </c>
      <c r="E15" s="11" t="s">
        <v>48</v>
      </c>
      <c r="F15" s="11">
        <v>29</v>
      </c>
      <c r="G15" s="11">
        <v>2</v>
      </c>
      <c r="H15" s="84">
        <f t="shared" si="4"/>
        <v>116</v>
      </c>
      <c r="I15" s="12">
        <v>6.7</v>
      </c>
      <c r="J15" s="12">
        <f t="shared" si="0"/>
        <v>8.375</v>
      </c>
      <c r="K15" s="12">
        <f t="shared" si="1"/>
        <v>485.75</v>
      </c>
      <c r="L15" s="12">
        <f t="shared" si="2"/>
        <v>40.479166666666664</v>
      </c>
      <c r="M15" s="13">
        <f t="shared" si="3"/>
        <v>971.5</v>
      </c>
    </row>
    <row r="16" spans="2:20" x14ac:dyDescent="0.25">
      <c r="B16" s="91">
        <v>13</v>
      </c>
      <c r="C16" s="94" t="s">
        <v>22</v>
      </c>
      <c r="D16" s="11">
        <v>323116</v>
      </c>
      <c r="E16" s="11" t="s">
        <v>48</v>
      </c>
      <c r="F16" s="11">
        <v>24</v>
      </c>
      <c r="G16" s="11">
        <v>2</v>
      </c>
      <c r="H16" s="84">
        <f t="shared" si="4"/>
        <v>96</v>
      </c>
      <c r="I16" s="12">
        <v>6.7</v>
      </c>
      <c r="J16" s="12">
        <f t="shared" si="0"/>
        <v>8.375</v>
      </c>
      <c r="K16" s="12">
        <f t="shared" si="1"/>
        <v>402</v>
      </c>
      <c r="L16" s="12">
        <f t="shared" si="2"/>
        <v>33.5</v>
      </c>
      <c r="M16" s="13">
        <f t="shared" si="3"/>
        <v>804</v>
      </c>
    </row>
    <row r="17" spans="2:20" x14ac:dyDescent="0.25">
      <c r="B17" s="91">
        <v>14</v>
      </c>
      <c r="C17" s="95" t="s">
        <v>23</v>
      </c>
      <c r="D17" s="11">
        <v>323117</v>
      </c>
      <c r="E17" s="11" t="s">
        <v>48</v>
      </c>
      <c r="F17" s="11">
        <v>13</v>
      </c>
      <c r="G17" s="11">
        <v>2</v>
      </c>
      <c r="H17" s="84">
        <f t="shared" si="4"/>
        <v>52</v>
      </c>
      <c r="I17" s="12">
        <v>6.7</v>
      </c>
      <c r="J17" s="12">
        <f t="shared" si="0"/>
        <v>8.375</v>
      </c>
      <c r="K17" s="12">
        <f t="shared" si="1"/>
        <v>217.75</v>
      </c>
      <c r="L17" s="12">
        <f t="shared" si="2"/>
        <v>18.145833333333332</v>
      </c>
      <c r="M17" s="13">
        <f t="shared" si="3"/>
        <v>435.5</v>
      </c>
    </row>
    <row r="18" spans="2:20" x14ac:dyDescent="0.25">
      <c r="B18" s="91">
        <v>15</v>
      </c>
      <c r="C18" s="94" t="s">
        <v>24</v>
      </c>
      <c r="D18" s="11">
        <v>323118</v>
      </c>
      <c r="E18" s="11" t="s">
        <v>48</v>
      </c>
      <c r="F18" s="11">
        <v>13</v>
      </c>
      <c r="G18" s="11">
        <v>2</v>
      </c>
      <c r="H18" s="84">
        <f t="shared" si="4"/>
        <v>52</v>
      </c>
      <c r="I18" s="12">
        <v>6.7</v>
      </c>
      <c r="J18" s="12">
        <f t="shared" si="0"/>
        <v>8.375</v>
      </c>
      <c r="K18" s="12">
        <f t="shared" si="1"/>
        <v>217.75</v>
      </c>
      <c r="L18" s="12">
        <f t="shared" si="2"/>
        <v>18.145833333333332</v>
      </c>
      <c r="M18" s="13">
        <f t="shared" si="3"/>
        <v>435.5</v>
      </c>
    </row>
    <row r="19" spans="2:20" x14ac:dyDescent="0.25">
      <c r="B19" s="91">
        <v>16</v>
      </c>
      <c r="C19" s="94" t="s">
        <v>25</v>
      </c>
      <c r="D19" s="11">
        <v>323119</v>
      </c>
      <c r="E19" s="11" t="s">
        <v>48</v>
      </c>
      <c r="F19" s="11">
        <v>42</v>
      </c>
      <c r="G19" s="11">
        <v>2</v>
      </c>
      <c r="H19" s="84">
        <f t="shared" si="4"/>
        <v>168</v>
      </c>
      <c r="I19" s="12">
        <v>6.7</v>
      </c>
      <c r="J19" s="12">
        <f t="shared" si="0"/>
        <v>8.375</v>
      </c>
      <c r="K19" s="12">
        <f t="shared" si="1"/>
        <v>703.5</v>
      </c>
      <c r="L19" s="12">
        <f t="shared" si="2"/>
        <v>58.625</v>
      </c>
      <c r="M19" s="13">
        <f t="shared" si="3"/>
        <v>1407</v>
      </c>
    </row>
    <row r="20" spans="2:20" x14ac:dyDescent="0.25">
      <c r="B20" s="91">
        <v>17</v>
      </c>
      <c r="C20" s="94" t="s">
        <v>26</v>
      </c>
      <c r="D20" s="11">
        <v>323120</v>
      </c>
      <c r="E20" s="11" t="s">
        <v>48</v>
      </c>
      <c r="F20" s="11">
        <v>18</v>
      </c>
      <c r="G20" s="11">
        <v>2</v>
      </c>
      <c r="H20" s="84">
        <f t="shared" si="4"/>
        <v>72</v>
      </c>
      <c r="I20" s="12">
        <v>6.7</v>
      </c>
      <c r="J20" s="12">
        <f t="shared" si="0"/>
        <v>8.375</v>
      </c>
      <c r="K20" s="12">
        <f t="shared" si="1"/>
        <v>301.5</v>
      </c>
      <c r="L20" s="12">
        <f t="shared" si="2"/>
        <v>25.125</v>
      </c>
      <c r="M20" s="13">
        <f t="shared" si="3"/>
        <v>603</v>
      </c>
    </row>
    <row r="21" spans="2:20" x14ac:dyDescent="0.25">
      <c r="B21" s="91">
        <v>18</v>
      </c>
      <c r="C21" s="96" t="s">
        <v>27</v>
      </c>
      <c r="D21" s="11">
        <v>323121</v>
      </c>
      <c r="E21" s="11" t="s">
        <v>48</v>
      </c>
      <c r="F21" s="11">
        <v>19</v>
      </c>
      <c r="G21" s="11">
        <v>2</v>
      </c>
      <c r="H21" s="84">
        <f t="shared" si="4"/>
        <v>76</v>
      </c>
      <c r="I21" s="12">
        <v>6.7</v>
      </c>
      <c r="J21" s="12">
        <f t="shared" si="0"/>
        <v>8.375</v>
      </c>
      <c r="K21" s="12">
        <f t="shared" si="1"/>
        <v>318.25</v>
      </c>
      <c r="L21" s="12">
        <f t="shared" si="2"/>
        <v>26.520833333333332</v>
      </c>
      <c r="M21" s="13">
        <f t="shared" si="3"/>
        <v>636.5</v>
      </c>
      <c r="P21" s="6"/>
      <c r="Q21" s="6"/>
      <c r="R21" s="6"/>
      <c r="S21" s="6"/>
      <c r="T21" s="6"/>
    </row>
    <row r="22" spans="2:20" x14ac:dyDescent="0.25">
      <c r="B22" s="91">
        <v>19</v>
      </c>
      <c r="C22" s="96" t="s">
        <v>28</v>
      </c>
      <c r="D22" s="11">
        <v>323122</v>
      </c>
      <c r="E22" s="11" t="s">
        <v>48</v>
      </c>
      <c r="F22" s="11">
        <v>15</v>
      </c>
      <c r="G22" s="11">
        <v>2</v>
      </c>
      <c r="H22" s="84">
        <f t="shared" si="4"/>
        <v>60</v>
      </c>
      <c r="I22" s="12">
        <v>6.7</v>
      </c>
      <c r="J22" s="12">
        <f t="shared" si="0"/>
        <v>8.375</v>
      </c>
      <c r="K22" s="12">
        <f t="shared" si="1"/>
        <v>251.25</v>
      </c>
      <c r="L22" s="12">
        <f t="shared" si="2"/>
        <v>20.9375</v>
      </c>
      <c r="M22" s="13">
        <f t="shared" si="3"/>
        <v>502.5</v>
      </c>
      <c r="P22" s="6"/>
      <c r="Q22" s="6"/>
      <c r="R22" s="6"/>
      <c r="S22" s="6"/>
      <c r="T22" s="6"/>
    </row>
    <row r="23" spans="2:20" x14ac:dyDescent="0.25">
      <c r="B23" s="91">
        <v>20</v>
      </c>
      <c r="C23" s="94" t="s">
        <v>29</v>
      </c>
      <c r="D23" s="11">
        <v>323123</v>
      </c>
      <c r="E23" s="11" t="s">
        <v>48</v>
      </c>
      <c r="F23" s="11">
        <v>6</v>
      </c>
      <c r="G23" s="11">
        <v>2</v>
      </c>
      <c r="H23" s="84">
        <f t="shared" si="4"/>
        <v>24</v>
      </c>
      <c r="I23" s="12">
        <v>6.7</v>
      </c>
      <c r="J23" s="12">
        <f t="shared" si="0"/>
        <v>8.375</v>
      </c>
      <c r="K23" s="12">
        <f t="shared" si="1"/>
        <v>100.5</v>
      </c>
      <c r="L23" s="12">
        <f t="shared" si="2"/>
        <v>8.375</v>
      </c>
      <c r="M23" s="13">
        <f t="shared" si="3"/>
        <v>201</v>
      </c>
      <c r="P23" s="6"/>
      <c r="Q23" s="6"/>
      <c r="R23" s="6"/>
      <c r="S23" s="6"/>
      <c r="T23" s="6"/>
    </row>
    <row r="24" spans="2:20" x14ac:dyDescent="0.25">
      <c r="B24" s="91">
        <v>21</v>
      </c>
      <c r="C24" s="96" t="s">
        <v>30</v>
      </c>
      <c r="D24" s="11">
        <v>323124</v>
      </c>
      <c r="E24" s="11" t="s">
        <v>48</v>
      </c>
      <c r="F24" s="11">
        <v>17</v>
      </c>
      <c r="G24" s="11">
        <v>2</v>
      </c>
      <c r="H24" s="84">
        <f t="shared" si="4"/>
        <v>68</v>
      </c>
      <c r="I24" s="12">
        <v>6.7</v>
      </c>
      <c r="J24" s="12">
        <f t="shared" si="0"/>
        <v>8.375</v>
      </c>
      <c r="K24" s="12">
        <f t="shared" si="1"/>
        <v>284.75</v>
      </c>
      <c r="L24" s="12">
        <f t="shared" si="2"/>
        <v>23.729166666666668</v>
      </c>
      <c r="M24" s="13">
        <f t="shared" si="3"/>
        <v>569.5</v>
      </c>
      <c r="P24" s="6"/>
      <c r="Q24" s="6"/>
      <c r="R24" s="7"/>
      <c r="S24" s="6"/>
      <c r="T24" s="7"/>
    </row>
    <row r="25" spans="2:20" x14ac:dyDescent="0.25">
      <c r="B25" s="91">
        <v>22</v>
      </c>
      <c r="C25" s="94" t="s">
        <v>31</v>
      </c>
      <c r="D25" s="11">
        <v>323125</v>
      </c>
      <c r="E25" s="11" t="s">
        <v>48</v>
      </c>
      <c r="F25" s="11">
        <v>13</v>
      </c>
      <c r="G25" s="11">
        <v>2</v>
      </c>
      <c r="H25" s="84">
        <f t="shared" si="4"/>
        <v>52</v>
      </c>
      <c r="I25" s="12">
        <v>6.7</v>
      </c>
      <c r="J25" s="12">
        <f t="shared" si="0"/>
        <v>8.375</v>
      </c>
      <c r="K25" s="12">
        <f t="shared" si="1"/>
        <v>217.75</v>
      </c>
      <c r="L25" s="12">
        <f t="shared" si="2"/>
        <v>18.145833333333332</v>
      </c>
      <c r="M25" s="13">
        <f t="shared" si="3"/>
        <v>435.5</v>
      </c>
      <c r="P25" s="6"/>
      <c r="Q25" s="6"/>
      <c r="S25" s="7"/>
      <c r="T25" s="7"/>
    </row>
    <row r="26" spans="2:20" x14ac:dyDescent="0.25">
      <c r="B26" s="91">
        <v>23</v>
      </c>
      <c r="C26" s="94" t="s">
        <v>32</v>
      </c>
      <c r="D26" s="11">
        <v>323126</v>
      </c>
      <c r="E26" s="11" t="s">
        <v>48</v>
      </c>
      <c r="F26" s="11">
        <v>10</v>
      </c>
      <c r="G26" s="11">
        <v>2</v>
      </c>
      <c r="H26" s="84">
        <f t="shared" si="4"/>
        <v>40</v>
      </c>
      <c r="I26" s="12">
        <v>6.7</v>
      </c>
      <c r="J26" s="12">
        <f t="shared" si="0"/>
        <v>8.375</v>
      </c>
      <c r="K26" s="12">
        <f t="shared" si="1"/>
        <v>167.5</v>
      </c>
      <c r="L26" s="12">
        <f t="shared" si="2"/>
        <v>13.958333333333334</v>
      </c>
      <c r="M26" s="13">
        <f t="shared" si="3"/>
        <v>335</v>
      </c>
      <c r="P26" s="6"/>
      <c r="Q26" s="6"/>
    </row>
    <row r="27" spans="2:20" x14ac:dyDescent="0.25">
      <c r="B27" s="91">
        <v>24</v>
      </c>
      <c r="C27" s="96" t="s">
        <v>33</v>
      </c>
      <c r="D27" s="11">
        <v>323127</v>
      </c>
      <c r="E27" s="11" t="s">
        <v>48</v>
      </c>
      <c r="F27" s="11">
        <v>11</v>
      </c>
      <c r="G27" s="11">
        <v>2</v>
      </c>
      <c r="H27" s="84">
        <f t="shared" si="4"/>
        <v>44</v>
      </c>
      <c r="I27" s="12">
        <v>6.7</v>
      </c>
      <c r="J27" s="12">
        <f t="shared" si="0"/>
        <v>8.375</v>
      </c>
      <c r="K27" s="12">
        <f t="shared" si="1"/>
        <v>184.25</v>
      </c>
      <c r="L27" s="12">
        <f t="shared" si="2"/>
        <v>15.354166666666666</v>
      </c>
      <c r="M27" s="13">
        <f t="shared" si="3"/>
        <v>368.5</v>
      </c>
      <c r="P27" s="7"/>
      <c r="Q27" s="6"/>
    </row>
    <row r="28" spans="2:20" ht="15.75" thickBot="1" x14ac:dyDescent="0.3">
      <c r="B28" s="98">
        <v>25</v>
      </c>
      <c r="C28" s="99" t="s">
        <v>34</v>
      </c>
      <c r="D28" s="14">
        <v>323128</v>
      </c>
      <c r="E28" s="14" t="s">
        <v>48</v>
      </c>
      <c r="F28" s="14">
        <v>7</v>
      </c>
      <c r="G28" s="14">
        <v>2</v>
      </c>
      <c r="H28" s="84">
        <f t="shared" si="4"/>
        <v>28</v>
      </c>
      <c r="I28" s="15">
        <v>6.7</v>
      </c>
      <c r="J28" s="12">
        <f t="shared" si="0"/>
        <v>8.375</v>
      </c>
      <c r="K28" s="12">
        <f t="shared" si="1"/>
        <v>117.25</v>
      </c>
      <c r="L28" s="12">
        <f t="shared" si="2"/>
        <v>9.7708333333333339</v>
      </c>
      <c r="M28" s="16">
        <f t="shared" si="3"/>
        <v>234.5</v>
      </c>
      <c r="Q28" s="6"/>
    </row>
    <row r="29" spans="2:20" ht="15.75" thickBot="1" x14ac:dyDescent="0.3">
      <c r="B29" s="28" t="s">
        <v>35</v>
      </c>
      <c r="C29" s="29"/>
      <c r="D29" s="29"/>
      <c r="E29" s="29"/>
      <c r="F29" s="29">
        <f>SUM(F4:F28)</f>
        <v>587</v>
      </c>
      <c r="G29" s="30"/>
      <c r="H29" s="30"/>
      <c r="I29" s="31" t="s">
        <v>36</v>
      </c>
      <c r="J29" s="31"/>
      <c r="K29" s="31">
        <f>SUM(K4:K28)</f>
        <v>9832.25</v>
      </c>
      <c r="L29" s="31">
        <f>SUM(L4:L28)</f>
        <v>819.35416666666674</v>
      </c>
      <c r="M29" s="32">
        <f>SUM(M4:M28)</f>
        <v>19664.5</v>
      </c>
      <c r="Q29" s="6"/>
    </row>
    <row r="30" spans="2:20" x14ac:dyDescent="0.25">
      <c r="Q30" s="7"/>
    </row>
    <row r="31" spans="2:20" x14ac:dyDescent="0.25">
      <c r="E31" t="s">
        <v>40</v>
      </c>
      <c r="F31">
        <f>SUM(F8+F15+F21+F22+F24+F27)</f>
        <v>140</v>
      </c>
      <c r="G31">
        <f>F31*2</f>
        <v>280</v>
      </c>
      <c r="I31">
        <f>G31*2</f>
        <v>560</v>
      </c>
      <c r="K31" s="9">
        <f>140*2*8.38</f>
        <v>2346.4</v>
      </c>
    </row>
    <row r="32" spans="2:20" x14ac:dyDescent="0.25">
      <c r="E32" t="s">
        <v>41</v>
      </c>
      <c r="F32">
        <f>SUM(F5+F16+F18+F19+F20+F23+F25+F26+F28)</f>
        <v>177</v>
      </c>
      <c r="G32">
        <f>F32*2</f>
        <v>354</v>
      </c>
      <c r="I32">
        <f>G32*2</f>
        <v>708</v>
      </c>
      <c r="K32" s="9">
        <f>177*2*8.38</f>
        <v>2966.5200000000004</v>
      </c>
    </row>
    <row r="33" spans="5:13" x14ac:dyDescent="0.25">
      <c r="E33" t="s">
        <v>42</v>
      </c>
      <c r="F33">
        <f>SUM(F6+F7+F17)</f>
        <v>57</v>
      </c>
      <c r="G33">
        <f>F33*2</f>
        <v>114</v>
      </c>
      <c r="I33">
        <f>G33*2</f>
        <v>228</v>
      </c>
      <c r="K33" s="9">
        <f>57*2*8.38</f>
        <v>955.32</v>
      </c>
    </row>
    <row r="34" spans="5:13" x14ac:dyDescent="0.25">
      <c r="E34" t="s">
        <v>43</v>
      </c>
      <c r="F34">
        <f>SUM(F4+F10+F11+F13)</f>
        <v>156</v>
      </c>
      <c r="G34">
        <f>F34*2</f>
        <v>312</v>
      </c>
      <c r="I34">
        <f>G34*2</f>
        <v>624</v>
      </c>
      <c r="K34" s="9">
        <f>156*2*8.38</f>
        <v>2614.5600000000004</v>
      </c>
    </row>
    <row r="35" spans="5:13" x14ac:dyDescent="0.25">
      <c r="E35" t="s">
        <v>44</v>
      </c>
      <c r="F35">
        <f>SUM(F9+F12+F14)</f>
        <v>57</v>
      </c>
      <c r="G35">
        <f>F35*2</f>
        <v>114</v>
      </c>
      <c r="I35">
        <f>G35*2</f>
        <v>228</v>
      </c>
      <c r="K35" s="9">
        <f>57*2*8.38</f>
        <v>955.32</v>
      </c>
      <c r="M35" s="9"/>
    </row>
    <row r="36" spans="5:13" x14ac:dyDescent="0.25">
      <c r="E36" t="s">
        <v>63</v>
      </c>
      <c r="F36">
        <f>SUM(F31+F32+F33+F34+F35)</f>
        <v>587</v>
      </c>
      <c r="G36">
        <f>SUM(G31:G35)</f>
        <v>1174</v>
      </c>
      <c r="I36">
        <f>SUM(I31:I35)</f>
        <v>2348</v>
      </c>
      <c r="K36" s="83">
        <f>SUM(K31:K35)</f>
        <v>9838.119999999999</v>
      </c>
    </row>
  </sheetData>
  <autoFilter ref="B2:M29" xr:uid="{5506286F-F2EE-4D76-B8A6-8F81D0351F6C}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K3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EAC45-FE60-4BEB-BDCD-A48FD127632B}">
  <dimension ref="B1:Z36"/>
  <sheetViews>
    <sheetView zoomScale="55" zoomScaleNormal="55" workbookViewId="0">
      <selection activeCell="F38" sqref="F38"/>
    </sheetView>
  </sheetViews>
  <sheetFormatPr defaultRowHeight="15" x14ac:dyDescent="0.25"/>
  <cols>
    <col min="2" max="2" width="9.28515625" customWidth="1"/>
    <col min="3" max="3" width="15.85546875" customWidth="1"/>
    <col min="4" max="4" width="8.85546875" customWidth="1"/>
    <col min="5" max="5" width="19" customWidth="1"/>
    <col min="6" max="6" width="19.28515625" customWidth="1"/>
    <col min="7" max="7" width="36.85546875" customWidth="1"/>
    <col min="8" max="8" width="23.5703125" customWidth="1"/>
    <col min="9" max="9" width="22.140625" customWidth="1"/>
    <col min="10" max="10" width="22" customWidth="1"/>
    <col min="11" max="11" width="19.140625" customWidth="1"/>
    <col min="12" max="14" width="14.5703125" customWidth="1"/>
    <col min="15" max="16" width="12.42578125" customWidth="1"/>
    <col min="17" max="17" width="16.5703125" customWidth="1"/>
    <col min="18" max="18" width="20.140625" customWidth="1"/>
    <col min="19" max="19" width="21.140625" customWidth="1"/>
    <col min="24" max="24" width="13.7109375" customWidth="1"/>
  </cols>
  <sheetData>
    <row r="1" spans="2:26" ht="15.75" thickBot="1" x14ac:dyDescent="0.3"/>
    <row r="2" spans="2:26" ht="19.5" customHeight="1" thickBot="1" x14ac:dyDescent="0.3">
      <c r="B2" s="59" t="s">
        <v>49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2:26" ht="63.75" thickBot="1" x14ac:dyDescent="0.3">
      <c r="B3" s="60" t="s">
        <v>1</v>
      </c>
      <c r="C3" s="60" t="s">
        <v>2</v>
      </c>
      <c r="D3" s="60" t="s">
        <v>3</v>
      </c>
      <c r="E3" s="60" t="s">
        <v>4</v>
      </c>
      <c r="F3" s="60" t="s">
        <v>50</v>
      </c>
      <c r="G3" s="60" t="s">
        <v>51</v>
      </c>
      <c r="H3" s="60" t="s">
        <v>52</v>
      </c>
      <c r="I3" s="60" t="s">
        <v>53</v>
      </c>
      <c r="J3" s="60" t="s">
        <v>54</v>
      </c>
      <c r="K3" s="60" t="s">
        <v>55</v>
      </c>
      <c r="L3" s="60" t="s">
        <v>56</v>
      </c>
      <c r="M3" s="60" t="s">
        <v>57</v>
      </c>
      <c r="N3" s="60" t="s">
        <v>65</v>
      </c>
      <c r="O3" s="60" t="s">
        <v>6</v>
      </c>
      <c r="P3" s="60" t="s">
        <v>62</v>
      </c>
      <c r="Q3" s="60" t="s">
        <v>58</v>
      </c>
      <c r="R3" s="60" t="s">
        <v>47</v>
      </c>
      <c r="S3" s="60" t="s">
        <v>60</v>
      </c>
    </row>
    <row r="4" spans="2:26" ht="30" x14ac:dyDescent="0.25">
      <c r="B4" s="101">
        <v>1</v>
      </c>
      <c r="C4" s="92" t="s">
        <v>9</v>
      </c>
      <c r="D4" s="41">
        <v>323104</v>
      </c>
      <c r="E4" s="41" t="s">
        <v>59</v>
      </c>
      <c r="F4" s="11">
        <v>92</v>
      </c>
      <c r="G4" s="41">
        <v>50</v>
      </c>
      <c r="H4" s="42">
        <f t="shared" ref="H4:H28" si="0">F4*G4</f>
        <v>4600</v>
      </c>
      <c r="I4" s="42">
        <f>H4/240</f>
        <v>19.166666666666668</v>
      </c>
      <c r="J4" s="42">
        <f>I4*1</f>
        <v>19.166666666666668</v>
      </c>
      <c r="K4" s="42">
        <f>IF(J4&gt;2,J4,2)</f>
        <v>19.166666666666668</v>
      </c>
      <c r="L4" s="42">
        <f>K4*20</f>
        <v>383.33333333333337</v>
      </c>
      <c r="M4" s="42">
        <f>L4/30</f>
        <v>12.777777777777779</v>
      </c>
      <c r="N4" s="89">
        <f>M4*24</f>
        <v>306.66666666666669</v>
      </c>
      <c r="O4" s="44">
        <v>5</v>
      </c>
      <c r="P4" s="44">
        <f>O4*1.25</f>
        <v>6.25</v>
      </c>
      <c r="Q4" s="44">
        <f>M4*P4</f>
        <v>79.861111111111114</v>
      </c>
      <c r="R4" s="45">
        <f>Q4*12</f>
        <v>958.33333333333337</v>
      </c>
      <c r="S4" s="46">
        <f>R4*2</f>
        <v>1916.6666666666667</v>
      </c>
      <c r="U4" s="4"/>
      <c r="V4" s="5"/>
      <c r="W4" s="5"/>
      <c r="X4" s="5"/>
      <c r="Y4" s="5"/>
      <c r="Z4" s="5"/>
    </row>
    <row r="5" spans="2:26" ht="15.75" x14ac:dyDescent="0.25">
      <c r="B5" s="102">
        <v>2</v>
      </c>
      <c r="C5" s="94" t="s">
        <v>11</v>
      </c>
      <c r="D5" s="2">
        <v>323105</v>
      </c>
      <c r="E5" s="2" t="s">
        <v>59</v>
      </c>
      <c r="F5" s="11">
        <v>44</v>
      </c>
      <c r="G5" s="2">
        <v>50</v>
      </c>
      <c r="H5" s="3">
        <f t="shared" si="0"/>
        <v>2200</v>
      </c>
      <c r="I5" s="3">
        <f t="shared" ref="I5:I28" si="1">H5/240</f>
        <v>9.1666666666666661</v>
      </c>
      <c r="J5" s="3">
        <f t="shared" ref="J5:J28" si="2">I5*1</f>
        <v>9.1666666666666661</v>
      </c>
      <c r="K5" s="3">
        <f t="shared" ref="K5:K28" si="3">IF(J5&gt;2,J5,2)</f>
        <v>9.1666666666666661</v>
      </c>
      <c r="L5" s="3">
        <f t="shared" ref="L5:L28" si="4">K5*20</f>
        <v>183.33333333333331</v>
      </c>
      <c r="M5" s="3">
        <f t="shared" ref="M5:M28" si="5">L5/30</f>
        <v>6.1111111111111107</v>
      </c>
      <c r="N5" s="89">
        <f t="shared" ref="N5:N28" si="6">M5*24</f>
        <v>146.66666666666666</v>
      </c>
      <c r="O5" s="47">
        <v>5</v>
      </c>
      <c r="P5" s="44">
        <f t="shared" ref="P5:P28" si="7">O5*1.25</f>
        <v>6.25</v>
      </c>
      <c r="Q5" s="44">
        <f t="shared" ref="Q5:Q28" si="8">M5*P5</f>
        <v>38.194444444444443</v>
      </c>
      <c r="R5" s="48">
        <f t="shared" ref="R5:R28" si="9">Q5*12</f>
        <v>458.33333333333331</v>
      </c>
      <c r="S5" s="49">
        <f t="shared" ref="S5:S29" si="10">R5*2</f>
        <v>916.66666666666663</v>
      </c>
      <c r="U5" s="4"/>
      <c r="V5" s="5" t="s">
        <v>40</v>
      </c>
      <c r="W5" s="5" t="s">
        <v>41</v>
      </c>
      <c r="X5" s="5" t="s">
        <v>42</v>
      </c>
      <c r="Y5" s="5" t="s">
        <v>43</v>
      </c>
      <c r="Z5" s="5" t="s">
        <v>44</v>
      </c>
    </row>
    <row r="6" spans="2:26" ht="15.75" x14ac:dyDescent="0.25">
      <c r="B6" s="102">
        <v>3</v>
      </c>
      <c r="C6" s="95" t="s">
        <v>12</v>
      </c>
      <c r="D6" s="2">
        <v>323106</v>
      </c>
      <c r="E6" s="2" t="s">
        <v>59</v>
      </c>
      <c r="F6" s="11">
        <v>20</v>
      </c>
      <c r="G6" s="2">
        <v>50</v>
      </c>
      <c r="H6" s="3">
        <f t="shared" si="0"/>
        <v>1000</v>
      </c>
      <c r="I6" s="3">
        <f t="shared" si="1"/>
        <v>4.166666666666667</v>
      </c>
      <c r="J6" s="3">
        <f t="shared" si="2"/>
        <v>4.166666666666667</v>
      </c>
      <c r="K6" s="3">
        <f t="shared" si="3"/>
        <v>4.166666666666667</v>
      </c>
      <c r="L6" s="3">
        <f t="shared" si="4"/>
        <v>83.333333333333343</v>
      </c>
      <c r="M6" s="3">
        <f t="shared" si="5"/>
        <v>2.7777777777777781</v>
      </c>
      <c r="N6" s="89">
        <f t="shared" si="6"/>
        <v>66.666666666666671</v>
      </c>
      <c r="O6" s="47">
        <v>5</v>
      </c>
      <c r="P6" s="44">
        <f t="shared" si="7"/>
        <v>6.25</v>
      </c>
      <c r="Q6" s="44">
        <f t="shared" si="8"/>
        <v>17.361111111111114</v>
      </c>
      <c r="R6" s="48">
        <f t="shared" si="9"/>
        <v>208.33333333333337</v>
      </c>
      <c r="S6" s="49">
        <f t="shared" si="10"/>
        <v>416.66666666666674</v>
      </c>
      <c r="U6" s="4"/>
      <c r="V6">
        <v>5</v>
      </c>
      <c r="W6">
        <v>2</v>
      </c>
      <c r="X6">
        <v>3</v>
      </c>
      <c r="Y6">
        <v>1</v>
      </c>
      <c r="Z6">
        <v>6</v>
      </c>
    </row>
    <row r="7" spans="2:26" ht="15.75" x14ac:dyDescent="0.25">
      <c r="B7" s="102">
        <v>4</v>
      </c>
      <c r="C7" s="95" t="s">
        <v>13</v>
      </c>
      <c r="D7" s="2">
        <v>323107</v>
      </c>
      <c r="E7" s="2" t="s">
        <v>59</v>
      </c>
      <c r="F7" s="11">
        <v>24</v>
      </c>
      <c r="G7" s="2">
        <v>50</v>
      </c>
      <c r="H7" s="3">
        <f t="shared" si="0"/>
        <v>1200</v>
      </c>
      <c r="I7" s="3">
        <f t="shared" si="1"/>
        <v>5</v>
      </c>
      <c r="J7" s="3">
        <f t="shared" si="2"/>
        <v>5</v>
      </c>
      <c r="K7" s="3">
        <f t="shared" si="3"/>
        <v>5</v>
      </c>
      <c r="L7" s="3">
        <f t="shared" si="4"/>
        <v>100</v>
      </c>
      <c r="M7" s="3">
        <f t="shared" si="5"/>
        <v>3.3333333333333335</v>
      </c>
      <c r="N7" s="89">
        <f t="shared" si="6"/>
        <v>80</v>
      </c>
      <c r="O7" s="47">
        <v>5</v>
      </c>
      <c r="P7" s="44">
        <f t="shared" si="7"/>
        <v>6.25</v>
      </c>
      <c r="Q7" s="44">
        <f t="shared" si="8"/>
        <v>20.833333333333336</v>
      </c>
      <c r="R7" s="48">
        <f t="shared" si="9"/>
        <v>250.00000000000003</v>
      </c>
      <c r="S7" s="49">
        <f t="shared" si="10"/>
        <v>500.00000000000006</v>
      </c>
      <c r="U7" s="4"/>
      <c r="V7">
        <v>12</v>
      </c>
      <c r="W7">
        <v>13</v>
      </c>
      <c r="X7">
        <v>4</v>
      </c>
      <c r="Y7">
        <v>7</v>
      </c>
      <c r="Z7">
        <v>9</v>
      </c>
    </row>
    <row r="8" spans="2:26" ht="15.75" x14ac:dyDescent="0.25">
      <c r="B8" s="102">
        <v>5</v>
      </c>
      <c r="C8" s="96" t="s">
        <v>14</v>
      </c>
      <c r="D8" s="2">
        <v>323108</v>
      </c>
      <c r="E8" s="2" t="s">
        <v>59</v>
      </c>
      <c r="F8" s="11">
        <v>49</v>
      </c>
      <c r="G8" s="2">
        <v>50</v>
      </c>
      <c r="H8" s="3">
        <f t="shared" si="0"/>
        <v>2450</v>
      </c>
      <c r="I8" s="3">
        <f t="shared" si="1"/>
        <v>10.208333333333334</v>
      </c>
      <c r="J8" s="3">
        <f t="shared" si="2"/>
        <v>10.208333333333334</v>
      </c>
      <c r="K8" s="3">
        <f t="shared" si="3"/>
        <v>10.208333333333334</v>
      </c>
      <c r="L8" s="3">
        <f t="shared" si="4"/>
        <v>204.16666666666669</v>
      </c>
      <c r="M8" s="3">
        <f t="shared" si="5"/>
        <v>6.8055555555555562</v>
      </c>
      <c r="N8" s="89">
        <f t="shared" si="6"/>
        <v>163.33333333333334</v>
      </c>
      <c r="O8" s="47">
        <v>5</v>
      </c>
      <c r="P8" s="44">
        <f t="shared" si="7"/>
        <v>6.25</v>
      </c>
      <c r="Q8" s="44">
        <f t="shared" si="8"/>
        <v>42.534722222222229</v>
      </c>
      <c r="R8" s="48">
        <f t="shared" si="9"/>
        <v>510.41666666666674</v>
      </c>
      <c r="S8" s="49">
        <f t="shared" si="10"/>
        <v>1020.8333333333335</v>
      </c>
      <c r="U8" s="4"/>
      <c r="V8">
        <v>18</v>
      </c>
      <c r="W8">
        <v>15</v>
      </c>
      <c r="X8">
        <v>14</v>
      </c>
      <c r="Y8">
        <v>8</v>
      </c>
      <c r="Z8">
        <v>11</v>
      </c>
    </row>
    <row r="9" spans="2:26" ht="15.75" x14ac:dyDescent="0.25">
      <c r="B9" s="102">
        <v>6</v>
      </c>
      <c r="C9" s="97" t="s">
        <v>15</v>
      </c>
      <c r="D9" s="2">
        <v>323109</v>
      </c>
      <c r="E9" s="2" t="s">
        <v>59</v>
      </c>
      <c r="F9" s="11">
        <v>33</v>
      </c>
      <c r="G9" s="2">
        <v>50</v>
      </c>
      <c r="H9" s="3">
        <f t="shared" si="0"/>
        <v>1650</v>
      </c>
      <c r="I9" s="3">
        <f t="shared" si="1"/>
        <v>6.875</v>
      </c>
      <c r="J9" s="3">
        <f t="shared" si="2"/>
        <v>6.875</v>
      </c>
      <c r="K9" s="3">
        <f t="shared" si="3"/>
        <v>6.875</v>
      </c>
      <c r="L9" s="3">
        <f t="shared" si="4"/>
        <v>137.5</v>
      </c>
      <c r="M9" s="3">
        <f t="shared" si="5"/>
        <v>4.583333333333333</v>
      </c>
      <c r="N9" s="89">
        <f t="shared" si="6"/>
        <v>110</v>
      </c>
      <c r="O9" s="47">
        <v>5</v>
      </c>
      <c r="P9" s="44">
        <f t="shared" si="7"/>
        <v>6.25</v>
      </c>
      <c r="Q9" s="44">
        <f t="shared" si="8"/>
        <v>28.645833333333332</v>
      </c>
      <c r="R9" s="48">
        <f t="shared" si="9"/>
        <v>343.75</v>
      </c>
      <c r="S9" s="49">
        <f t="shared" si="10"/>
        <v>687.5</v>
      </c>
      <c r="U9" s="4"/>
      <c r="V9">
        <v>19</v>
      </c>
      <c r="W9">
        <v>16</v>
      </c>
      <c r="Y9">
        <v>10</v>
      </c>
    </row>
    <row r="10" spans="2:26" ht="15.75" x14ac:dyDescent="0.25">
      <c r="B10" s="102">
        <v>7</v>
      </c>
      <c r="C10" s="92" t="s">
        <v>16</v>
      </c>
      <c r="D10" s="2">
        <v>323110</v>
      </c>
      <c r="E10" s="2" t="s">
        <v>59</v>
      </c>
      <c r="F10" s="11">
        <v>24</v>
      </c>
      <c r="G10" s="2">
        <v>50</v>
      </c>
      <c r="H10" s="3">
        <f t="shared" si="0"/>
        <v>1200</v>
      </c>
      <c r="I10" s="3">
        <f t="shared" si="1"/>
        <v>5</v>
      </c>
      <c r="J10" s="3">
        <f t="shared" si="2"/>
        <v>5</v>
      </c>
      <c r="K10" s="3">
        <f t="shared" si="3"/>
        <v>5</v>
      </c>
      <c r="L10" s="3">
        <f t="shared" si="4"/>
        <v>100</v>
      </c>
      <c r="M10" s="3">
        <f t="shared" si="5"/>
        <v>3.3333333333333335</v>
      </c>
      <c r="N10" s="89">
        <f t="shared" si="6"/>
        <v>80</v>
      </c>
      <c r="O10" s="47">
        <v>5</v>
      </c>
      <c r="P10" s="44">
        <f t="shared" si="7"/>
        <v>6.25</v>
      </c>
      <c r="Q10" s="44">
        <f t="shared" si="8"/>
        <v>20.833333333333336</v>
      </c>
      <c r="R10" s="48">
        <f t="shared" si="9"/>
        <v>250.00000000000003</v>
      </c>
      <c r="S10" s="49">
        <f t="shared" si="10"/>
        <v>500.00000000000006</v>
      </c>
      <c r="U10" s="4"/>
      <c r="V10">
        <v>21</v>
      </c>
      <c r="W10">
        <v>17</v>
      </c>
    </row>
    <row r="11" spans="2:26" ht="15.75" x14ac:dyDescent="0.25">
      <c r="B11" s="102">
        <v>8</v>
      </c>
      <c r="C11" s="92" t="s">
        <v>17</v>
      </c>
      <c r="D11" s="2">
        <v>323111</v>
      </c>
      <c r="E11" s="2" t="s">
        <v>59</v>
      </c>
      <c r="F11" s="11">
        <v>21</v>
      </c>
      <c r="G11" s="2">
        <v>50</v>
      </c>
      <c r="H11" s="3">
        <f t="shared" si="0"/>
        <v>1050</v>
      </c>
      <c r="I11" s="3">
        <f t="shared" si="1"/>
        <v>4.375</v>
      </c>
      <c r="J11" s="3">
        <f t="shared" si="2"/>
        <v>4.375</v>
      </c>
      <c r="K11" s="3">
        <f t="shared" si="3"/>
        <v>4.375</v>
      </c>
      <c r="L11" s="3">
        <f t="shared" si="4"/>
        <v>87.5</v>
      </c>
      <c r="M11" s="3">
        <f t="shared" si="5"/>
        <v>2.9166666666666665</v>
      </c>
      <c r="N11" s="89">
        <f t="shared" si="6"/>
        <v>70</v>
      </c>
      <c r="O11" s="47">
        <v>5</v>
      </c>
      <c r="P11" s="44">
        <f t="shared" si="7"/>
        <v>6.25</v>
      </c>
      <c r="Q11" s="44">
        <f t="shared" si="8"/>
        <v>18.229166666666664</v>
      </c>
      <c r="R11" s="48">
        <f t="shared" si="9"/>
        <v>218.74999999999997</v>
      </c>
      <c r="S11" s="49">
        <f t="shared" si="10"/>
        <v>437.49999999999994</v>
      </c>
      <c r="U11" s="4"/>
      <c r="V11">
        <v>24</v>
      </c>
      <c r="W11">
        <v>20</v>
      </c>
    </row>
    <row r="12" spans="2:26" ht="15.75" x14ac:dyDescent="0.25">
      <c r="B12" s="102">
        <v>9</v>
      </c>
      <c r="C12" s="97" t="s">
        <v>18</v>
      </c>
      <c r="D12" s="2">
        <v>323112</v>
      </c>
      <c r="E12" s="2" t="s">
        <v>59</v>
      </c>
      <c r="F12" s="11">
        <v>9</v>
      </c>
      <c r="G12" s="2">
        <v>50</v>
      </c>
      <c r="H12" s="3">
        <f t="shared" si="0"/>
        <v>450</v>
      </c>
      <c r="I12" s="3">
        <f t="shared" si="1"/>
        <v>1.875</v>
      </c>
      <c r="J12" s="3">
        <f t="shared" si="2"/>
        <v>1.875</v>
      </c>
      <c r="K12" s="3">
        <f t="shared" si="3"/>
        <v>2</v>
      </c>
      <c r="L12" s="3">
        <f t="shared" si="4"/>
        <v>40</v>
      </c>
      <c r="M12" s="3">
        <f t="shared" si="5"/>
        <v>1.3333333333333333</v>
      </c>
      <c r="N12" s="89">
        <f t="shared" si="6"/>
        <v>32</v>
      </c>
      <c r="O12" s="47">
        <v>5</v>
      </c>
      <c r="P12" s="44">
        <f t="shared" si="7"/>
        <v>6.25</v>
      </c>
      <c r="Q12" s="44">
        <f t="shared" si="8"/>
        <v>8.3333333333333321</v>
      </c>
      <c r="R12" s="48">
        <f t="shared" si="9"/>
        <v>99.999999999999986</v>
      </c>
      <c r="S12" s="49">
        <f t="shared" si="10"/>
        <v>199.99999999999997</v>
      </c>
      <c r="U12" s="4"/>
      <c r="W12">
        <v>22</v>
      </c>
    </row>
    <row r="13" spans="2:26" ht="15.75" x14ac:dyDescent="0.25">
      <c r="B13" s="102">
        <v>10</v>
      </c>
      <c r="C13" s="92" t="s">
        <v>19</v>
      </c>
      <c r="D13" s="2">
        <v>323113</v>
      </c>
      <c r="E13" s="2" t="s">
        <v>59</v>
      </c>
      <c r="F13" s="11">
        <v>19</v>
      </c>
      <c r="G13" s="2">
        <v>50</v>
      </c>
      <c r="H13" s="3">
        <f t="shared" si="0"/>
        <v>950</v>
      </c>
      <c r="I13" s="3">
        <f t="shared" si="1"/>
        <v>3.9583333333333335</v>
      </c>
      <c r="J13" s="3">
        <f t="shared" si="2"/>
        <v>3.9583333333333335</v>
      </c>
      <c r="K13" s="3">
        <f t="shared" si="3"/>
        <v>3.9583333333333335</v>
      </c>
      <c r="L13" s="3">
        <f t="shared" si="4"/>
        <v>79.166666666666671</v>
      </c>
      <c r="M13" s="3">
        <f t="shared" si="5"/>
        <v>2.6388888888888888</v>
      </c>
      <c r="N13" s="89">
        <f t="shared" si="6"/>
        <v>63.333333333333329</v>
      </c>
      <c r="O13" s="47">
        <v>5</v>
      </c>
      <c r="P13" s="44">
        <f t="shared" si="7"/>
        <v>6.25</v>
      </c>
      <c r="Q13" s="44">
        <f t="shared" si="8"/>
        <v>16.493055555555554</v>
      </c>
      <c r="R13" s="48">
        <f t="shared" si="9"/>
        <v>197.91666666666663</v>
      </c>
      <c r="S13" s="49">
        <f t="shared" si="10"/>
        <v>395.83333333333326</v>
      </c>
      <c r="U13" s="4"/>
      <c r="W13">
        <v>23</v>
      </c>
    </row>
    <row r="14" spans="2:26" ht="15.75" x14ac:dyDescent="0.25">
      <c r="B14" s="102">
        <v>11</v>
      </c>
      <c r="C14" s="97" t="s">
        <v>20</v>
      </c>
      <c r="D14" s="2">
        <v>323114</v>
      </c>
      <c r="E14" s="2" t="s">
        <v>59</v>
      </c>
      <c r="F14" s="11">
        <v>15</v>
      </c>
      <c r="G14" s="2">
        <v>50</v>
      </c>
      <c r="H14" s="3">
        <f t="shared" si="0"/>
        <v>750</v>
      </c>
      <c r="I14" s="3">
        <f t="shared" si="1"/>
        <v>3.125</v>
      </c>
      <c r="J14" s="3">
        <f t="shared" si="2"/>
        <v>3.125</v>
      </c>
      <c r="K14" s="3">
        <f t="shared" si="3"/>
        <v>3.125</v>
      </c>
      <c r="L14" s="3">
        <f t="shared" si="4"/>
        <v>62.5</v>
      </c>
      <c r="M14" s="3">
        <f t="shared" si="5"/>
        <v>2.0833333333333335</v>
      </c>
      <c r="N14" s="89">
        <f t="shared" si="6"/>
        <v>50</v>
      </c>
      <c r="O14" s="47">
        <v>5</v>
      </c>
      <c r="P14" s="44">
        <f t="shared" si="7"/>
        <v>6.25</v>
      </c>
      <c r="Q14" s="44">
        <f t="shared" si="8"/>
        <v>13.020833333333334</v>
      </c>
      <c r="R14" s="48">
        <f t="shared" si="9"/>
        <v>156.25</v>
      </c>
      <c r="S14" s="49">
        <f t="shared" si="10"/>
        <v>312.5</v>
      </c>
      <c r="U14" s="4"/>
      <c r="W14">
        <v>25</v>
      </c>
    </row>
    <row r="15" spans="2:26" ht="15.75" x14ac:dyDescent="0.25">
      <c r="B15" s="102">
        <v>12</v>
      </c>
      <c r="C15" s="96" t="s">
        <v>21</v>
      </c>
      <c r="D15" s="2">
        <v>323115</v>
      </c>
      <c r="E15" s="2" t="s">
        <v>59</v>
      </c>
      <c r="F15" s="11">
        <v>29</v>
      </c>
      <c r="G15" s="2">
        <v>50</v>
      </c>
      <c r="H15" s="3">
        <f t="shared" si="0"/>
        <v>1450</v>
      </c>
      <c r="I15" s="3">
        <f t="shared" si="1"/>
        <v>6.041666666666667</v>
      </c>
      <c r="J15" s="3">
        <f t="shared" si="2"/>
        <v>6.041666666666667</v>
      </c>
      <c r="K15" s="3">
        <f t="shared" si="3"/>
        <v>6.041666666666667</v>
      </c>
      <c r="L15" s="3">
        <f t="shared" si="4"/>
        <v>120.83333333333334</v>
      </c>
      <c r="M15" s="3">
        <f t="shared" si="5"/>
        <v>4.0277777777777777</v>
      </c>
      <c r="N15" s="89">
        <f t="shared" si="6"/>
        <v>96.666666666666657</v>
      </c>
      <c r="O15" s="47">
        <v>5</v>
      </c>
      <c r="P15" s="44">
        <f t="shared" si="7"/>
        <v>6.25</v>
      </c>
      <c r="Q15" s="44">
        <f t="shared" si="8"/>
        <v>25.173611111111111</v>
      </c>
      <c r="R15" s="48">
        <f t="shared" si="9"/>
        <v>302.08333333333331</v>
      </c>
      <c r="S15" s="49">
        <f t="shared" si="10"/>
        <v>604.16666666666663</v>
      </c>
      <c r="U15" s="4"/>
    </row>
    <row r="16" spans="2:26" ht="15.75" x14ac:dyDescent="0.25">
      <c r="B16" s="102">
        <v>13</v>
      </c>
      <c r="C16" s="94" t="s">
        <v>22</v>
      </c>
      <c r="D16" s="2">
        <v>323116</v>
      </c>
      <c r="E16" s="2" t="s">
        <v>59</v>
      </c>
      <c r="F16" s="11">
        <v>24</v>
      </c>
      <c r="G16" s="2">
        <v>50</v>
      </c>
      <c r="H16" s="3">
        <f t="shared" si="0"/>
        <v>1200</v>
      </c>
      <c r="I16" s="3">
        <f t="shared" si="1"/>
        <v>5</v>
      </c>
      <c r="J16" s="3">
        <f t="shared" si="2"/>
        <v>5</v>
      </c>
      <c r="K16" s="3">
        <f t="shared" si="3"/>
        <v>5</v>
      </c>
      <c r="L16" s="3">
        <f t="shared" si="4"/>
        <v>100</v>
      </c>
      <c r="M16" s="3">
        <f t="shared" si="5"/>
        <v>3.3333333333333335</v>
      </c>
      <c r="N16" s="89">
        <f t="shared" si="6"/>
        <v>80</v>
      </c>
      <c r="O16" s="47">
        <v>5</v>
      </c>
      <c r="P16" s="44">
        <f t="shared" si="7"/>
        <v>6.25</v>
      </c>
      <c r="Q16" s="44">
        <f t="shared" si="8"/>
        <v>20.833333333333336</v>
      </c>
      <c r="R16" s="48">
        <f t="shared" si="9"/>
        <v>250.00000000000003</v>
      </c>
      <c r="S16" s="49">
        <f t="shared" si="10"/>
        <v>500.00000000000006</v>
      </c>
      <c r="U16" s="4"/>
      <c r="V16">
        <v>40.97</v>
      </c>
      <c r="W16">
        <v>20.83</v>
      </c>
      <c r="X16">
        <v>13.89</v>
      </c>
      <c r="Y16">
        <v>111.81</v>
      </c>
      <c r="Z16">
        <v>29.86</v>
      </c>
    </row>
    <row r="17" spans="2:26" ht="15.75" x14ac:dyDescent="0.25">
      <c r="B17" s="102">
        <v>14</v>
      </c>
      <c r="C17" s="95" t="s">
        <v>23</v>
      </c>
      <c r="D17" s="2">
        <v>323117</v>
      </c>
      <c r="E17" s="2" t="s">
        <v>59</v>
      </c>
      <c r="F17" s="11">
        <v>13</v>
      </c>
      <c r="G17" s="2">
        <v>50</v>
      </c>
      <c r="H17" s="3">
        <f t="shared" si="0"/>
        <v>650</v>
      </c>
      <c r="I17" s="3">
        <f t="shared" si="1"/>
        <v>2.7083333333333335</v>
      </c>
      <c r="J17" s="3">
        <f t="shared" si="2"/>
        <v>2.7083333333333335</v>
      </c>
      <c r="K17" s="3">
        <f t="shared" si="3"/>
        <v>2.7083333333333335</v>
      </c>
      <c r="L17" s="3">
        <f t="shared" si="4"/>
        <v>54.166666666666671</v>
      </c>
      <c r="M17" s="3">
        <f t="shared" si="5"/>
        <v>1.8055555555555558</v>
      </c>
      <c r="N17" s="89">
        <f t="shared" si="6"/>
        <v>43.333333333333343</v>
      </c>
      <c r="O17" s="47">
        <v>5</v>
      </c>
      <c r="P17" s="44">
        <f t="shared" si="7"/>
        <v>6.25</v>
      </c>
      <c r="Q17" s="44">
        <f t="shared" si="8"/>
        <v>11.284722222222223</v>
      </c>
      <c r="R17" s="48">
        <f t="shared" si="9"/>
        <v>135.41666666666669</v>
      </c>
      <c r="S17" s="49">
        <f t="shared" si="10"/>
        <v>270.83333333333337</v>
      </c>
      <c r="U17" s="4"/>
      <c r="V17">
        <v>10.42</v>
      </c>
      <c r="W17">
        <v>11.81</v>
      </c>
      <c r="X17">
        <v>18.75</v>
      </c>
      <c r="Y17">
        <v>13.89</v>
      </c>
      <c r="Z17">
        <v>9.7200000000000006</v>
      </c>
    </row>
    <row r="18" spans="2:26" ht="15.75" x14ac:dyDescent="0.25">
      <c r="B18" s="102">
        <v>15</v>
      </c>
      <c r="C18" s="94" t="s">
        <v>24</v>
      </c>
      <c r="D18" s="2">
        <v>323118</v>
      </c>
      <c r="E18" s="2" t="s">
        <v>59</v>
      </c>
      <c r="F18" s="11">
        <v>13</v>
      </c>
      <c r="G18" s="2">
        <v>50</v>
      </c>
      <c r="H18" s="3">
        <f t="shared" si="0"/>
        <v>650</v>
      </c>
      <c r="I18" s="3">
        <f t="shared" si="1"/>
        <v>2.7083333333333335</v>
      </c>
      <c r="J18" s="3">
        <f t="shared" si="2"/>
        <v>2.7083333333333335</v>
      </c>
      <c r="K18" s="3">
        <f t="shared" si="3"/>
        <v>2.7083333333333335</v>
      </c>
      <c r="L18" s="3">
        <f t="shared" si="4"/>
        <v>54.166666666666671</v>
      </c>
      <c r="M18" s="3">
        <f t="shared" si="5"/>
        <v>1.8055555555555558</v>
      </c>
      <c r="N18" s="89">
        <f t="shared" si="6"/>
        <v>43.333333333333343</v>
      </c>
      <c r="O18" s="47">
        <v>5</v>
      </c>
      <c r="P18" s="44">
        <f t="shared" si="7"/>
        <v>6.25</v>
      </c>
      <c r="Q18" s="44">
        <f t="shared" si="8"/>
        <v>11.284722222222223</v>
      </c>
      <c r="R18" s="48">
        <f t="shared" si="9"/>
        <v>135.41666666666669</v>
      </c>
      <c r="S18" s="49">
        <f t="shared" si="10"/>
        <v>270.83333333333337</v>
      </c>
      <c r="U18" s="4"/>
      <c r="V18">
        <v>15.97</v>
      </c>
      <c r="W18">
        <v>7.64</v>
      </c>
      <c r="X18">
        <v>6.94</v>
      </c>
      <c r="Y18">
        <v>19.440000000000001</v>
      </c>
      <c r="Z18">
        <v>8.33</v>
      </c>
    </row>
    <row r="19" spans="2:26" ht="15.75" x14ac:dyDescent="0.25">
      <c r="B19" s="102">
        <v>16</v>
      </c>
      <c r="C19" s="94" t="s">
        <v>25</v>
      </c>
      <c r="D19" s="2">
        <v>323119</v>
      </c>
      <c r="E19" s="2" t="s">
        <v>59</v>
      </c>
      <c r="F19" s="11">
        <v>42</v>
      </c>
      <c r="G19" s="2">
        <v>50</v>
      </c>
      <c r="H19" s="3">
        <f t="shared" si="0"/>
        <v>2100</v>
      </c>
      <c r="I19" s="3">
        <f t="shared" si="1"/>
        <v>8.75</v>
      </c>
      <c r="J19" s="3">
        <f t="shared" si="2"/>
        <v>8.75</v>
      </c>
      <c r="K19" s="3">
        <f t="shared" si="3"/>
        <v>8.75</v>
      </c>
      <c r="L19" s="3">
        <f t="shared" si="4"/>
        <v>175</v>
      </c>
      <c r="M19" s="3">
        <f t="shared" si="5"/>
        <v>5.833333333333333</v>
      </c>
      <c r="N19" s="89">
        <f t="shared" si="6"/>
        <v>140</v>
      </c>
      <c r="O19" s="47">
        <v>5</v>
      </c>
      <c r="P19" s="44">
        <f t="shared" si="7"/>
        <v>6.25</v>
      </c>
      <c r="Q19" s="44">
        <f t="shared" si="8"/>
        <v>36.458333333333329</v>
      </c>
      <c r="R19" s="48">
        <f t="shared" si="9"/>
        <v>437.49999999999994</v>
      </c>
      <c r="S19" s="49">
        <f t="shared" si="10"/>
        <v>874.99999999999989</v>
      </c>
      <c r="U19" s="4"/>
      <c r="V19">
        <v>6.67</v>
      </c>
      <c r="W19">
        <v>27.08</v>
      </c>
      <c r="X19" s="1">
        <f>SUM(X16:X18)</f>
        <v>39.58</v>
      </c>
      <c r="Y19">
        <v>20.83</v>
      </c>
      <c r="Z19" s="1">
        <f>SUM(Z16:Z18)</f>
        <v>47.91</v>
      </c>
    </row>
    <row r="20" spans="2:26" ht="15.75" x14ac:dyDescent="0.25">
      <c r="B20" s="102">
        <v>17</v>
      </c>
      <c r="C20" s="94" t="s">
        <v>26</v>
      </c>
      <c r="D20" s="2">
        <v>323120</v>
      </c>
      <c r="E20" s="2" t="s">
        <v>59</v>
      </c>
      <c r="F20" s="11">
        <v>18</v>
      </c>
      <c r="G20" s="2">
        <v>50</v>
      </c>
      <c r="H20" s="3">
        <f t="shared" si="0"/>
        <v>900</v>
      </c>
      <c r="I20" s="3">
        <f t="shared" si="1"/>
        <v>3.75</v>
      </c>
      <c r="J20" s="3">
        <f t="shared" si="2"/>
        <v>3.75</v>
      </c>
      <c r="K20" s="3">
        <f t="shared" si="3"/>
        <v>3.75</v>
      </c>
      <c r="L20" s="3">
        <f t="shared" si="4"/>
        <v>75</v>
      </c>
      <c r="M20" s="3">
        <f t="shared" si="5"/>
        <v>2.5</v>
      </c>
      <c r="N20" s="89">
        <f t="shared" si="6"/>
        <v>60</v>
      </c>
      <c r="O20" s="47">
        <v>5</v>
      </c>
      <c r="P20" s="44">
        <f t="shared" si="7"/>
        <v>6.25</v>
      </c>
      <c r="Q20" s="44">
        <f t="shared" si="8"/>
        <v>15.625</v>
      </c>
      <c r="R20" s="48">
        <f t="shared" si="9"/>
        <v>187.5</v>
      </c>
      <c r="S20" s="49">
        <f t="shared" si="10"/>
        <v>375</v>
      </c>
      <c r="U20" s="4"/>
      <c r="V20">
        <v>7.64</v>
      </c>
      <c r="W20">
        <v>11.81</v>
      </c>
      <c r="Y20" s="1">
        <f>SUM(Y16:Y19)</f>
        <v>165.97000000000003</v>
      </c>
    </row>
    <row r="21" spans="2:26" ht="15.75" x14ac:dyDescent="0.25">
      <c r="B21" s="102">
        <v>18</v>
      </c>
      <c r="C21" s="96" t="s">
        <v>27</v>
      </c>
      <c r="D21" s="2">
        <v>323121</v>
      </c>
      <c r="E21" s="2" t="s">
        <v>59</v>
      </c>
      <c r="F21" s="11">
        <v>19</v>
      </c>
      <c r="G21" s="2">
        <v>50</v>
      </c>
      <c r="H21" s="3">
        <f t="shared" si="0"/>
        <v>950</v>
      </c>
      <c r="I21" s="3">
        <f t="shared" si="1"/>
        <v>3.9583333333333335</v>
      </c>
      <c r="J21" s="3">
        <f t="shared" si="2"/>
        <v>3.9583333333333335</v>
      </c>
      <c r="K21" s="3">
        <f t="shared" si="3"/>
        <v>3.9583333333333335</v>
      </c>
      <c r="L21" s="3">
        <f t="shared" si="4"/>
        <v>79.166666666666671</v>
      </c>
      <c r="M21" s="3">
        <f t="shared" si="5"/>
        <v>2.6388888888888888</v>
      </c>
      <c r="N21" s="89">
        <f t="shared" si="6"/>
        <v>63.333333333333329</v>
      </c>
      <c r="O21" s="47">
        <v>5</v>
      </c>
      <c r="P21" s="44">
        <f t="shared" si="7"/>
        <v>6.25</v>
      </c>
      <c r="Q21" s="44">
        <f t="shared" si="8"/>
        <v>16.493055555555554</v>
      </c>
      <c r="R21" s="48">
        <f t="shared" si="9"/>
        <v>197.91666666666663</v>
      </c>
      <c r="S21" s="49">
        <f t="shared" si="10"/>
        <v>395.83333333333326</v>
      </c>
      <c r="U21" s="4"/>
      <c r="V21">
        <v>6.67</v>
      </c>
      <c r="W21">
        <v>6.67</v>
      </c>
    </row>
    <row r="22" spans="2:26" ht="15.75" x14ac:dyDescent="0.25">
      <c r="B22" s="102">
        <v>19</v>
      </c>
      <c r="C22" s="96" t="s">
        <v>28</v>
      </c>
      <c r="D22" s="2">
        <v>323122</v>
      </c>
      <c r="E22" s="2" t="s">
        <v>59</v>
      </c>
      <c r="F22" s="11">
        <v>15</v>
      </c>
      <c r="G22" s="2">
        <v>50</v>
      </c>
      <c r="H22" s="3">
        <f t="shared" si="0"/>
        <v>750</v>
      </c>
      <c r="I22" s="3">
        <f t="shared" si="1"/>
        <v>3.125</v>
      </c>
      <c r="J22" s="3">
        <f t="shared" si="2"/>
        <v>3.125</v>
      </c>
      <c r="K22" s="3">
        <f t="shared" si="3"/>
        <v>3.125</v>
      </c>
      <c r="L22" s="3">
        <f t="shared" si="4"/>
        <v>62.5</v>
      </c>
      <c r="M22" s="3">
        <f t="shared" si="5"/>
        <v>2.0833333333333335</v>
      </c>
      <c r="N22" s="89">
        <f t="shared" si="6"/>
        <v>50</v>
      </c>
      <c r="O22" s="47">
        <v>5</v>
      </c>
      <c r="P22" s="44">
        <f t="shared" si="7"/>
        <v>6.25</v>
      </c>
      <c r="Q22" s="44">
        <f t="shared" si="8"/>
        <v>13.020833333333334</v>
      </c>
      <c r="R22" s="48">
        <f t="shared" si="9"/>
        <v>156.25</v>
      </c>
      <c r="S22" s="49">
        <f t="shared" si="10"/>
        <v>312.5</v>
      </c>
      <c r="U22" s="4"/>
      <c r="V22" s="1">
        <f>SUM(V16:V21)</f>
        <v>88.34</v>
      </c>
      <c r="W22">
        <v>6.67</v>
      </c>
    </row>
    <row r="23" spans="2:26" ht="15.75" x14ac:dyDescent="0.25">
      <c r="B23" s="102">
        <v>20</v>
      </c>
      <c r="C23" s="94" t="s">
        <v>29</v>
      </c>
      <c r="D23" s="2">
        <v>323123</v>
      </c>
      <c r="E23" s="2" t="s">
        <v>59</v>
      </c>
      <c r="F23" s="11">
        <v>6</v>
      </c>
      <c r="G23" s="2">
        <v>50</v>
      </c>
      <c r="H23" s="3">
        <f t="shared" si="0"/>
        <v>300</v>
      </c>
      <c r="I23" s="3">
        <f t="shared" si="1"/>
        <v>1.25</v>
      </c>
      <c r="J23" s="3">
        <f t="shared" si="2"/>
        <v>1.25</v>
      </c>
      <c r="K23" s="3">
        <f t="shared" si="3"/>
        <v>2</v>
      </c>
      <c r="L23" s="3">
        <f t="shared" si="4"/>
        <v>40</v>
      </c>
      <c r="M23" s="3">
        <f t="shared" si="5"/>
        <v>1.3333333333333333</v>
      </c>
      <c r="N23" s="89">
        <f t="shared" si="6"/>
        <v>32</v>
      </c>
      <c r="O23" s="47">
        <v>5</v>
      </c>
      <c r="P23" s="44">
        <f t="shared" si="7"/>
        <v>6.25</v>
      </c>
      <c r="Q23" s="44">
        <f t="shared" si="8"/>
        <v>8.3333333333333321</v>
      </c>
      <c r="R23" s="48">
        <f t="shared" si="9"/>
        <v>99.999999999999986</v>
      </c>
      <c r="S23" s="49">
        <f t="shared" si="10"/>
        <v>199.99999999999997</v>
      </c>
      <c r="U23" s="4"/>
      <c r="W23">
        <v>6.67</v>
      </c>
    </row>
    <row r="24" spans="2:26" ht="15.75" x14ac:dyDescent="0.25">
      <c r="B24" s="102">
        <v>21</v>
      </c>
      <c r="C24" s="96" t="s">
        <v>30</v>
      </c>
      <c r="D24" s="2">
        <v>323124</v>
      </c>
      <c r="E24" s="2" t="s">
        <v>59</v>
      </c>
      <c r="F24" s="11">
        <v>17</v>
      </c>
      <c r="G24" s="2">
        <v>50</v>
      </c>
      <c r="H24" s="3">
        <f t="shared" si="0"/>
        <v>850</v>
      </c>
      <c r="I24" s="3">
        <f t="shared" si="1"/>
        <v>3.5416666666666665</v>
      </c>
      <c r="J24" s="3">
        <f t="shared" si="2"/>
        <v>3.5416666666666665</v>
      </c>
      <c r="K24" s="3">
        <f t="shared" si="3"/>
        <v>3.5416666666666665</v>
      </c>
      <c r="L24" s="3">
        <f t="shared" si="4"/>
        <v>70.833333333333329</v>
      </c>
      <c r="M24" s="3">
        <f t="shared" si="5"/>
        <v>2.3611111111111112</v>
      </c>
      <c r="N24" s="89">
        <f t="shared" si="6"/>
        <v>56.666666666666671</v>
      </c>
      <c r="O24" s="47">
        <v>5</v>
      </c>
      <c r="P24" s="44">
        <f t="shared" si="7"/>
        <v>6.25</v>
      </c>
      <c r="Q24" s="44">
        <f t="shared" si="8"/>
        <v>14.756944444444445</v>
      </c>
      <c r="R24" s="48">
        <f t="shared" si="9"/>
        <v>177.08333333333334</v>
      </c>
      <c r="S24" s="49">
        <f t="shared" si="10"/>
        <v>354.16666666666669</v>
      </c>
      <c r="U24" s="4"/>
      <c r="W24" s="1">
        <v>6.67</v>
      </c>
    </row>
    <row r="25" spans="2:26" ht="15.75" x14ac:dyDescent="0.25">
      <c r="B25" s="102">
        <v>22</v>
      </c>
      <c r="C25" s="94" t="s">
        <v>31</v>
      </c>
      <c r="D25" s="2">
        <v>323125</v>
      </c>
      <c r="E25" s="2" t="s">
        <v>59</v>
      </c>
      <c r="F25" s="11">
        <v>13</v>
      </c>
      <c r="G25" s="2">
        <v>50</v>
      </c>
      <c r="H25" s="3">
        <f t="shared" si="0"/>
        <v>650</v>
      </c>
      <c r="I25" s="3">
        <f t="shared" si="1"/>
        <v>2.7083333333333335</v>
      </c>
      <c r="J25" s="3">
        <f t="shared" si="2"/>
        <v>2.7083333333333335</v>
      </c>
      <c r="K25" s="3">
        <f t="shared" si="3"/>
        <v>2.7083333333333335</v>
      </c>
      <c r="L25" s="3">
        <f t="shared" si="4"/>
        <v>54.166666666666671</v>
      </c>
      <c r="M25" s="3">
        <f t="shared" si="5"/>
        <v>1.8055555555555558</v>
      </c>
      <c r="N25" s="89">
        <f t="shared" si="6"/>
        <v>43.333333333333343</v>
      </c>
      <c r="O25" s="47">
        <v>5</v>
      </c>
      <c r="P25" s="44">
        <f t="shared" si="7"/>
        <v>6.25</v>
      </c>
      <c r="Q25" s="44">
        <f t="shared" si="8"/>
        <v>11.284722222222223</v>
      </c>
      <c r="R25" s="48">
        <f t="shared" si="9"/>
        <v>135.41666666666669</v>
      </c>
      <c r="S25" s="49">
        <f t="shared" si="10"/>
        <v>270.83333333333337</v>
      </c>
      <c r="U25" s="4"/>
      <c r="W25" s="1">
        <f>SUM(W16:W24)</f>
        <v>105.85000000000001</v>
      </c>
    </row>
    <row r="26" spans="2:26" ht="15.75" x14ac:dyDescent="0.25">
      <c r="B26" s="102">
        <v>23</v>
      </c>
      <c r="C26" s="94" t="s">
        <v>32</v>
      </c>
      <c r="D26" s="2">
        <v>323126</v>
      </c>
      <c r="E26" s="2" t="s">
        <v>59</v>
      </c>
      <c r="F26" s="11">
        <v>10</v>
      </c>
      <c r="G26" s="2">
        <v>50</v>
      </c>
      <c r="H26" s="3">
        <f t="shared" si="0"/>
        <v>500</v>
      </c>
      <c r="I26" s="3">
        <f t="shared" si="1"/>
        <v>2.0833333333333335</v>
      </c>
      <c r="J26" s="3">
        <f t="shared" si="2"/>
        <v>2.0833333333333335</v>
      </c>
      <c r="K26" s="3">
        <f t="shared" si="3"/>
        <v>2.0833333333333335</v>
      </c>
      <c r="L26" s="3">
        <f t="shared" si="4"/>
        <v>41.666666666666671</v>
      </c>
      <c r="M26" s="3">
        <f t="shared" si="5"/>
        <v>1.3888888888888891</v>
      </c>
      <c r="N26" s="89">
        <f t="shared" si="6"/>
        <v>33.333333333333336</v>
      </c>
      <c r="O26" s="47">
        <v>5</v>
      </c>
      <c r="P26" s="44">
        <f t="shared" si="7"/>
        <v>6.25</v>
      </c>
      <c r="Q26" s="44">
        <f t="shared" si="8"/>
        <v>8.6805555555555571</v>
      </c>
      <c r="R26" s="48">
        <f t="shared" si="9"/>
        <v>104.16666666666669</v>
      </c>
      <c r="S26" s="49">
        <f t="shared" si="10"/>
        <v>208.33333333333337</v>
      </c>
      <c r="U26" s="4"/>
    </row>
    <row r="27" spans="2:26" ht="15.75" x14ac:dyDescent="0.25">
      <c r="B27" s="102">
        <v>24</v>
      </c>
      <c r="C27" s="96" t="s">
        <v>33</v>
      </c>
      <c r="D27" s="2">
        <v>323127</v>
      </c>
      <c r="E27" s="2" t="s">
        <v>59</v>
      </c>
      <c r="F27" s="11">
        <v>11</v>
      </c>
      <c r="G27" s="2">
        <v>50</v>
      </c>
      <c r="H27" s="3">
        <f t="shared" si="0"/>
        <v>550</v>
      </c>
      <c r="I27" s="3">
        <f t="shared" si="1"/>
        <v>2.2916666666666665</v>
      </c>
      <c r="J27" s="3">
        <f t="shared" si="2"/>
        <v>2.2916666666666665</v>
      </c>
      <c r="K27" s="3">
        <f t="shared" si="3"/>
        <v>2.2916666666666665</v>
      </c>
      <c r="L27" s="3">
        <f t="shared" si="4"/>
        <v>45.833333333333329</v>
      </c>
      <c r="M27" s="3">
        <f t="shared" si="5"/>
        <v>1.5277777777777777</v>
      </c>
      <c r="N27" s="89">
        <f t="shared" si="6"/>
        <v>36.666666666666664</v>
      </c>
      <c r="O27" s="47">
        <v>5</v>
      </c>
      <c r="P27" s="44">
        <f t="shared" si="7"/>
        <v>6.25</v>
      </c>
      <c r="Q27" s="44">
        <f t="shared" si="8"/>
        <v>9.5486111111111107</v>
      </c>
      <c r="R27" s="48">
        <f t="shared" si="9"/>
        <v>114.58333333333333</v>
      </c>
      <c r="S27" s="49">
        <f t="shared" si="10"/>
        <v>229.16666666666666</v>
      </c>
      <c r="U27" s="4"/>
    </row>
    <row r="28" spans="2:26" ht="16.5" thickBot="1" x14ac:dyDescent="0.3">
      <c r="B28" s="103">
        <v>25</v>
      </c>
      <c r="C28" s="99" t="s">
        <v>34</v>
      </c>
      <c r="D28" s="10">
        <v>323128</v>
      </c>
      <c r="E28" s="10" t="s">
        <v>59</v>
      </c>
      <c r="F28" s="14">
        <v>7</v>
      </c>
      <c r="G28" s="10">
        <v>50</v>
      </c>
      <c r="H28" s="43">
        <f t="shared" si="0"/>
        <v>350</v>
      </c>
      <c r="I28" s="43">
        <f t="shared" si="1"/>
        <v>1.4583333333333333</v>
      </c>
      <c r="J28" s="43">
        <f t="shared" si="2"/>
        <v>1.4583333333333333</v>
      </c>
      <c r="K28" s="43">
        <f t="shared" si="3"/>
        <v>2</v>
      </c>
      <c r="L28" s="43">
        <f t="shared" si="4"/>
        <v>40</v>
      </c>
      <c r="M28" s="43">
        <f t="shared" si="5"/>
        <v>1.3333333333333333</v>
      </c>
      <c r="N28" s="89">
        <f t="shared" si="6"/>
        <v>32</v>
      </c>
      <c r="O28" s="50">
        <v>5</v>
      </c>
      <c r="P28" s="44">
        <f t="shared" si="7"/>
        <v>6.25</v>
      </c>
      <c r="Q28" s="44">
        <f t="shared" si="8"/>
        <v>8.3333333333333321</v>
      </c>
      <c r="R28" s="51">
        <f t="shared" si="9"/>
        <v>99.999999999999986</v>
      </c>
      <c r="S28" s="52">
        <f t="shared" si="10"/>
        <v>199.99999999999997</v>
      </c>
      <c r="U28" s="4"/>
    </row>
    <row r="29" spans="2:26" ht="16.5" thickBot="1" x14ac:dyDescent="0.3">
      <c r="B29" s="53" t="s">
        <v>35</v>
      </c>
      <c r="C29" s="53"/>
      <c r="D29" s="53"/>
      <c r="E29" s="53"/>
      <c r="F29" s="54">
        <f>SUM(F4:F28)</f>
        <v>587</v>
      </c>
      <c r="G29" s="55"/>
      <c r="H29" s="55"/>
      <c r="I29" s="55"/>
      <c r="J29" s="55"/>
      <c r="K29" s="55"/>
      <c r="L29" s="55"/>
      <c r="M29" s="56">
        <f>SUM(M4:M28)</f>
        <v>82.472222222222214</v>
      </c>
      <c r="N29" s="56"/>
      <c r="O29" s="57" t="s">
        <v>36</v>
      </c>
      <c r="P29" s="57"/>
      <c r="Q29" s="57">
        <f>SUM(Q4:Q28)</f>
        <v>515.4513888888888</v>
      </c>
      <c r="R29" s="57">
        <f>SUM(R4:R28)</f>
        <v>6185.4166666666679</v>
      </c>
      <c r="S29" s="58">
        <f t="shared" si="10"/>
        <v>12370.833333333336</v>
      </c>
      <c r="U29" s="4"/>
    </row>
    <row r="31" spans="2:26" x14ac:dyDescent="0.25">
      <c r="E31" s="75"/>
      <c r="F31" s="76"/>
      <c r="L31" s="75" t="s">
        <v>40</v>
      </c>
      <c r="M31" s="76">
        <f>SUM(M8+M15+M21+M22+M24+M27)</f>
        <v>19.444444444444446</v>
      </c>
      <c r="N31" s="76"/>
      <c r="O31">
        <f>M31*24</f>
        <v>466.66666666666674</v>
      </c>
      <c r="Q31" s="76">
        <f>SUM(Q8+Q15+Q21+Q22+Q24+Q27)</f>
        <v>121.52777777777779</v>
      </c>
      <c r="R31">
        <f>Q31*12</f>
        <v>1458.3333333333335</v>
      </c>
    </row>
    <row r="32" spans="2:26" x14ac:dyDescent="0.25">
      <c r="E32" s="77"/>
      <c r="F32" s="77"/>
      <c r="L32" s="77" t="s">
        <v>41</v>
      </c>
      <c r="M32" s="77">
        <f>SUM(M5+M16+M18+M19+M20+M23+M25+M26+M28)</f>
        <v>25.444444444444443</v>
      </c>
      <c r="N32" s="77"/>
      <c r="O32">
        <f t="shared" ref="O32:O35" si="11">M32*24</f>
        <v>610.66666666666663</v>
      </c>
      <c r="Q32" s="77">
        <f>SUM(Q5+Q16+Q18+Q19+Q20+Q23+Q25+Q26+Q28)</f>
        <v>159.0277777777778</v>
      </c>
      <c r="R32">
        <f>Q32*12</f>
        <v>1908.3333333333335</v>
      </c>
    </row>
    <row r="33" spans="5:18" x14ac:dyDescent="0.25">
      <c r="E33" s="78"/>
      <c r="F33" s="78"/>
      <c r="L33" s="78" t="s">
        <v>42</v>
      </c>
      <c r="M33" s="78">
        <f>SUM(M6+M7+M17)</f>
        <v>7.9166666666666679</v>
      </c>
      <c r="N33" s="78"/>
      <c r="O33">
        <f t="shared" si="11"/>
        <v>190.00000000000003</v>
      </c>
      <c r="Q33" s="78">
        <f>SUM(Q6+Q7+Q17)</f>
        <v>49.479166666666671</v>
      </c>
      <c r="R33">
        <f t="shared" ref="R33:R35" si="12">Q33*12</f>
        <v>593.75</v>
      </c>
    </row>
    <row r="34" spans="5:18" x14ac:dyDescent="0.25">
      <c r="E34" s="79"/>
      <c r="F34" s="80"/>
      <c r="L34" s="79" t="s">
        <v>43</v>
      </c>
      <c r="M34" s="80">
        <f>SUM(M4+M10+M11+M13)</f>
        <v>21.666666666666668</v>
      </c>
      <c r="N34" s="80"/>
      <c r="O34">
        <f t="shared" si="11"/>
        <v>520</v>
      </c>
      <c r="Q34" s="80">
        <f>SUM(Q4+Q10+Q11+Q13)</f>
        <v>135.41666666666666</v>
      </c>
      <c r="R34">
        <f t="shared" si="12"/>
        <v>1625</v>
      </c>
    </row>
    <row r="35" spans="5:18" x14ac:dyDescent="0.25">
      <c r="E35" s="5"/>
      <c r="F35" s="81"/>
      <c r="L35" s="5" t="s">
        <v>44</v>
      </c>
      <c r="M35" s="81">
        <f>SUM(M9+M12+M14)</f>
        <v>8</v>
      </c>
      <c r="N35" s="81"/>
      <c r="O35">
        <f t="shared" si="11"/>
        <v>192</v>
      </c>
      <c r="Q35" s="81">
        <f>SUM(Q9+Q12+Q14)</f>
        <v>50</v>
      </c>
      <c r="R35">
        <f t="shared" si="12"/>
        <v>600</v>
      </c>
    </row>
    <row r="36" spans="5:18" x14ac:dyDescent="0.25">
      <c r="E36" s="82"/>
      <c r="F36" s="82"/>
      <c r="L36" s="82" t="s">
        <v>63</v>
      </c>
      <c r="M36" s="82">
        <f>SUM(M31+M32+M33+M34+M35)</f>
        <v>82.472222222222229</v>
      </c>
      <c r="N36" s="82"/>
      <c r="O36">
        <f>SUM(O31:O35)</f>
        <v>1979.3333333333335</v>
      </c>
      <c r="Q36" s="82">
        <f>SUM(Q31+Q32+Q33+Q34+Q35)</f>
        <v>515.45138888888891</v>
      </c>
      <c r="R36">
        <f>SUM(R31:R35)</f>
        <v>6185.416666666667</v>
      </c>
    </row>
  </sheetData>
  <autoFilter ref="C1:C36" xr:uid="{9DDEAC45-FE60-4BEB-BDCD-A48FD127632B}"/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e9016c-abf9-4578-ad08-31348c4d38a2">
      <Terms xmlns="http://schemas.microsoft.com/office/infopath/2007/PartnerControls"/>
    </lcf76f155ced4ddcb4097134ff3c332f>
    <TaxCatchAll xmlns="f664ba59-bd10-42fd-aad1-7c4cb888b9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AE241EBEF1C847BD7D9E9773DC3D81" ma:contentTypeVersion="14" ma:contentTypeDescription="Crie um novo documento." ma:contentTypeScope="" ma:versionID="39fe65efd570b9989295a665b0342de6">
  <xsd:schema xmlns:xsd="http://www.w3.org/2001/XMLSchema" xmlns:xs="http://www.w3.org/2001/XMLSchema" xmlns:p="http://schemas.microsoft.com/office/2006/metadata/properties" xmlns:ns2="f664ba59-bd10-42fd-aad1-7c4cb888b93d" xmlns:ns3="8be9016c-abf9-4578-ad08-31348c4d38a2" targetNamespace="http://schemas.microsoft.com/office/2006/metadata/properties" ma:root="true" ma:fieldsID="5f3f0e6dc2b06aebcc48f212a29adb31" ns2:_="" ns3:_="">
    <xsd:import namespace="f664ba59-bd10-42fd-aad1-7c4cb888b93d"/>
    <xsd:import namespace="8be9016c-abf9-4578-ad08-31348c4d38a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4ba59-bd10-42fd-aad1-7c4cb888b9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7a2b49f-3c64-4bd4-aa57-caa87dfc3ca1}" ma:internalName="TaxCatchAll" ma:showField="CatchAllData" ma:web="f664ba59-bd10-42fd-aad1-7c4cb888b9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e9016c-abf9-4578-ad08-31348c4d38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054c73c-16f2-45fe-b7f4-a1768d2091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FF4050-4F73-44E4-B86A-22616CCBE3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53B96E-AF44-410E-8EC2-B4496723FB6C}">
  <ds:schemaRefs>
    <ds:schemaRef ds:uri="http://schemas.microsoft.com/office/2006/metadata/properties"/>
    <ds:schemaRef ds:uri="http://schemas.microsoft.com/office/infopath/2007/PartnerControls"/>
    <ds:schemaRef ds:uri="8be9016c-abf9-4578-ad08-31348c4d38a2"/>
    <ds:schemaRef ds:uri="f664ba59-bd10-42fd-aad1-7c4cb888b93d"/>
  </ds:schemaRefs>
</ds:datastoreItem>
</file>

<file path=customXml/itemProps3.xml><?xml version="1.0" encoding="utf-8"?>
<ds:datastoreItem xmlns:ds="http://schemas.openxmlformats.org/officeDocument/2006/customXml" ds:itemID="{9983518B-788D-4174-8617-6495FA0F3A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4ba59-bd10-42fd-aad1-7c4cb888b93d"/>
    <ds:schemaRef ds:uri="8be9016c-abf9-4578-ad08-31348c4d38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CAFÉ</vt:lpstr>
      <vt:lpstr>AÇÚCAR</vt:lpstr>
      <vt:lpstr>ADOÇANTE</vt:lpstr>
      <vt:lpstr>COADOR DESCARTÁVEL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Iago Pereira dos Santos</dc:creator>
  <cp:keywords/>
  <dc:description/>
  <cp:lastModifiedBy>José Iago Pereira dos Santos</cp:lastModifiedBy>
  <cp:revision/>
  <cp:lastPrinted>2024-07-17T19:10:35Z</cp:lastPrinted>
  <dcterms:created xsi:type="dcterms:W3CDTF">2023-07-06T01:38:02Z</dcterms:created>
  <dcterms:modified xsi:type="dcterms:W3CDTF">2024-11-14T17:03:24Z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0x01010074AE241EBEF1C847BD7D9E9773DC3D81</vt:lpwstr>
  </property>
  <property fmtid="{D5CDD505-2E9C-101B-9397-08002B2CF9AE}" pid="3" name="MediaServiceImageTags">
    <vt:lpwstr/>
  </property>
</Properties>
</file>