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3-Limpeza/AM-GO-RR-SC - 48051.0029172023-74/SC/"/>
    </mc:Choice>
  </mc:AlternateContent>
  <xr:revisionPtr revIDLastSave="503" documentId="8_{58DE67AE-7ABC-4809-9EA3-1D5AA2B43A4C}" xr6:coauthVersionLast="47" xr6:coauthVersionMax="47" xr10:uidLastSave="{0ADA034A-20FB-401A-89DC-BEFDCA351594}"/>
  <bookViews>
    <workbookView xWindow="28680" yWindow="-120" windowWidth="29040" windowHeight="15840" tabRatio="924" firstSheet="1" activeTab="1" xr2:uid="{00000000-000D-0000-FFFF-FFFF00000000}"/>
  </bookViews>
  <sheets>
    <sheet name="Mód2.2" sheetId="9" state="hidden" r:id="rId1"/>
    <sheet name="Resumo" sheetId="18" r:id="rId2"/>
    <sheet name="Servente-Florianópolis" sheetId="4" r:id="rId3"/>
    <sheet name="Servente-Criciuma" sheetId="17" r:id="rId4"/>
    <sheet name="Mód2.3 " sheetId="12" r:id="rId5"/>
    <sheet name="Observações" sheetId="21" r:id="rId6"/>
    <sheet name="Uniform&amp;EPIs " sheetId="11" r:id="rId7"/>
    <sheet name="Materiais Florianópolis" sheetId="14" r:id="rId8"/>
    <sheet name="Eqp Florianópolis" sheetId="15" r:id="rId9"/>
    <sheet name="Mód3" sheetId="8" state="hidden" r:id="rId10"/>
    <sheet name="Mód6" sheetId="6" state="hidden" r:id="rId11"/>
    <sheet name="Mód4" sheetId="10" state="hidden" r:id="rId12"/>
    <sheet name="Materiais Criciuma" sheetId="19" r:id="rId13"/>
    <sheet name="Eqp Criciuma" sheetId="20" r:id="rId14"/>
    <sheet name="FatorK" sheetId="7" r:id="rId15"/>
    <sheet name="MemóriaCálculo" sheetId="16" r:id="rId1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2" i="20" l="1"/>
  <c r="L12" i="20" s="1"/>
  <c r="K11" i="20"/>
  <c r="L11" i="20" s="1"/>
  <c r="K56" i="19"/>
  <c r="L56" i="19" s="1"/>
  <c r="K55" i="19"/>
  <c r="L55" i="19" s="1"/>
  <c r="K54" i="19"/>
  <c r="L54" i="19" s="1"/>
  <c r="K53" i="19"/>
  <c r="L53" i="19" s="1"/>
  <c r="K52" i="19"/>
  <c r="L52" i="19" s="1"/>
  <c r="K51" i="19"/>
  <c r="L51" i="19" s="1"/>
  <c r="K50" i="19"/>
  <c r="L50" i="19" s="1"/>
  <c r="K49" i="19"/>
  <c r="L49" i="19" s="1"/>
  <c r="K48" i="19"/>
  <c r="L48" i="19" s="1"/>
  <c r="K47" i="19"/>
  <c r="L47" i="19" s="1"/>
  <c r="K46" i="19"/>
  <c r="L46" i="19" s="1"/>
  <c r="K45" i="19"/>
  <c r="L45" i="19" s="1"/>
  <c r="K44" i="19"/>
  <c r="L44" i="19" s="1"/>
  <c r="K32" i="19"/>
  <c r="L32" i="19" s="1"/>
  <c r="K31" i="19"/>
  <c r="L31" i="19" s="1"/>
  <c r="K30" i="19"/>
  <c r="L30" i="19" s="1"/>
  <c r="K29" i="19"/>
  <c r="L29" i="19" s="1"/>
  <c r="L28" i="19"/>
  <c r="K28" i="19"/>
  <c r="K27" i="19"/>
  <c r="L27" i="19" s="1"/>
  <c r="K26" i="19"/>
  <c r="L26" i="19" s="1"/>
  <c r="K25" i="19"/>
  <c r="L25" i="19" s="1"/>
  <c r="K24" i="19"/>
  <c r="L24" i="19" s="1"/>
  <c r="L23" i="19"/>
  <c r="K23" i="19"/>
  <c r="K22" i="19"/>
  <c r="L22" i="19" s="1"/>
  <c r="K21" i="19"/>
  <c r="L21" i="19" s="1"/>
  <c r="K20" i="19"/>
  <c r="L20" i="19" s="1"/>
  <c r="L19" i="19"/>
  <c r="K19" i="19"/>
  <c r="K18" i="19"/>
  <c r="L18" i="19" s="1"/>
  <c r="K17" i="19"/>
  <c r="L17" i="19" s="1"/>
  <c r="K16" i="19"/>
  <c r="L16" i="19" s="1"/>
  <c r="K15" i="19"/>
  <c r="L15" i="19" s="1"/>
  <c r="K14" i="19"/>
  <c r="L14" i="19" s="1"/>
  <c r="K13" i="19"/>
  <c r="L13" i="19" s="1"/>
  <c r="L12" i="19"/>
  <c r="K12" i="19"/>
  <c r="K11" i="19"/>
  <c r="L11" i="19" s="1"/>
  <c r="K12" i="15"/>
  <c r="L12" i="15" s="1"/>
  <c r="K11" i="15"/>
  <c r="L11" i="15" s="1"/>
  <c r="K68" i="14"/>
  <c r="L68" i="14" s="1"/>
  <c r="K67" i="14"/>
  <c r="L67" i="14" s="1"/>
  <c r="K66" i="14"/>
  <c r="L66" i="14" s="1"/>
  <c r="K65" i="14"/>
  <c r="L65" i="14" s="1"/>
  <c r="L64" i="14"/>
  <c r="K64" i="14"/>
  <c r="K63" i="14"/>
  <c r="L63" i="14" s="1"/>
  <c r="K62" i="14"/>
  <c r="L62" i="14" s="1"/>
  <c r="K61" i="14"/>
  <c r="L61" i="14" s="1"/>
  <c r="L60" i="14"/>
  <c r="K60" i="14"/>
  <c r="K59" i="14"/>
  <c r="L59" i="14" s="1"/>
  <c r="K58" i="14"/>
  <c r="L58" i="14" s="1"/>
  <c r="K57" i="14"/>
  <c r="L57" i="14" s="1"/>
  <c r="L56" i="14"/>
  <c r="K56" i="14"/>
  <c r="K32" i="14"/>
  <c r="L32" i="14" s="1"/>
  <c r="L31" i="14"/>
  <c r="K31" i="14"/>
  <c r="K30" i="14"/>
  <c r="L30" i="14" s="1"/>
  <c r="K29" i="14"/>
  <c r="L29" i="14" s="1"/>
  <c r="K28" i="14"/>
  <c r="L28" i="14" s="1"/>
  <c r="L27" i="14"/>
  <c r="K27" i="14"/>
  <c r="K26" i="14"/>
  <c r="L26" i="14" s="1"/>
  <c r="K25" i="14"/>
  <c r="L25" i="14" s="1"/>
  <c r="K24" i="14"/>
  <c r="L24" i="14" s="1"/>
  <c r="L23" i="14"/>
  <c r="K23" i="14"/>
  <c r="K22" i="14"/>
  <c r="L22" i="14" s="1"/>
  <c r="K21" i="14"/>
  <c r="L21" i="14" s="1"/>
  <c r="K20" i="14"/>
  <c r="L20" i="14" s="1"/>
  <c r="L19" i="14"/>
  <c r="K19" i="14"/>
  <c r="K18" i="14"/>
  <c r="L18" i="14" s="1"/>
  <c r="K17" i="14"/>
  <c r="L17" i="14" s="1"/>
  <c r="K16" i="14"/>
  <c r="L16" i="14" s="1"/>
  <c r="K15" i="14"/>
  <c r="L15" i="14" s="1"/>
  <c r="K14" i="14"/>
  <c r="L14" i="14" s="1"/>
  <c r="K13" i="14"/>
  <c r="L13" i="14" s="1"/>
  <c r="K12" i="14"/>
  <c r="L12" i="14" s="1"/>
  <c r="L11" i="14"/>
  <c r="K11" i="14"/>
  <c r="K10" i="12" l="1"/>
  <c r="L18" i="11"/>
  <c r="K18" i="11"/>
  <c r="K17" i="11"/>
  <c r="L17" i="11" s="1"/>
  <c r="L16" i="11"/>
  <c r="K16" i="11"/>
  <c r="K15" i="11"/>
  <c r="L15" i="11" s="1"/>
  <c r="L14" i="11"/>
  <c r="K14" i="11"/>
  <c r="K13" i="11"/>
  <c r="L13" i="11" s="1"/>
  <c r="L12" i="11"/>
  <c r="K12" i="11"/>
  <c r="K11" i="11"/>
  <c r="L11" i="11" s="1"/>
  <c r="H223" i="17"/>
  <c r="D7" i="18"/>
  <c r="H223" i="4"/>
  <c r="G6" i="18" s="1"/>
  <c r="G7" i="18" l="1"/>
  <c r="I7" i="18" s="1"/>
  <c r="D13" i="18"/>
  <c r="G229" i="17"/>
  <c r="I228" i="17"/>
  <c r="I227" i="17"/>
  <c r="H226" i="17"/>
  <c r="H225" i="17"/>
  <c r="H224" i="17"/>
  <c r="D6" i="18"/>
  <c r="K25" i="20" l="1"/>
  <c r="K61" i="19"/>
  <c r="H229" i="17"/>
  <c r="H224" i="4" l="1"/>
  <c r="H225" i="4"/>
  <c r="H226" i="4"/>
  <c r="I227" i="4"/>
  <c r="I228" i="4"/>
  <c r="H229" i="4" l="1"/>
  <c r="G229" i="4"/>
  <c r="E59" i="12"/>
  <c r="E60" i="12" s="1"/>
  <c r="I89" i="17" s="1"/>
  <c r="K9" i="12"/>
  <c r="D12" i="18"/>
  <c r="K12" i="12" l="1"/>
  <c r="I84" i="17" s="1"/>
  <c r="K35" i="19" l="1"/>
  <c r="K23" i="20"/>
  <c r="I144" i="17" s="1" a="1"/>
  <c r="I144" i="17" s="1"/>
  <c r="K59" i="19"/>
  <c r="K37" i="19" l="1"/>
  <c r="K64" i="19" s="1"/>
  <c r="K65" i="19"/>
  <c r="K66" i="19" l="1"/>
  <c r="I143" i="17" s="1" a="1"/>
  <c r="I143" i="17" s="1"/>
  <c r="I6" i="18"/>
  <c r="K26" i="15" s="1"/>
  <c r="G13" i="18"/>
  <c r="H13" i="18" s="1"/>
  <c r="I8" i="18" l="1"/>
  <c r="H12" i="18"/>
  <c r="H14" i="18" l="1"/>
  <c r="B171" i="17" l="1"/>
  <c r="B169" i="17"/>
  <c r="B168" i="17"/>
  <c r="B167" i="17"/>
  <c r="B166" i="17"/>
  <c r="B165" i="17"/>
  <c r="H158" i="17"/>
  <c r="I132" i="17"/>
  <c r="I137" i="17" s="1"/>
  <c r="H132" i="17"/>
  <c r="H107" i="17"/>
  <c r="H75" i="17"/>
  <c r="H127" i="17" s="1"/>
  <c r="H52" i="17"/>
  <c r="H54" i="17" s="1"/>
  <c r="I39" i="17"/>
  <c r="I41" i="17" s="1"/>
  <c r="I28" i="17"/>
  <c r="H110" i="17" l="1"/>
  <c r="I40" i="17"/>
  <c r="I45" i="17" s="1"/>
  <c r="H55" i="17"/>
  <c r="H56" i="17" s="1"/>
  <c r="I125" i="17" l="1"/>
  <c r="I69" i="17"/>
  <c r="I124" i="17"/>
  <c r="I109" i="17"/>
  <c r="I110" i="17" s="1"/>
  <c r="I68" i="17"/>
  <c r="I53" i="17"/>
  <c r="I121" i="17"/>
  <c r="I165" i="17"/>
  <c r="I123" i="17"/>
  <c r="I108" i="17"/>
  <c r="I67" i="17"/>
  <c r="I52" i="17"/>
  <c r="I122" i="17"/>
  <c r="I74" i="17"/>
  <c r="I73" i="17"/>
  <c r="I106" i="17"/>
  <c r="I72" i="17"/>
  <c r="I55" i="17"/>
  <c r="I111" i="17"/>
  <c r="I71" i="17"/>
  <c r="I70" i="17"/>
  <c r="I126" i="17" l="1"/>
  <c r="I107" i="17"/>
  <c r="I112" i="17" s="1"/>
  <c r="I167" i="17" s="1"/>
  <c r="I54" i="17"/>
  <c r="I56" i="17" s="1"/>
  <c r="I99" i="17" s="1"/>
  <c r="I75" i="17"/>
  <c r="I100" i="17" s="1"/>
  <c r="I127" i="17" l="1"/>
  <c r="I128" i="17" s="1"/>
  <c r="I136" i="17" s="1"/>
  <c r="I138" i="17" s="1"/>
  <c r="I168" i="17" s="1"/>
  <c r="I75" i="16" l="1"/>
  <c r="I74" i="16"/>
  <c r="I73" i="16"/>
  <c r="I72" i="16"/>
  <c r="I71" i="16"/>
  <c r="I21" i="16"/>
  <c r="I23" i="16" s="1"/>
  <c r="I25" i="16" s="1"/>
  <c r="K47" i="14" l="1"/>
  <c r="K49" i="14" s="1"/>
  <c r="K21" i="11"/>
  <c r="K23" i="11" s="1"/>
  <c r="K26" i="11" s="1"/>
  <c r="I76" i="16"/>
  <c r="I77" i="16" s="1"/>
  <c r="I78" i="16" s="1"/>
  <c r="K76" i="14"/>
  <c r="K78" i="14" s="1"/>
  <c r="K24" i="15"/>
  <c r="I142" i="4" l="1"/>
  <c r="I142" i="17"/>
  <c r="I144" i="4"/>
  <c r="K82" i="14"/>
  <c r="K81" i="14"/>
  <c r="I19" i="10"/>
  <c r="I25" i="10"/>
  <c r="I23" i="10"/>
  <c r="I21" i="10"/>
  <c r="I17" i="10"/>
  <c r="H107" i="4"/>
  <c r="K83" i="14" l="1"/>
  <c r="I143" i="4" s="1"/>
  <c r="J27" i="10"/>
  <c r="P31" i="10"/>
  <c r="I146" i="17" l="1"/>
  <c r="E9" i="12"/>
  <c r="I169" i="17" l="1"/>
  <c r="H132" i="4"/>
  <c r="I132" i="4"/>
  <c r="I137" i="4" s="1"/>
  <c r="H158" i="4" l="1"/>
  <c r="H1" i="6" l="1"/>
  <c r="E13" i="8"/>
  <c r="E12" i="8"/>
  <c r="I89" i="4"/>
  <c r="E21" i="12"/>
  <c r="H75" i="4"/>
  <c r="H110" i="4" l="1"/>
  <c r="H127" i="4"/>
  <c r="P39" i="8"/>
  <c r="C26" i="8"/>
  <c r="G26" i="8"/>
  <c r="G39" i="8"/>
  <c r="E23" i="12"/>
  <c r="E25" i="12" s="1"/>
  <c r="I85" i="17" s="1"/>
  <c r="I146" i="4" l="1"/>
  <c r="J91" i="8"/>
  <c r="G25" i="8"/>
  <c r="G51" i="8"/>
  <c r="C51" i="8"/>
  <c r="C25" i="8"/>
  <c r="B89" i="8"/>
  <c r="G76" i="8"/>
  <c r="B88" i="8"/>
  <c r="B87" i="8"/>
  <c r="B86" i="8"/>
  <c r="B85" i="8"/>
  <c r="P65" i="8"/>
  <c r="E42" i="12"/>
  <c r="I85" i="4"/>
  <c r="C17" i="9"/>
  <c r="C16" i="9"/>
  <c r="H52" i="4"/>
  <c r="H54" i="4" s="1"/>
  <c r="I87" i="4" l="1"/>
  <c r="I87" i="17"/>
  <c r="H55" i="4"/>
  <c r="H56" i="4" s="1"/>
  <c r="G52" i="8"/>
  <c r="G65" i="8" l="1"/>
  <c r="C52" i="8"/>
  <c r="I169" i="4" l="1"/>
  <c r="G63" i="8"/>
  <c r="G37" i="8"/>
  <c r="H9" i="9"/>
  <c r="C9" i="9"/>
  <c r="F19" i="9" l="1"/>
  <c r="I39" i="4"/>
  <c r="E10" i="12" s="1"/>
  <c r="E12" i="12" s="1"/>
  <c r="I28" i="4"/>
  <c r="I84" i="4" l="1"/>
  <c r="I40" i="4"/>
  <c r="I41" i="4"/>
  <c r="B171" i="4"/>
  <c r="B169" i="4"/>
  <c r="B168" i="4"/>
  <c r="B167" i="4"/>
  <c r="B165" i="4"/>
  <c r="B166" i="4"/>
  <c r="I45" i="4" l="1"/>
  <c r="E33" i="12" s="1"/>
  <c r="I86" i="17" l="1"/>
  <c r="I86" i="4"/>
  <c r="I121" i="4"/>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E52" i="12" s="1"/>
  <c r="I75" i="4"/>
  <c r="I87" i="8"/>
  <c r="I91" i="8" s="1"/>
  <c r="I88" i="4" l="1"/>
  <c r="I90" i="4" s="1"/>
  <c r="I101" i="4" s="1"/>
  <c r="I88" i="17"/>
  <c r="I90" i="17" s="1"/>
  <c r="I101" i="17" s="1"/>
  <c r="I102" i="17" s="1"/>
  <c r="I166" i="17" s="1"/>
  <c r="I170" i="17" s="1"/>
  <c r="I152" i="17" s="1"/>
  <c r="C6" i="9"/>
  <c r="C7" i="9" s="1"/>
  <c r="C11" i="9" s="1"/>
  <c r="G22" i="8" s="1"/>
  <c r="G74" i="8"/>
  <c r="G78" i="8" s="1"/>
  <c r="H89" i="8" s="1"/>
  <c r="G34" i="8"/>
  <c r="G35" i="8" s="1"/>
  <c r="G41" i="8" s="1"/>
  <c r="G60" i="8"/>
  <c r="G61" i="8" s="1"/>
  <c r="G67" i="8" s="1"/>
  <c r="H6" i="9"/>
  <c r="H7" i="9" s="1"/>
  <c r="H11" i="9" s="1"/>
  <c r="P33" i="8" s="1"/>
  <c r="P35" i="8" s="1"/>
  <c r="P41" i="8" s="1"/>
  <c r="I100" i="4"/>
  <c r="I102" i="4" l="1"/>
  <c r="I166" i="4" s="1"/>
  <c r="I170" i="4" s="1"/>
  <c r="I153" i="17"/>
  <c r="I172" i="17" s="1"/>
  <c r="C22" i="8"/>
  <c r="H86" i="8"/>
  <c r="P59" i="8"/>
  <c r="P61" i="8" s="1"/>
  <c r="P67" i="8" s="1"/>
  <c r="H88" i="8"/>
  <c r="K88" i="8"/>
  <c r="K86" i="8"/>
  <c r="F16" i="9"/>
  <c r="F17" i="9"/>
  <c r="G190" i="17" l="1"/>
  <c r="I190" i="17" s="1"/>
  <c r="I191" i="17" s="1"/>
  <c r="E224" i="17" s="1"/>
  <c r="I224" i="17" s="1"/>
  <c r="G181" i="17"/>
  <c r="I155" i="17"/>
  <c r="I156" i="17"/>
  <c r="I157" i="17"/>
  <c r="F21" i="9"/>
  <c r="G48" i="8"/>
  <c r="G49" i="8" s="1"/>
  <c r="G54" i="8" s="1"/>
  <c r="K87" i="8" s="1"/>
  <c r="D8" i="10"/>
  <c r="G21" i="8"/>
  <c r="G23" i="8" s="1"/>
  <c r="G28" i="8" s="1"/>
  <c r="K85" i="8" s="1"/>
  <c r="C21" i="8"/>
  <c r="C23" i="8" s="1"/>
  <c r="C28" i="8" s="1"/>
  <c r="C48" i="8"/>
  <c r="C49" i="8" s="1"/>
  <c r="C54" i="8" s="1"/>
  <c r="H87" i="8" s="1"/>
  <c r="D47" i="10"/>
  <c r="I181" i="17" l="1"/>
  <c r="I182" i="17" s="1"/>
  <c r="E223" i="17" s="1"/>
  <c r="G199" i="17"/>
  <c r="I158" i="17"/>
  <c r="I171" i="17" s="1"/>
  <c r="K91" i="8"/>
  <c r="H85" i="8"/>
  <c r="H91" i="8" s="1"/>
  <c r="E13" i="18" l="1"/>
  <c r="F13" i="18" s="1"/>
  <c r="I13" i="18" s="1"/>
  <c r="I223" i="17"/>
  <c r="I199" i="17"/>
  <c r="I200" i="17" s="1"/>
  <c r="E225" i="17" s="1"/>
  <c r="I225" i="17" s="1"/>
  <c r="G208" i="17"/>
  <c r="I208" i="17" s="1"/>
  <c r="I209" i="17" s="1"/>
  <c r="E226" i="17" s="1"/>
  <c r="I226" i="17" s="1"/>
  <c r="D48" i="10"/>
  <c r="D50" i="10" s="1"/>
  <c r="D54" i="10" s="1"/>
  <c r="D58" i="10" s="1"/>
  <c r="D9" i="10"/>
  <c r="D11" i="10" s="1"/>
  <c r="D15" i="10" s="1"/>
  <c r="I229" i="17" l="1"/>
  <c r="E36" i="10"/>
  <c r="E30" i="10"/>
  <c r="E28" i="10"/>
  <c r="E34" i="10"/>
  <c r="E32" i="10"/>
  <c r="J38" i="10" l="1"/>
  <c r="I152" i="4" l="1"/>
  <c r="I153" i="4" l="1"/>
  <c r="I4" i="6" s="1"/>
  <c r="I6" i="6" s="1"/>
  <c r="I8" i="6" s="1"/>
  <c r="I172" i="4" l="1"/>
  <c r="G181" i="4" l="1"/>
  <c r="I181" i="4" s="1"/>
  <c r="G190" i="4"/>
  <c r="I190" i="4" s="1"/>
  <c r="I191" i="4" s="1"/>
  <c r="E224" i="4" s="1"/>
  <c r="I224" i="4" s="1"/>
  <c r="I156" i="4"/>
  <c r="I155" i="4"/>
  <c r="I157" i="4"/>
  <c r="B3" i="7"/>
  <c r="I182" i="4" l="1"/>
  <c r="E223" i="4" s="1"/>
  <c r="I223" i="4" s="1"/>
  <c r="G199" i="4"/>
  <c r="I158" i="4"/>
  <c r="I171" i="4" s="1"/>
  <c r="E12" i="18" l="1"/>
  <c r="F12" i="18" s="1"/>
  <c r="I12" i="18" s="1"/>
  <c r="I14" i="18" s="1"/>
  <c r="I199" i="4"/>
  <c r="I200" i="4" s="1"/>
  <c r="E225" i="4" s="1"/>
  <c r="I225" i="4" s="1"/>
  <c r="G208" i="4"/>
  <c r="I208" i="4" s="1"/>
  <c r="I209" i="4" s="1"/>
  <c r="E226" i="4" s="1"/>
  <c r="I226" i="4" s="1"/>
  <c r="I229" i="4" l="1"/>
  <c r="F14" i="18"/>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<sst xmlns="http://schemas.openxmlformats.org/spreadsheetml/2006/main" count="1444" uniqueCount="532">
  <si>
    <t>GPS</t>
  </si>
  <si>
    <t>FGTS</t>
  </si>
  <si>
    <t>Base de Cálculo</t>
  </si>
  <si>
    <t>Módulo 1</t>
  </si>
  <si>
    <t>Submódulo 2.1</t>
  </si>
  <si>
    <t>Total</t>
  </si>
  <si>
    <t>Percentual</t>
  </si>
  <si>
    <t>Valor GPS</t>
  </si>
  <si>
    <t>Valor FGTS</t>
  </si>
  <si>
    <t>GPS, FGTS e Outras Contribuições</t>
  </si>
  <si>
    <t>Percentual total</t>
  </si>
  <si>
    <t>TOTAL SUBMÓDULO 2.2</t>
  </si>
  <si>
    <t>ESTIMATIVA DO VALOR GLOBAL DOS SERVIÇOS DE LIMPEZA E CONSERVAÇÃO</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</si>
  <si>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</si>
  <si>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</si>
  <si>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</si>
  <si>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(1/m²)</t>
  </si>
  <si>
    <t>(2)
PREÇO HOMEM-MÊS
(R$)</t>
  </si>
  <si>
    <t>(1x2)
SUBTOTAL
(R$/m²)</t>
  </si>
  <si>
    <t>Servente</t>
  </si>
  <si>
    <t>__1__
800*</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</si>
  <si>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</si>
  <si>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</si>
  <si>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</si>
  <si>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__1__
1800*</t>
  </si>
  <si>
    <t>Jardineiro/roçador/podador</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</si>
  <si>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</si>
  <si>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</si>
  <si>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</si>
  <si>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</si>
  <si>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</si>
  <si>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</si>
  <si>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</si>
  <si>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</si>
  <si>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</si>
  <si>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</si>
  <si>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VALOR POR METRO QUADRADO ESTIMATIVO</t>
  </si>
  <si>
    <t>TIPO DE ÁREA</t>
  </si>
  <si>
    <t>PREÇO MENSAL
UNITÁRIO
(R$/ m²)</t>
  </si>
  <si>
    <t>ÁREA SER LIMPA DIARIAMENTE
(m²)</t>
  </si>
  <si>
    <t>Ajuste Anexo VI-B, item 9 IN 05/2017</t>
  </si>
  <si>
    <t>SUBTOTAL MENSAL
(R$)</t>
  </si>
  <si>
    <t xml:space="preserve">IV - Esquadria Externa
</t>
  </si>
  <si>
    <t>V - Fachada Envidraçada</t>
  </si>
  <si>
    <t xml:space="preserve">TOTAL </t>
  </si>
  <si>
    <t>NÚMERO DE SERVENTES</t>
  </si>
  <si>
    <t>METRAGEM A SER LIMPA DURANTE A VIGÊNCIA CONTRATUAL (ÁREA MENSAL X QUANTIDADE MESES CONTRATO)</t>
  </si>
  <si>
    <t>QUANTIDADE MESES CONTRATO</t>
  </si>
  <si>
    <t>METRAGEM DO CONTRATO (m²)</t>
  </si>
  <si>
    <t>VALOR (R$)</t>
  </si>
  <si>
    <t>A</t>
  </si>
  <si>
    <t>B</t>
  </si>
  <si>
    <t>C</t>
  </si>
  <si>
    <t>MODELO DE PLANILHA DE CUSTOS E FORMAÇÃO DE PREÇOS</t>
  </si>
  <si>
    <r>
      <rPr>
        <b/>
        <sz val="10"/>
        <rFont val="Arial"/>
        <family val="2"/>
      </rPr>
      <t>Nº do Processo</t>
    </r>
    <r>
      <rPr>
        <sz val="10"/>
        <rFont val="Arial"/>
        <family val="2"/>
      </rPr>
      <t>: 48051.002917/2023-74</t>
    </r>
  </si>
  <si>
    <r>
      <rPr>
        <b/>
        <sz val="10"/>
        <rFont val="Arial"/>
        <family val="2"/>
      </rPr>
      <t>Licitação Nº</t>
    </r>
    <r>
      <rPr>
        <sz val="10"/>
        <rFont val="Arial"/>
        <family val="2"/>
      </rPr>
      <t>: ....................... ............/...............</t>
    </r>
  </si>
  <si>
    <t>Dia ........../........../......... às ........ : ...... horas</t>
  </si>
  <si>
    <t>Discriminação dos Serviços (Dados Referentes à Contratação)</t>
  </si>
  <si>
    <t>Data de apresentação da proposta (dia/mês/ano):</t>
  </si>
  <si>
    <t>Município/UF:</t>
  </si>
  <si>
    <t>Manaus/AM</t>
  </si>
  <si>
    <t>Número e ano do Acordo, Convenção ou Dissídio Coletivo:</t>
  </si>
  <si>
    <t>AM000007/2023</t>
  </si>
  <si>
    <t>D</t>
  </si>
  <si>
    <t>Número de meses de execução contratual:</t>
  </si>
  <si>
    <t>Identificação do Serviço</t>
  </si>
  <si>
    <t>Tipo de Serviço</t>
  </si>
  <si>
    <t>Unidade de Medida</t>
  </si>
  <si>
    <t>Quantidade total a contratar (em função da unidade de medida)</t>
  </si>
  <si>
    <t>Limpeza e Conservação</t>
  </si>
  <si>
    <t>Posto de Serviço 44h Semanais</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</si>
  <si>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</si>
  <si>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</si>
  <si>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</si>
  <si>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</si>
  <si>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</si>
  <si>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</si>
  <si>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</si>
  <si>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</si>
  <si>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</si>
  <si>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</si>
  <si>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</si>
  <si>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Salário Nominativo da Categoria Profissional</t>
  </si>
  <si>
    <t>Categoria profissional (vinculada à execução contratual)</t>
  </si>
  <si>
    <t>Agente/Servente de Limpeza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</si>
  <si>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</si>
  <si>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</si>
  <si>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</si>
  <si>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</si>
  <si>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</si>
  <si>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</si>
  <si>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</si>
  <si>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</si>
  <si>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</si>
  <si>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</si>
  <si>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</si>
  <si>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</si>
  <si>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</si>
  <si>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</si>
  <si>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</si>
  <si>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</si>
  <si>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</si>
  <si>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</si>
  <si>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</si>
  <si>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</si>
  <si>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</si>
  <si>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</si>
  <si>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</si>
  <si>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</si>
  <si>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</si>
  <si>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</si>
  <si>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</si>
  <si>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</si>
  <si>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</si>
  <si>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</si>
  <si>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</si>
  <si>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</si>
  <si>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</si>
  <si>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</si>
  <si>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</si>
  <si>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</si>
  <si>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</si>
  <si>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</si>
  <si>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</si>
  <si>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</si>
  <si>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</si>
  <si>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</si>
  <si>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</si>
  <si>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</si>
  <si>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</si>
  <si>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</si>
  <si>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</si>
  <si>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</si>
  <si>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</si>
  <si>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</si>
  <si>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</si>
  <si>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</si>
  <si>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</si>
  <si>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</si>
  <si>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</si>
  <si>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</si>
  <si>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</si>
  <si>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</si>
  <si>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</si>
  <si>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</si>
  <si>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</si>
  <si>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</si>
  <si>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</si>
  <si>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</si>
  <si>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</si>
  <si>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</si>
  <si>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</si>
  <si>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</si>
  <si>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</si>
  <si>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</si>
  <si>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</si>
  <si>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</si>
  <si>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</si>
  <si>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</si>
  <si>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</si>
  <si>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</si>
  <si>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</si>
  <si>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</si>
  <si>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</si>
  <si>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</si>
  <si>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</si>
  <si>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</si>
  <si>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</si>
  <si>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</si>
  <si>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</si>
  <si>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</si>
  <si>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</si>
  <si>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</si>
  <si>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</si>
  <si>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</si>
  <si>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</si>
  <si>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</si>
  <si>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</si>
  <si>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</si>
  <si>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</si>
  <si>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</si>
  <si>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</si>
  <si>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</si>
  <si>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</si>
  <si>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</si>
  <si>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</si>
  <si>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</si>
  <si>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</si>
  <si>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</si>
  <si>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</si>
  <si>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</si>
  <si>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</si>
  <si>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</si>
  <si>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</si>
  <si>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</si>
  <si>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</si>
  <si>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</si>
  <si>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</si>
  <si>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</si>
  <si>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</si>
  <si>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</si>
  <si>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</si>
  <si>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</si>
  <si>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</si>
  <si>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</si>
  <si>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</si>
  <si>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</si>
  <si>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</si>
  <si>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</si>
  <si>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</si>
  <si>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</si>
  <si>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</si>
  <si>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</si>
  <si>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6220-10</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</si>
  <si>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</si>
  <si>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</si>
  <si>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</si>
  <si>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</si>
  <si>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</si>
  <si>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</si>
  <si>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</si>
  <si>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</si>
  <si>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</si>
  <si>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</si>
  <si>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</si>
  <si>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</si>
  <si>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</si>
  <si>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Percentual/Valor Desconto/Cota-Parte Funcionário</t>
  </si>
  <si>
    <t>Incidência</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</si>
  <si>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</si>
  <si>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</si>
  <si>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</si>
  <si>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</si>
  <si>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</si>
  <si>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</si>
  <si>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</si>
  <si>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</si>
  <si>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</si>
  <si>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</si>
  <si>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</si>
  <si>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Benefício</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</si>
  <si>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</si>
  <si>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</si>
  <si>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</si>
  <si>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Contato</t>
  </si>
  <si>
    <t>Fone</t>
  </si>
  <si>
    <t>www.mercadolivre.com.br</t>
  </si>
  <si>
    <t>Item</t>
  </si>
  <si>
    <t>Fardamento e seus complementos</t>
  </si>
  <si>
    <t>Unid.</t>
  </si>
  <si>
    <t>Quant.</t>
  </si>
  <si>
    <t>Órgãos/Licitações/Contratos/Fornecedores/Sites consultados</t>
  </si>
  <si>
    <t>Custo estimado</t>
  </si>
  <si>
    <t>Custo médio Unit.</t>
  </si>
  <si>
    <t>Custo médio Total</t>
  </si>
  <si>
    <t>Valor Unit</t>
  </si>
  <si>
    <t>Pç</t>
  </si>
  <si>
    <t>Par</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</si>
  <si>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</si>
  <si>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</si>
  <si>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</si>
  <si>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</si>
  <si>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</si>
  <si>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</si>
  <si>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</si>
  <si>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www.amazon.com.br</t>
  </si>
  <si>
    <t>www.magazineluiza.com.br</t>
  </si>
  <si>
    <t>Descrição dos Materiais de Consumo
(Quantidade Mensal)</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</si>
  <si>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</si>
  <si>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</si>
  <si>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</si>
  <si>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</si>
  <si>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</si>
  <si>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</si>
  <si>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</si>
  <si>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</si>
  <si>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</si>
  <si>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</si>
  <si>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</si>
  <si>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</si>
  <si>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</si>
  <si>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</si>
  <si>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</si>
  <si>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</si>
  <si>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</si>
  <si>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</si>
  <si>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</si>
  <si>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</si>
  <si>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</si>
  <si>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</si>
  <si>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</si>
  <si>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</si>
  <si>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</si>
  <si>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</si>
  <si>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</si>
  <si>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</si>
  <si>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</si>
  <si>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</si>
  <si>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</si>
  <si>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</si>
  <si>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</si>
  <si>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</si>
  <si>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</si>
  <si>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</si>
  <si>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</si>
  <si>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</si>
  <si>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</si>
  <si>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</si>
  <si>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</si>
  <si>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</si>
  <si>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</si>
  <si>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</si>
  <si>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</si>
  <si>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</si>
  <si>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</si>
  <si>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</si>
  <si>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</si>
  <si>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</si>
  <si>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</si>
  <si>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</si>
  <si>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</si>
  <si>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</si>
  <si>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</si>
  <si>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</si>
  <si>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</si>
  <si>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</si>
  <si>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</si>
  <si>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</si>
  <si>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</si>
  <si>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</si>
  <si>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</si>
  <si>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</si>
  <si>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</si>
  <si>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</si>
  <si>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</si>
  <si>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</si>
  <si>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</si>
  <si>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</si>
  <si>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</si>
  <si>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</si>
  <si>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</si>
  <si>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</si>
  <si>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</si>
  <si>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</si>
  <si>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</si>
  <si>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</si>
  <si>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</si>
  <si>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</si>
  <si>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</si>
  <si>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</si>
  <si>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</si>
  <si>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</si>
  <si>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</si>
  <si>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</si>
  <si>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</si>
  <si>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</si>
  <si>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</si>
  <si>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</si>
  <si>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</si>
  <si>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</si>
  <si>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</si>
  <si>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</si>
  <si>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</si>
  <si>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</si>
  <si>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</si>
  <si>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</si>
  <si>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</si>
  <si>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</si>
  <si>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</si>
  <si>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</si>
  <si>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</si>
  <si>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</si>
  <si>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</si>
  <si>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</si>
  <si>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</si>
  <si>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</si>
  <si>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</si>
  <si>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</si>
  <si>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</si>
  <si>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</si>
  <si>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</si>
  <si>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</si>
  <si>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</si>
  <si>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</si>
  <si>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</si>
  <si>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</si>
  <si>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</si>
  <si>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</si>
  <si>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</si>
  <si>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</si>
  <si>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</si>
  <si>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</si>
  <si>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</si>
  <si>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</si>
  <si>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</si>
  <si>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</si>
  <si>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</si>
  <si>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</si>
  <si>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</si>
  <si>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</si>
  <si>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</si>
  <si>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</si>
  <si>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</si>
  <si>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</si>
  <si>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</si>
  <si>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</si>
  <si>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</si>
  <si>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</si>
  <si>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</si>
  <si>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</si>
  <si>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</si>
  <si>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</si>
  <si>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</si>
  <si>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</si>
  <si>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</si>
  <si>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</si>
  <si>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</si>
  <si>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</si>
  <si>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</si>
  <si>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</si>
  <si>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</si>
  <si>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</si>
  <si>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</si>
  <si>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</si>
  <si>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</si>
  <si>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</si>
  <si>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</si>
  <si>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</si>
  <si>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</si>
  <si>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</si>
  <si>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</si>
  <si>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</si>
  <si>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</si>
  <si>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</si>
  <si>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</si>
  <si>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</si>
  <si>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</si>
  <si>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</si>
  <si>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</si>
  <si>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</si>
  <si>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</si>
  <si>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Produtividade de referência 8h diárias (m²)</t>
  </si>
  <si>
    <r>
      <t xml:space="preserve">Produtividade de referência </t>
    </r>
    <r>
      <rPr>
        <i/>
        <sz val="11"/>
        <color theme="1"/>
        <rFont val="Calibri"/>
        <family val="2"/>
        <scheme val="minor"/>
      </rPr>
      <t>8h diárias</t>
    </r>
    <r>
      <rPr>
        <b/>
        <sz val="11"/>
        <color theme="1"/>
        <rFont val="Calibri"/>
        <family val="2"/>
        <scheme val="minor"/>
      </rPr>
      <t xml:space="preserve"> (m²)</t>
    </r>
  </si>
  <si>
    <t>I - Área Externa - Servente</t>
  </si>
  <si>
    <t>I - Área Interna e Externa convertidas para produtividade de 800m² - Servente</t>
  </si>
  <si>
    <t>Valores obtidos na planilha de levamtamento das áreas a serem limpas</t>
  </si>
  <si>
    <t>VALOR TOTAL DO ITEM - (R$)</t>
  </si>
  <si>
    <t xml:space="preserve"> LOCAL :   GERÊNCIA DA ANM NO ESTADO DE SANTA CATARINA</t>
  </si>
  <si>
    <t>Vale Transporte - Florianópolis</t>
  </si>
  <si>
    <t>Vale Transporte - Criciuma</t>
  </si>
  <si>
    <t>SC000150/2023</t>
  </si>
  <si>
    <t>Prêmio Assiduidade</t>
  </si>
  <si>
    <t>Adicional de assiduidade</t>
  </si>
  <si>
    <t>Custo Efetivo</t>
  </si>
  <si>
    <r>
      <t xml:space="preserve">Adicional de assiduidade </t>
    </r>
    <r>
      <rPr>
        <i/>
        <sz val="8"/>
        <color rgb="FFFF0000"/>
        <rFont val="Arial"/>
        <family val="2"/>
      </rPr>
      <t>(ver CCT e preencher campos em amarelo na aba Mód 2.3)</t>
    </r>
  </si>
  <si>
    <t>BENEFÍCIO DE ASSISTÊNCIA AO TRABALHADOR (SAÚDE E QUALIFICAÇÃO PROFISSIONAL)</t>
  </si>
  <si>
    <r>
      <t xml:space="preserve">BENEFÍCIO DE ASSISTÊNCIA AO TRABALHADOR (SAÚDE E QUALIFICAÇÃO PROFISSIONAL) </t>
    </r>
    <r>
      <rPr>
        <i/>
        <sz val="8"/>
        <color rgb="FFFF0000"/>
        <rFont val="Arial"/>
        <family val="2"/>
      </rPr>
      <t>(ver CCT e preencher campos em amarelo na aba Mód 2.3)</t>
    </r>
  </si>
  <si>
    <t>ESTIMATIVA NÚMERO DE SERVENTES</t>
  </si>
  <si>
    <r>
      <rPr>
        <b/>
        <sz val="10"/>
        <rFont val="Arial"/>
        <family val="2"/>
      </rPr>
      <t>Florianópolis</t>
    </r>
    <r>
      <rPr>
        <sz val="10"/>
        <rFont val="Arial"/>
        <family val="2"/>
      </rPr>
      <t xml:space="preserve"> - Área Interna e Externa convertidas para produtividade de 800m² - Servente</t>
    </r>
  </si>
  <si>
    <r>
      <rPr>
        <b/>
        <sz val="10"/>
        <rFont val="Arial"/>
        <family val="2"/>
      </rPr>
      <t xml:space="preserve">Criciúma </t>
    </r>
    <r>
      <rPr>
        <sz val="10"/>
        <rFont val="Arial"/>
        <family val="2"/>
      </rPr>
      <t>- Área Interna e Externa convertidas para produtividade de 800m² - Servente</t>
    </r>
  </si>
  <si>
    <t>batas curtas unissex, 100% algodão, preferencialmente na cor cinza, com gola, botões, manga curta, três bolsos e logomarca da empresa;</t>
  </si>
  <si>
    <t>calças compridas, tipo pijama, unissex, 100% algodão, preferencialmente na cor cinza, com cós elástico e três bolsos;</t>
  </si>
  <si>
    <t>calçado de couro, tipo bota cano curto, preferencialmente na cor preta;</t>
  </si>
  <si>
    <t>meias cano curto, preferencialmente na cor preta, 100% algodão, adequadas à prestação dos serviços.</t>
  </si>
  <si>
    <t>Crachá</t>
  </si>
  <si>
    <t>Óculos de proteção</t>
  </si>
  <si>
    <t>Bota de borracha/PVC cano curto</t>
  </si>
  <si>
    <t>Respiradores anti-poeira</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</si>
  <si>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</si>
  <si>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</si>
  <si>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</si>
  <si>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</si>
  <si>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</si>
  <si>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</si>
  <si>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</si>
  <si>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</si>
  <si>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</si>
  <si>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</si>
  <si>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</si>
  <si>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</si>
  <si>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</si>
  <si>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40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</si>
  <si>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</si>
  <si>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</si>
  <si>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</si>
  <si>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</si>
  <si>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</si>
  <si>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</si>
  <si>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</si>
  <si>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</si>
  <si>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SABONETE liquido, cremoso, de fragrância erva-doce agradável, para saboneteiras acrílicas de banheiros, com dados do fabricante, data de fabricação e prazo de validade e registro no Ministério da Saúde., frasco 500ml</t>
  </si>
  <si>
    <t>SACO de lixo preto, 20, 40  litros, pacote com 20</t>
  </si>
  <si>
    <t>SACO de lixo preto, 60, 100 litros, pacote com 20</t>
  </si>
  <si>
    <t>TOALHA DE PAPEL INTERFOLHADA branco (alvura aproximada de 100%) interfolhado, largura de 23 x 23. (pacote com 250 folhas), com duas dobras, em papel 100% fibras celulósicas virgens, de alta absorção, macias, absorventes e econômicas,  embalagem contendo marca do fabricante, cor e lote do produto, maços embalados individualmente</t>
  </si>
  <si>
    <t>Atacado Litoral</t>
  </si>
  <si>
    <t>vendas3@atacadolitoral.com.br</t>
  </si>
  <si>
    <t>48 3954 3100</t>
  </si>
  <si>
    <t>Atacado Catarinense</t>
  </si>
  <si>
    <t>vendas8@atacadocatarinense.com.br</t>
  </si>
  <si>
    <t>48 3952 2500</t>
  </si>
  <si>
    <t>Kuerten Distribuidora</t>
  </si>
  <si>
    <t>Willian Sffair</t>
  </si>
  <si>
    <t>48 9125-5407</t>
  </si>
  <si>
    <t>Casas Bahia</t>
  </si>
  <si>
    <t>www.casasbahia.com.br</t>
  </si>
  <si>
    <t>Loja do Guarda pó</t>
  </si>
  <si>
    <t>loja5@lojadoguardapo.com.br</t>
  </si>
  <si>
    <t>48 3247 4959</t>
  </si>
  <si>
    <t>Amazon</t>
  </si>
  <si>
    <t>Mercado Livre</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</si>
  <si>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</si>
  <si>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</si>
  <si>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</si>
  <si>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</si>
  <si>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</si>
  <si>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</si>
  <si>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</si>
  <si>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</si>
  <si>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</si>
  <si>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</si>
  <si>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</si>
  <si>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</si>
  <si>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VASSOURA PARA JARDIM/ALAMEDA/PASSEIO COM CABO</t>
  </si>
  <si>
    <t>Escada Aluminio 4x4</t>
  </si>
  <si>
    <t>Aspirador de pó</t>
  </si>
  <si>
    <t>Magazine Luiza</t>
  </si>
  <si>
    <t>Leroy Merlin</t>
  </si>
  <si>
    <t>www.leroymerlin.com.br</t>
  </si>
  <si>
    <t>Americanas</t>
  </si>
  <si>
    <t>www.americanas.com.br</t>
  </si>
  <si>
    <t>SACO de lixo preto, 20 litros, pacote com 20</t>
  </si>
  <si>
    <t>SACO de lixo preto, 40 litros, pacote com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</si>
</sst>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7" formatCode="&quot;R$&quot;\ #,##0.00;\-&quot;R$&quot;\ #,##0.0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s>
  <fonts count="57"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2"/>
      <color rgb="FF000000"/>
      <name val="Calibri"/>
      <family val="2"/>
    </font>
    <font>
      <b/>
      <sz val="9"/>
      <name val="Calibri"/>
      <family val="2"/>
      <scheme val="minor"/>
    </font>
    <font>
      <sz val="9"/>
      <name val="Calibri"/>
      <family val="2"/>
    </font>
    <font>
      <sz val="9"/>
      <color rgb="FF000000"/>
      <name val="Calibri"/>
      <family val="2"/>
    </font>
    <font>
      <sz val="9"/>
      <color rgb="FF000000"/>
      <name val="Calibri"/>
      <family val="2"/>
      <scheme val="minor"/>
    </font>
    <font>
      <sz val="9"/>
      <color rgb="FFFF0000"/>
      <name val="Calibri"/>
      <family val="2"/>
    </font>
    <font>
      <i/>
      <sz val="11"/>
      <color theme="1"/>
      <name val="Calibri"/>
      <family val="2"/>
      <scheme val="minor"/>
    </font>
    <font>
      <sz val="10"/>
      <color rgb="FF000000"/>
      <name val="Arial"/>
      <family val="2"/>
    </font>
    <font>
      <u/>
      <sz val="9"/>
      <color indexed="12"/>
      <name val="Arial"/>
      <family val="2"/>
    </font>
  </fonts>
  <fills count="16">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00B0F0"/>
        <bgColor indexed="64"/>
      </patternFill>
    </fill>
    <fill>
      <patternFill patternType="solid">
        <fgColor rgb="FFA8D08D"/>
        <bgColor indexed="64"/>
      </patternFill>
    </fill>
    <fill>
      <patternFill patternType="solid">
        <fgColor rgb="FFC5E0B3"/>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5"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91">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19"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4"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28" fillId="0" borderId="0" xfId="0" applyFont="1" applyAlignment="1">
      <alignment vertical="center"/>
    </xf>
    <xf numFmtId="0" fontId="29" fillId="0" borderId="0" xfId="0" applyFont="1"/>
    <xf numFmtId="0" fontId="28" fillId="0" borderId="0" xfId="0" applyFont="1"/>
    <xf numFmtId="2" fontId="29" fillId="0" borderId="0" xfId="0" applyNumberFormat="1" applyFont="1"/>
    <xf numFmtId="2" fontId="28" fillId="0" borderId="0" xfId="0" applyNumberFormat="1" applyFont="1"/>
    <xf numFmtId="0" fontId="29" fillId="0" borderId="22" xfId="0" applyFont="1" applyBorder="1"/>
    <xf numFmtId="0" fontId="29" fillId="0" borderId="20" xfId="0" applyFont="1" applyBorder="1"/>
    <xf numFmtId="0" fontId="29" fillId="0" borderId="14" xfId="0" applyFont="1" applyBorder="1" applyAlignment="1">
      <alignment horizontal="center" vertical="center"/>
    </xf>
    <xf numFmtId="0" fontId="29" fillId="0" borderId="0" xfId="0" applyFont="1" applyAlignment="1">
      <alignment horizontal="center" vertical="center"/>
    </xf>
    <xf numFmtId="0" fontId="28" fillId="4" borderId="22" xfId="0" applyFont="1" applyFill="1" applyBorder="1"/>
    <xf numFmtId="0" fontId="28" fillId="4" borderId="20" xfId="0" applyFont="1" applyFill="1" applyBorder="1"/>
    <xf numFmtId="2" fontId="28"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43" fontId="0" fillId="0" borderId="1" xfId="3" applyFont="1" applyBorder="1" applyAlignment="1">
      <alignment horizontal="center" vertical="center"/>
    </xf>
    <xf numFmtId="43" fontId="2" fillId="7" borderId="1" xfId="3" applyFont="1" applyFill="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7" fillId="0" borderId="0" xfId="0" applyFont="1" applyAlignment="1">
      <alignment horizontal="justify" vertical="center" wrapText="1"/>
    </xf>
    <xf numFmtId="0" fontId="38" fillId="14" borderId="65" xfId="0" applyFont="1" applyFill="1" applyBorder="1" applyAlignment="1">
      <alignment horizontal="center" vertical="center" wrapText="1"/>
    </xf>
    <xf numFmtId="0" fontId="40" fillId="14" borderId="66" xfId="0" applyFont="1" applyFill="1" applyBorder="1" applyAlignment="1">
      <alignment horizontal="center" vertical="center" wrapText="1"/>
    </xf>
    <xf numFmtId="0" fontId="36" fillId="0" borderId="67" xfId="0" applyFont="1" applyBorder="1" applyAlignment="1">
      <alignment horizontal="center" vertical="center" wrapText="1"/>
    </xf>
    <xf numFmtId="10" fontId="36" fillId="0" borderId="68" xfId="0" applyNumberFormat="1" applyFont="1" applyBorder="1" applyAlignment="1">
      <alignment horizontal="center" vertical="center" wrapText="1"/>
    </xf>
    <xf numFmtId="0" fontId="40" fillId="15" borderId="67" xfId="0" applyFont="1" applyFill="1" applyBorder="1" applyAlignment="1">
      <alignment horizontal="center" vertical="center" wrapText="1"/>
    </xf>
    <xf numFmtId="10" fontId="40" fillId="15" borderId="68"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8" fillId="6" borderId="6" xfId="0" applyFont="1" applyFill="1" applyBorder="1" applyAlignment="1">
      <alignment horizontal="center" vertical="center" wrapText="1"/>
    </xf>
    <xf numFmtId="0" fontId="18" fillId="6" borderId="47" xfId="0" applyFont="1" applyFill="1" applyBorder="1" applyAlignment="1">
      <alignment horizontal="center" vertical="center" wrapText="1"/>
    </xf>
    <xf numFmtId="0" fontId="18"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15" fillId="0" borderId="0" xfId="0" applyFont="1" applyAlignment="1">
      <alignment horizontal="right" vertical="center"/>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7" fillId="6" borderId="1" xfId="0" applyFont="1" applyFill="1" applyBorder="1" applyAlignment="1">
      <alignment horizontal="center" vertical="center" wrapText="1"/>
    </xf>
    <xf numFmtId="0" fontId="18" fillId="6" borderId="48" xfId="0" applyFont="1" applyFill="1" applyBorder="1" applyAlignment="1">
      <alignment horizontal="center" vertical="center" wrapText="1"/>
    </xf>
    <xf numFmtId="0" fontId="18" fillId="6" borderId="62" xfId="0" applyFont="1" applyFill="1" applyBorder="1" applyAlignment="1">
      <alignment horizontal="center" vertical="center" wrapText="1"/>
    </xf>
    <xf numFmtId="0" fontId="18" fillId="6" borderId="49" xfId="0" applyFont="1" applyFill="1" applyBorder="1" applyAlignment="1">
      <alignment horizontal="center" vertical="center" wrapText="1"/>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1" fontId="15" fillId="10" borderId="1" xfId="0" applyNumberFormat="1" applyFont="1" applyFill="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41" fillId="0" borderId="0" xfId="0" applyFont="1" applyAlignment="1">
      <alignment vertical="center"/>
    </xf>
    <xf numFmtId="4" fontId="0" fillId="3" borderId="1" xfId="0" applyNumberFormat="1" applyFill="1" applyBorder="1" applyAlignment="1">
      <alignment vertical="center" wrapText="1"/>
    </xf>
    <xf numFmtId="0" fontId="42" fillId="0" borderId="0" xfId="0" applyFont="1" applyAlignment="1">
      <alignment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7" fillId="0" borderId="0" xfId="0" applyNumberFormat="1" applyFont="1" applyAlignment="1">
      <alignment horizontal="center" vertical="center"/>
    </xf>
    <xf numFmtId="0" fontId="39"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1" fontId="0" fillId="0" borderId="1" xfId="0" applyNumberFormat="1" applyBorder="1"/>
    <xf numFmtId="1" fontId="2" fillId="7" borderId="1" xfId="0" applyNumberFormat="1" applyFont="1" applyFill="1" applyBorder="1"/>
    <xf numFmtId="0" fontId="0" fillId="0" borderId="1" xfId="0" applyBorder="1" applyAlignment="1">
      <alignment horizontal="center" vertical="center" wrapText="1"/>
    </xf>
    <xf numFmtId="43" fontId="2" fillId="0" borderId="0" xfId="0" applyNumberFormat="1" applyFont="1"/>
    <xf numFmtId="0" fontId="45" fillId="6" borderId="2" xfId="0" applyFont="1" applyFill="1" applyBorder="1" applyAlignment="1">
      <alignment horizontal="center" vertical="center" wrapText="1"/>
    </xf>
    <xf numFmtId="0" fontId="46" fillId="6" borderId="46" xfId="0" applyFont="1" applyFill="1" applyBorder="1" applyAlignment="1">
      <alignment horizontal="center" vertical="center" wrapText="1"/>
    </xf>
    <xf numFmtId="0" fontId="45" fillId="0" borderId="5" xfId="0" applyFont="1" applyBorder="1" applyAlignment="1">
      <alignment horizontal="center" vertical="center" wrapText="1"/>
    </xf>
    <xf numFmtId="0" fontId="46" fillId="0" borderId="1" xfId="0" applyFont="1" applyBorder="1" applyAlignment="1">
      <alignment horizontal="center" vertical="center" wrapText="1"/>
    </xf>
    <xf numFmtId="0" fontId="45" fillId="6" borderId="5" xfId="0" applyFont="1" applyFill="1" applyBorder="1" applyAlignment="1">
      <alignment horizontal="center" vertical="center" wrapText="1"/>
    </xf>
    <xf numFmtId="0" fontId="46" fillId="6" borderId="1" xfId="0" applyFont="1" applyFill="1" applyBorder="1" applyAlignment="1">
      <alignment horizontal="center" vertical="center" wrapText="1"/>
    </xf>
    <xf numFmtId="0" fontId="45" fillId="7" borderId="5" xfId="0" applyFont="1" applyFill="1" applyBorder="1" applyAlignment="1">
      <alignment horizontal="center" vertical="center" wrapText="1"/>
    </xf>
    <xf numFmtId="0" fontId="46" fillId="7" borderId="1" xfId="0" applyFont="1" applyFill="1" applyBorder="1" applyAlignment="1">
      <alignment horizontal="center" vertical="center" wrapText="1"/>
    </xf>
    <xf numFmtId="0" fontId="45" fillId="0" borderId="6" xfId="0" applyFont="1" applyBorder="1" applyAlignment="1">
      <alignment horizontal="center" vertical="center" wrapText="1"/>
    </xf>
    <xf numFmtId="0" fontId="46" fillId="0" borderId="47" xfId="0" applyFont="1" applyBorder="1" applyAlignment="1">
      <alignment horizontal="center" vertical="center"/>
    </xf>
    <xf numFmtId="0" fontId="46" fillId="0" borderId="47" xfId="0" applyFont="1" applyBorder="1" applyAlignment="1">
      <alignment horizontal="center" vertical="center" wrapText="1"/>
    </xf>
    <xf numFmtId="1" fontId="49" fillId="10" borderId="1" xfId="0" applyNumberFormat="1" applyFont="1" applyFill="1" applyBorder="1" applyAlignment="1">
      <alignment horizontal="center" vertical="center" wrapText="1"/>
    </xf>
    <xf numFmtId="2" fontId="46" fillId="0" borderId="1" xfId="0" applyNumberFormat="1" applyFont="1" applyBorder="1" applyAlignment="1">
      <alignment horizontal="center" vertical="center"/>
    </xf>
    <xf numFmtId="0" fontId="48" fillId="0" borderId="35" xfId="0" applyFont="1" applyBorder="1" applyAlignment="1">
      <alignment horizontal="left" vertical="center" wrapText="1"/>
    </xf>
    <xf numFmtId="4" fontId="44" fillId="0" borderId="62" xfId="0" applyNumberFormat="1" applyFont="1" applyBorder="1" applyAlignment="1">
      <alignment horizontal="center" vertical="center" wrapText="1"/>
    </xf>
    <xf numFmtId="0" fontId="44" fillId="10" borderId="62" xfId="0" applyFont="1" applyFill="1" applyBorder="1" applyAlignment="1">
      <alignment horizontal="center" vertical="center" wrapText="1"/>
    </xf>
    <xf numFmtId="2" fontId="46" fillId="0" borderId="62" xfId="0" applyNumberFormat="1" applyFont="1" applyBorder="1" applyAlignment="1">
      <alignment horizontal="center" vertical="center"/>
    </xf>
    <xf numFmtId="2" fontId="46" fillId="0" borderId="62" xfId="0" applyNumberFormat="1" applyFont="1" applyBorder="1" applyAlignment="1">
      <alignment horizontal="center" vertical="center" wrapText="1"/>
    </xf>
    <xf numFmtId="2" fontId="49" fillId="0" borderId="49" xfId="0" applyNumberFormat="1" applyFont="1" applyBorder="1" applyAlignment="1">
      <alignment horizontal="center" vertical="center" wrapText="1"/>
    </xf>
    <xf numFmtId="0" fontId="45" fillId="6" borderId="2" xfId="0" applyFont="1" applyFill="1" applyBorder="1" applyAlignment="1">
      <alignment horizontal="center" vertical="justify" wrapText="1"/>
    </xf>
    <xf numFmtId="0" fontId="45" fillId="0" borderId="5" xfId="0" applyFont="1" applyBorder="1" applyAlignment="1">
      <alignment horizontal="center" vertical="justify" wrapText="1"/>
    </xf>
    <xf numFmtId="0" fontId="45" fillId="6" borderId="5" xfId="0" applyFont="1" applyFill="1" applyBorder="1" applyAlignment="1">
      <alignment horizontal="center" vertical="justify" wrapText="1"/>
    </xf>
    <xf numFmtId="0" fontId="50" fillId="0" borderId="1" xfId="0" applyFont="1" applyBorder="1" applyAlignment="1">
      <alignment horizontal="right"/>
    </xf>
    <xf numFmtId="2" fontId="46" fillId="0" borderId="10" xfId="0" applyNumberFormat="1" applyFont="1" applyBorder="1" applyAlignment="1">
      <alignment horizontal="right" vertical="center" wrapText="1"/>
    </xf>
    <xf numFmtId="2" fontId="49" fillId="0" borderId="8" xfId="0" applyNumberFormat="1" applyFont="1" applyBorder="1" applyAlignment="1">
      <alignment horizontal="right" vertical="center" wrapText="1"/>
    </xf>
    <xf numFmtId="2" fontId="46" fillId="0" borderId="1" xfId="0" applyNumberFormat="1" applyFont="1" applyBorder="1" applyAlignment="1">
      <alignment horizontal="right" vertical="center"/>
    </xf>
    <xf numFmtId="0" fontId="50" fillId="0" borderId="1" xfId="0" applyFont="1" applyBorder="1" applyAlignment="1">
      <alignment horizontal="right" vertical="center"/>
    </xf>
    <xf numFmtId="0" fontId="50" fillId="0" borderId="1" xfId="0" applyFont="1" applyBorder="1" applyAlignment="1">
      <alignment horizontal="right" vertical="center" wrapText="1"/>
    </xf>
    <xf numFmtId="0" fontId="25" fillId="0" borderId="1" xfId="0" applyFont="1" applyBorder="1" applyAlignment="1">
      <alignment horizontal="left" vertical="center" wrapText="1"/>
    </xf>
    <xf numFmtId="1" fontId="45" fillId="10" borderId="1" xfId="0" applyNumberFormat="1" applyFont="1" applyFill="1" applyBorder="1" applyAlignment="1">
      <alignment horizontal="center" vertical="center" wrapText="1"/>
    </xf>
    <xf numFmtId="0" fontId="44" fillId="10"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25" fillId="0" borderId="27" xfId="0" applyFont="1" applyBorder="1" applyAlignment="1">
      <alignment horizontal="left" vertical="center" wrapText="1"/>
    </xf>
    <xf numFmtId="0" fontId="45" fillId="6" borderId="54" xfId="0" applyFont="1" applyFill="1" applyBorder="1" applyAlignment="1">
      <alignment horizontal="center" vertical="justify" wrapText="1"/>
    </xf>
    <xf numFmtId="0" fontId="45" fillId="0" borderId="28" xfId="0" applyFont="1" applyBorder="1" applyAlignment="1">
      <alignment horizontal="center" vertical="justify" wrapText="1"/>
    </xf>
    <xf numFmtId="0" fontId="45" fillId="6" borderId="28" xfId="0" applyFont="1" applyFill="1" applyBorder="1" applyAlignment="1">
      <alignment horizontal="center" vertical="justify" wrapText="1"/>
    </xf>
    <xf numFmtId="0" fontId="46" fillId="6" borderId="1" xfId="0" applyFont="1" applyFill="1" applyBorder="1" applyAlignment="1">
      <alignment horizontal="center" vertical="center"/>
    </xf>
    <xf numFmtId="0" fontId="51" fillId="0" borderId="1" xfId="0" applyFont="1" applyBorder="1" applyAlignment="1">
      <alignment horizontal="left" vertical="center" wrapText="1"/>
    </xf>
    <xf numFmtId="0" fontId="52" fillId="10" borderId="1" xfId="0" applyFont="1" applyFill="1" applyBorder="1" applyAlignment="1">
      <alignment horizontal="center" vertical="center"/>
    </xf>
    <xf numFmtId="0" fontId="53" fillId="0" borderId="1" xfId="0" applyFont="1" applyBorder="1" applyAlignment="1">
      <alignment vertical="center" wrapText="1"/>
    </xf>
    <xf numFmtId="0" fontId="51" fillId="0" borderId="1" xfId="0" applyFont="1" applyBorder="1" applyAlignment="1">
      <alignment horizontal="center" vertical="center"/>
    </xf>
    <xf numFmtId="0" fontId="51" fillId="10" borderId="1" xfId="0" applyFont="1" applyFill="1" applyBorder="1" applyAlignment="1">
      <alignment horizontal="center" vertical="center"/>
    </xf>
    <xf numFmtId="0" fontId="15" fillId="0" borderId="1" xfId="0" applyFont="1" applyBorder="1" applyAlignment="1">
      <alignment vertical="center" wrapText="1"/>
    </xf>
    <xf numFmtId="0" fontId="46" fillId="6" borderId="10" xfId="0" applyFont="1" applyFill="1" applyBorder="1" applyAlignment="1">
      <alignment horizontal="center" vertical="center"/>
    </xf>
    <xf numFmtId="0" fontId="51" fillId="0" borderId="1" xfId="0" applyFont="1" applyBorder="1" applyAlignment="1">
      <alignment horizontal="center" vertical="center" wrapText="1"/>
    </xf>
    <xf numFmtId="0" fontId="46" fillId="10" borderId="1" xfId="0" applyFont="1" applyFill="1" applyBorder="1" applyAlignment="1">
      <alignment horizontal="center" vertical="center" wrapText="1"/>
    </xf>
    <xf numFmtId="0" fontId="51" fillId="0" borderId="27" xfId="0" applyFont="1" applyBorder="1" applyAlignment="1">
      <alignment horizontal="left" vertical="center" wrapText="1"/>
    </xf>
    <xf numFmtId="4" fontId="46" fillId="0" borderId="62" xfId="0" applyNumberFormat="1" applyFont="1" applyBorder="1" applyAlignment="1">
      <alignment horizontal="center" vertical="center" wrapText="1"/>
    </xf>
    <xf numFmtId="0" fontId="46" fillId="10" borderId="62" xfId="0" applyFont="1" applyFill="1" applyBorder="1" applyAlignment="1">
      <alignment horizontal="center" vertical="center" wrapText="1"/>
    </xf>
    <xf numFmtId="4" fontId="50" fillId="0" borderId="1" xfId="0" applyNumberFormat="1" applyFont="1" applyBorder="1" applyAlignment="1">
      <alignment horizontal="right" vertical="center"/>
    </xf>
    <xf numFmtId="0" fontId="5" fillId="0" borderId="0" xfId="0" applyFont="1" applyAlignment="1">
      <alignment vertical="center"/>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1" fontId="0" fillId="0" borderId="1" xfId="0" applyNumberFormat="1" applyBorder="1" applyAlignment="1">
      <alignment vertical="center"/>
    </xf>
    <xf numFmtId="43" fontId="0" fillId="0" borderId="0" xfId="0" applyNumberFormat="1" applyAlignment="1">
      <alignment vertical="center"/>
    </xf>
    <xf numFmtId="43" fontId="0" fillId="0" borderId="1" xfId="3" applyFont="1" applyBorder="1" applyAlignment="1">
      <alignment vertical="center"/>
    </xf>
    <xf numFmtId="43" fontId="0" fillId="0" borderId="0" xfId="0" applyNumberFormat="1" applyAlignment="1">
      <alignment horizontal="center" vertical="center"/>
    </xf>
    <xf numFmtId="0" fontId="14" fillId="0" borderId="1" xfId="0" applyFont="1" applyBorder="1" applyAlignment="1">
      <alignment horizontal="center" vertical="center" wrapText="1"/>
    </xf>
    <xf numFmtId="1" fontId="0" fillId="0" borderId="1" xfId="0" applyNumberFormat="1" applyBorder="1" applyAlignment="1">
      <alignment vertical="center" wrapText="1"/>
    </xf>
    <xf numFmtId="2" fontId="0" fillId="0" borderId="1" xfId="0" applyNumberFormat="1" applyBorder="1" applyAlignment="1">
      <alignment vertical="center" wrapText="1"/>
    </xf>
    <xf numFmtId="0" fontId="0" fillId="0" borderId="1" xfId="0" applyBorder="1" applyAlignment="1">
      <alignment vertical="center" wrapText="1"/>
    </xf>
    <xf numFmtId="165" fontId="1" fillId="0" borderId="1" xfId="3" applyNumberFormat="1" applyBorder="1" applyAlignment="1">
      <alignment vertical="center" wrapText="1"/>
    </xf>
    <xf numFmtId="0" fontId="2" fillId="0" borderId="4" xfId="0" applyFont="1" applyBorder="1" applyAlignment="1">
      <alignment horizontal="center" vertical="center" wrapText="1"/>
    </xf>
    <xf numFmtId="43" fontId="0" fillId="0" borderId="4" xfId="3" applyFont="1" applyBorder="1" applyAlignment="1">
      <alignment horizontal="center" vertical="center"/>
    </xf>
    <xf numFmtId="43" fontId="2" fillId="7" borderId="7" xfId="3" applyFont="1" applyFill="1" applyBorder="1" applyAlignment="1">
      <alignment horizontal="center" vertical="center"/>
    </xf>
    <xf numFmtId="43" fontId="0" fillId="0" borderId="4" xfId="0" applyNumberFormat="1" applyBorder="1" applyAlignment="1">
      <alignment vertical="center" wrapText="1"/>
    </xf>
    <xf numFmtId="0" fontId="0" fillId="10" borderId="1" xfId="0" applyFill="1" applyBorder="1" applyAlignment="1">
      <alignment vertical="center"/>
    </xf>
    <xf numFmtId="0" fontId="2" fillId="7" borderId="47" xfId="0" applyFont="1" applyFill="1" applyBorder="1" applyAlignment="1">
      <alignment vertical="center"/>
    </xf>
    <xf numFmtId="7" fontId="2" fillId="7" borderId="47" xfId="0" applyNumberFormat="1" applyFont="1" applyFill="1" applyBorder="1" applyAlignment="1">
      <alignment vertical="center"/>
    </xf>
    <xf numFmtId="165" fontId="2" fillId="7" borderId="47" xfId="0" applyNumberFormat="1" applyFont="1" applyFill="1" applyBorder="1" applyAlignment="1">
      <alignment vertical="center"/>
    </xf>
    <xf numFmtId="7" fontId="2" fillId="7" borderId="7" xfId="0" applyNumberFormat="1" applyFont="1" applyFill="1" applyBorder="1" applyAlignment="1">
      <alignment vertical="center"/>
    </xf>
    <xf numFmtId="0" fontId="55" fillId="0" borderId="46" xfId="0" applyFont="1" applyBorder="1" applyAlignment="1">
      <alignment horizontal="justify" vertical="center"/>
    </xf>
    <xf numFmtId="4" fontId="1" fillId="0" borderId="46" xfId="0" applyNumberFormat="1" applyFont="1" applyBorder="1" applyAlignment="1">
      <alignment horizontal="center" vertical="center" wrapText="1"/>
    </xf>
    <xf numFmtId="1" fontId="7" fillId="10" borderId="46" xfId="0" applyNumberFormat="1" applyFont="1" applyFill="1" applyBorder="1" applyAlignment="1">
      <alignment horizontal="center" vertical="center" wrapText="1"/>
    </xf>
    <xf numFmtId="2" fontId="15" fillId="0" borderId="10" xfId="0" applyNumberFormat="1" applyFont="1" applyBorder="1" applyAlignment="1">
      <alignment horizontal="center" vertical="center"/>
    </xf>
    <xf numFmtId="2" fontId="15" fillId="0" borderId="46" xfId="0" applyNumberFormat="1" applyFont="1" applyBorder="1" applyAlignment="1">
      <alignment horizontal="center" vertical="center" wrapText="1"/>
    </xf>
    <xf numFmtId="2" fontId="7" fillId="0" borderId="3" xfId="0" applyNumberFormat="1" applyFont="1" applyBorder="1" applyAlignment="1">
      <alignment horizontal="center" vertical="center" wrapText="1"/>
    </xf>
    <xf numFmtId="0" fontId="55" fillId="0" borderId="1" xfId="0" applyFont="1" applyBorder="1" applyAlignment="1">
      <alignment horizontal="justify" vertical="center"/>
    </xf>
    <xf numFmtId="3" fontId="1" fillId="0" borderId="1" xfId="0" applyNumberFormat="1" applyFont="1" applyBorder="1" applyAlignment="1">
      <alignment horizontal="center" vertical="center" wrapText="1"/>
    </xf>
    <xf numFmtId="1" fontId="7" fillId="10" borderId="1" xfId="0" applyNumberFormat="1" applyFont="1" applyFill="1" applyBorder="1" applyAlignment="1">
      <alignment horizontal="center" vertical="center" wrapText="1"/>
    </xf>
    <xf numFmtId="2" fontId="15" fillId="0" borderId="1" xfId="0" applyNumberFormat="1" applyFont="1" applyBorder="1" applyAlignment="1">
      <alignment horizontal="center" vertical="center"/>
    </xf>
    <xf numFmtId="2" fontId="15" fillId="0" borderId="1" xfId="0" applyNumberFormat="1" applyFont="1" applyBorder="1" applyAlignment="1">
      <alignment horizontal="center" vertical="center" wrapText="1"/>
    </xf>
    <xf numFmtId="2" fontId="7" fillId="0" borderId="4" xfId="0" applyNumberFormat="1" applyFont="1" applyBorder="1" applyAlignment="1">
      <alignment horizontal="center" vertical="center" wrapText="1"/>
    </xf>
    <xf numFmtId="4" fontId="0" fillId="0" borderId="1" xfId="0" applyNumberFormat="1" applyBorder="1" applyAlignment="1">
      <alignment vertical="center" wrapText="1"/>
    </xf>
    <xf numFmtId="0" fontId="0" fillId="10" borderId="1" xfId="0" applyFill="1" applyBorder="1" applyAlignment="1">
      <alignment horizontal="center" vertical="center" wrapText="1"/>
    </xf>
    <xf numFmtId="0" fontId="15" fillId="6" borderId="2" xfId="0" applyFont="1" applyFill="1" applyBorder="1" applyAlignment="1">
      <alignment horizontal="center" vertical="center"/>
    </xf>
    <xf numFmtId="0" fontId="25" fillId="0" borderId="46" xfId="0" applyFont="1" applyBorder="1" applyAlignment="1">
      <alignment horizontal="justify" vertical="center" wrapText="1"/>
    </xf>
    <xf numFmtId="0" fontId="25" fillId="0" borderId="46" xfId="0" applyFont="1" applyBorder="1" applyAlignment="1">
      <alignment horizontal="center" vertical="center"/>
    </xf>
    <xf numFmtId="0" fontId="25" fillId="10" borderId="46" xfId="0" applyFont="1" applyFill="1" applyBorder="1" applyAlignment="1">
      <alignment horizontal="center" vertical="center"/>
    </xf>
    <xf numFmtId="2" fontId="15" fillId="0" borderId="46" xfId="0" applyNumberFormat="1" applyFont="1" applyBorder="1" applyAlignment="1">
      <alignment horizontal="center" vertical="center"/>
    </xf>
    <xf numFmtId="0" fontId="25" fillId="0" borderId="1" xfId="0" applyFont="1" applyBorder="1" applyAlignment="1">
      <alignment horizontal="justify" vertical="center" wrapText="1"/>
    </xf>
    <xf numFmtId="0" fontId="25" fillId="0" borderId="1" xfId="0" applyFont="1" applyBorder="1" applyAlignment="1">
      <alignment horizontal="center" vertical="center"/>
    </xf>
    <xf numFmtId="0" fontId="25" fillId="0" borderId="1" xfId="0" applyFont="1" applyBorder="1" applyAlignment="1">
      <alignment vertical="center" wrapText="1"/>
    </xf>
    <xf numFmtId="0" fontId="15" fillId="6" borderId="46" xfId="0" applyFont="1" applyFill="1" applyBorder="1" applyAlignment="1">
      <alignment horizontal="center" vertical="center" wrapText="1"/>
    </xf>
    <xf numFmtId="0" fontId="15" fillId="6" borderId="10" xfId="0" applyFont="1" applyFill="1" applyBorder="1" applyAlignment="1">
      <alignment horizontal="center" vertical="center"/>
    </xf>
    <xf numFmtId="0" fontId="1" fillId="0" borderId="71" xfId="0" applyFont="1" applyBorder="1" applyAlignment="1">
      <alignment vertical="center" wrapText="1"/>
    </xf>
    <xf numFmtId="4" fontId="1" fillId="0" borderId="10" xfId="0" applyNumberFormat="1" applyFont="1" applyBorder="1" applyAlignment="1">
      <alignment horizontal="center" vertical="center" wrapText="1"/>
    </xf>
    <xf numFmtId="0" fontId="1" fillId="10" borderId="71" xfId="0" applyFont="1" applyFill="1" applyBorder="1" applyAlignment="1">
      <alignment horizontal="center" vertical="center" wrapText="1"/>
    </xf>
    <xf numFmtId="2" fontId="1" fillId="0" borderId="10" xfId="0" applyNumberFormat="1" applyFont="1" applyBorder="1" applyAlignment="1">
      <alignment horizontal="center" vertical="center"/>
    </xf>
    <xf numFmtId="0" fontId="0" fillId="0" borderId="71" xfId="0" applyBorder="1" applyAlignment="1">
      <alignment vertical="center" wrapText="1"/>
    </xf>
    <xf numFmtId="0" fontId="15" fillId="0" borderId="1" xfId="0" applyFont="1" applyBorder="1" applyAlignment="1">
      <alignment horizontal="center" vertic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2" fillId="7" borderId="70" xfId="0" applyFont="1" applyFill="1" applyBorder="1" applyAlignment="1">
      <alignment vertical="center"/>
    </xf>
    <xf numFmtId="0" fontId="2" fillId="7" borderId="16" xfId="0" applyFont="1" applyFill="1" applyBorder="1" applyAlignment="1">
      <alignment vertical="center"/>
    </xf>
    <xf numFmtId="0" fontId="2" fillId="7" borderId="30" xfId="0" applyFont="1" applyFill="1" applyBorder="1" applyAlignment="1">
      <alignment vertical="center"/>
    </xf>
    <xf numFmtId="0" fontId="0" fillId="0" borderId="5" xfId="0" applyBorder="1" applyAlignment="1">
      <alignment horizontal="left" vertical="center" wrapText="1"/>
    </xf>
    <xf numFmtId="0" fontId="0" fillId="0" borderId="1" xfId="0" applyBorder="1" applyAlignment="1">
      <alignment horizontal="left" vertical="center" wrapText="1"/>
    </xf>
    <xf numFmtId="1" fontId="0" fillId="0" borderId="1" xfId="0" applyNumberFormat="1" applyBorder="1" applyAlignment="1">
      <alignment horizontal="center" vertical="center"/>
    </xf>
    <xf numFmtId="0" fontId="33" fillId="4" borderId="57" xfId="0" applyFont="1" applyFill="1" applyBorder="1" applyAlignment="1">
      <alignment horizontal="center" vertical="center" wrapText="1"/>
    </xf>
    <xf numFmtId="0" fontId="33" fillId="4" borderId="59" xfId="0" applyFont="1" applyFill="1" applyBorder="1" applyAlignment="1">
      <alignment horizontal="center" vertical="center" wrapText="1"/>
    </xf>
    <xf numFmtId="0" fontId="33" fillId="4" borderId="58"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0" fontId="33" fillId="4" borderId="54" xfId="0" applyFont="1" applyFill="1" applyBorder="1" applyAlignment="1">
      <alignment horizontal="center" vertical="center"/>
    </xf>
    <xf numFmtId="0" fontId="33" fillId="4" borderId="15" xfId="0" applyFont="1" applyFill="1" applyBorder="1" applyAlignment="1">
      <alignment horizontal="center" vertical="center"/>
    </xf>
    <xf numFmtId="0" fontId="33" fillId="4" borderId="55" xfId="0" applyFont="1" applyFill="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1" fontId="0" fillId="0" borderId="26" xfId="0" applyNumberFormat="1" applyBorder="1" applyAlignment="1">
      <alignment horizontal="center" vertical="center"/>
    </xf>
    <xf numFmtId="1" fontId="0" fillId="0" borderId="27" xfId="0" applyNumberFormat="1" applyBorder="1" applyAlignment="1">
      <alignment horizontal="center" vertical="center"/>
    </xf>
    <xf numFmtId="0" fontId="2" fillId="7" borderId="70" xfId="0" applyFont="1" applyFill="1" applyBorder="1" applyAlignment="1">
      <alignment horizontal="center" wrapText="1"/>
    </xf>
    <xf numFmtId="0" fontId="2" fillId="7" borderId="16" xfId="0" applyFont="1" applyFill="1" applyBorder="1" applyAlignment="1">
      <alignment horizontal="center" wrapText="1"/>
    </xf>
    <xf numFmtId="0" fontId="2" fillId="7" borderId="30" xfId="0" applyFont="1" applyFill="1" applyBorder="1" applyAlignment="1">
      <alignment horizontal="center" wrapText="1"/>
    </xf>
    <xf numFmtId="0" fontId="2" fillId="0" borderId="62" xfId="0" applyFont="1" applyBorder="1" applyAlignment="1">
      <alignment horizontal="center" vertical="center"/>
    </xf>
    <xf numFmtId="0" fontId="33" fillId="13" borderId="1" xfId="0" applyFont="1" applyFill="1" applyBorder="1" applyAlignment="1">
      <alignment horizontal="center" vertical="center"/>
    </xf>
    <xf numFmtId="0" fontId="33" fillId="4" borderId="2" xfId="0" applyFont="1" applyFill="1" applyBorder="1" applyAlignment="1">
      <alignment horizontal="center" vertical="center"/>
    </xf>
    <xf numFmtId="0" fontId="33" fillId="4" borderId="46" xfId="0" applyFont="1" applyFill="1" applyBorder="1" applyAlignment="1">
      <alignment horizontal="center" vertical="center"/>
    </xf>
    <xf numFmtId="0" fontId="33" fillId="4" borderId="3" xfId="0" applyFont="1" applyFill="1" applyBorder="1" applyAlignment="1">
      <alignment horizontal="center" vertical="center"/>
    </xf>
    <xf numFmtId="0" fontId="33" fillId="0" borderId="22" xfId="0" applyFont="1" applyBorder="1" applyAlignment="1">
      <alignment horizontal="center" vertical="center"/>
    </xf>
    <xf numFmtId="0" fontId="33" fillId="0" borderId="20" xfId="0" applyFont="1" applyBorder="1" applyAlignment="1">
      <alignment horizontal="center" vertical="center"/>
    </xf>
    <xf numFmtId="0" fontId="33" fillId="0" borderId="14" xfId="0" applyFont="1" applyBorder="1" applyAlignment="1">
      <alignment horizontal="center" vertical="center"/>
    </xf>
    <xf numFmtId="0" fontId="2" fillId="0" borderId="1" xfId="0" applyFont="1" applyBorder="1" applyAlignment="1">
      <alignment horizontal="center"/>
    </xf>
    <xf numFmtId="0" fontId="0" fillId="0" borderId="1" xfId="0" applyBorder="1" applyAlignment="1">
      <alignment horizontal="left"/>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2" fontId="0" fillId="0" borderId="1" xfId="0" applyNumberFormat="1" applyBorder="1" applyAlignment="1">
      <alignment horizontal="center" vertic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2" fillId="0" borderId="1" xfId="0" applyFont="1" applyBorder="1" applyAlignment="1">
      <alignment horizontal="center" wrapText="1"/>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13" fillId="0" borderId="33" xfId="0" applyFont="1" applyBorder="1" applyAlignment="1">
      <alignment vertical="center" wrapText="1"/>
    </xf>
    <xf numFmtId="0" fontId="34" fillId="0" borderId="34" xfId="0" applyFont="1" applyBorder="1" applyAlignment="1">
      <alignment vertical="center" wrapText="1"/>
    </xf>
    <xf numFmtId="0" fontId="34" fillId="0" borderId="35" xfId="0" applyFont="1" applyBorder="1" applyAlignment="1">
      <alignment vertical="center" wrapText="1"/>
    </xf>
    <xf numFmtId="0" fontId="34" fillId="0" borderId="23" xfId="0" applyFont="1" applyBorder="1" applyAlignment="1">
      <alignment vertical="center" wrapText="1"/>
    </xf>
    <xf numFmtId="0" fontId="34" fillId="0" borderId="24" xfId="0" applyFont="1" applyBorder="1" applyAlignment="1">
      <alignment vertical="center" wrapText="1"/>
    </xf>
    <xf numFmtId="0" fontId="34" fillId="0" borderId="25" xfId="0" applyFont="1" applyBorder="1" applyAlignment="1">
      <alignment vertical="center" wrapText="1"/>
    </xf>
    <xf numFmtId="0" fontId="2" fillId="7" borderId="26" xfId="0" applyFont="1" applyFill="1" applyBorder="1" applyAlignment="1">
      <alignment horizontal="center"/>
    </xf>
    <xf numFmtId="0" fontId="2" fillId="7" borderId="12" xfId="0" applyFont="1" applyFill="1" applyBorder="1" applyAlignment="1">
      <alignment horizontal="center"/>
    </xf>
    <xf numFmtId="0" fontId="2" fillId="7" borderId="27" xfId="0" applyFont="1" applyFill="1" applyBorder="1" applyAlignment="1">
      <alignment horizontal="center"/>
    </xf>
    <xf numFmtId="0" fontId="0" fillId="0" borderId="1" xfId="0" applyBorder="1" applyAlignment="1">
      <alignment horizontal="justify" vertical="justify" wrapText="1"/>
    </xf>
    <xf numFmtId="0" fontId="0" fillId="0" borderId="1" xfId="0" applyBorder="1" applyAlignment="1">
      <alignment horizontal="justify" vertical="justify"/>
    </xf>
    <xf numFmtId="2" fontId="0" fillId="0" borderId="26" xfId="0" applyNumberFormat="1" applyBorder="1" applyAlignment="1">
      <alignment horizontal="center" vertical="center"/>
    </xf>
    <xf numFmtId="2" fontId="0" fillId="0" borderId="27" xfId="0" applyNumberFormat="1" applyBorder="1" applyAlignment="1">
      <alignment horizontal="center" vertical="center"/>
    </xf>
    <xf numFmtId="2" fontId="0" fillId="0" borderId="26" xfId="0" applyNumberFormat="1" applyBorder="1" applyAlignment="1">
      <alignment horizontal="center"/>
    </xf>
    <xf numFmtId="2" fontId="0" fillId="0" borderId="27" xfId="0" applyNumberFormat="1" applyBorder="1" applyAlignment="1">
      <alignment horizontal="center"/>
    </xf>
    <xf numFmtId="0" fontId="0" fillId="0" borderId="26" xfId="0" applyBorder="1" applyAlignment="1">
      <alignment horizontal="center"/>
    </xf>
    <xf numFmtId="0" fontId="0" fillId="0" borderId="27" xfId="0" applyBorder="1" applyAlignment="1">
      <alignment horizontal="center"/>
    </xf>
    <xf numFmtId="0" fontId="1" fillId="0" borderId="1" xfId="0" applyFont="1" applyBorder="1" applyAlignment="1">
      <alignment horizontal="left" vertical="center"/>
    </xf>
    <xf numFmtId="0" fontId="1" fillId="0" borderId="1" xfId="0" applyFont="1" applyBorder="1" applyAlignment="1">
      <alignment horizontal="left"/>
    </xf>
    <xf numFmtId="0" fontId="2" fillId="4" borderId="1" xfId="0" applyFont="1" applyFill="1" applyBorder="1" applyAlignment="1">
      <alignment horizontal="center"/>
    </xf>
    <xf numFmtId="0" fontId="27" fillId="0" borderId="26" xfId="0" applyFont="1" applyBorder="1" applyAlignment="1">
      <alignment horizontal="center"/>
    </xf>
    <xf numFmtId="0" fontId="27" fillId="0" borderId="12" xfId="0" applyFont="1" applyBorder="1" applyAlignment="1">
      <alignment horizontal="center"/>
    </xf>
    <xf numFmtId="0" fontId="27" fillId="0" borderId="27" xfId="0" applyFont="1" applyBorder="1" applyAlignment="1">
      <alignment horizontal="center"/>
    </xf>
    <xf numFmtId="0" fontId="0" fillId="0" borderId="1" xfId="0" applyBorder="1" applyAlignment="1">
      <alignment horizontal="left" wrapText="1"/>
    </xf>
    <xf numFmtId="0" fontId="13" fillId="4" borderId="1" xfId="0" applyFont="1" applyFill="1" applyBorder="1" applyAlignment="1">
      <alignment horizontal="center"/>
    </xf>
    <xf numFmtId="0" fontId="2" fillId="5" borderId="1" xfId="0" applyFont="1" applyFill="1" applyBorder="1" applyAlignment="1">
      <alignment horizontal="center"/>
    </xf>
    <xf numFmtId="0" fontId="0" fillId="0" borderId="1" xfId="0" applyBorder="1"/>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1" xfId="0" applyBorder="1" applyAlignment="1">
      <alignment horizontal="left"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wrapText="1"/>
    </xf>
    <xf numFmtId="0" fontId="18"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1" xfId="0" applyFont="1" applyBorder="1" applyAlignment="1">
      <alignment horizontal="left"/>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44" fillId="0" borderId="22" xfId="0" applyFont="1" applyBorder="1" applyAlignment="1">
      <alignment horizontal="left" vertical="center" wrapText="1"/>
    </xf>
    <xf numFmtId="0" fontId="44" fillId="0" borderId="20" xfId="0" applyFont="1" applyBorder="1" applyAlignment="1">
      <alignment horizontal="left" vertical="center" wrapText="1"/>
    </xf>
    <xf numFmtId="0" fontId="44"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46" xfId="0" applyFont="1" applyFill="1" applyBorder="1" applyAlignment="1">
      <alignment horizontal="left" vertical="center"/>
    </xf>
    <xf numFmtId="0" fontId="16" fillId="6" borderId="46" xfId="4" applyFill="1" applyBorder="1" applyAlignment="1" applyProtection="1">
      <alignment horizontal="left" vertical="center" wrapText="1"/>
    </xf>
    <xf numFmtId="0" fontId="56" fillId="0" borderId="1" xfId="4" applyFont="1" applyBorder="1" applyAlignment="1" applyProtection="1">
      <alignment horizontal="left" vertical="center" wrapText="1"/>
    </xf>
    <xf numFmtId="3" fontId="46" fillId="7" borderId="1" xfId="0" applyNumberFormat="1" applyFont="1" applyFill="1" applyBorder="1" applyAlignment="1">
      <alignment horizontal="left" vertical="center"/>
    </xf>
    <xf numFmtId="0" fontId="46" fillId="7" borderId="4" xfId="0" applyFont="1" applyFill="1" applyBorder="1" applyAlignment="1">
      <alignment horizontal="left" vertical="center"/>
    </xf>
    <xf numFmtId="3" fontId="46" fillId="0" borderId="47" xfId="0" applyNumberFormat="1" applyFont="1" applyBorder="1" applyAlignment="1">
      <alignment horizontal="left" vertical="center"/>
    </xf>
    <xf numFmtId="0" fontId="46"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46" fillId="0" borderId="47" xfId="0" applyFont="1" applyBorder="1" applyAlignment="1">
      <alignment horizontal="left" vertical="center"/>
    </xf>
    <xf numFmtId="0" fontId="16" fillId="0" borderId="47" xfId="4" applyBorder="1" applyAlignment="1" applyProtection="1">
      <alignment horizontal="left" vertical="center" wrapText="1"/>
    </xf>
    <xf numFmtId="0" fontId="46" fillId="0" borderId="47" xfId="0" applyFont="1" applyBorder="1" applyAlignment="1">
      <alignment horizontal="left" vertical="center" wrapText="1"/>
    </xf>
    <xf numFmtId="0" fontId="46"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7" fillId="7" borderId="1" xfId="4" applyFont="1" applyFill="1" applyBorder="1" applyAlignment="1" applyProtection="1">
      <alignment horizontal="left"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5" fillId="0" borderId="47"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5" fillId="0" borderId="7" xfId="0" applyFont="1" applyBorder="1" applyAlignment="1">
      <alignment horizontal="left" vertical="center"/>
    </xf>
    <xf numFmtId="0" fontId="56"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46" fillId="6" borderId="1" xfId="0" applyFont="1" applyFill="1" applyBorder="1" applyAlignment="1">
      <alignment horizontal="left" vertical="center" wrapText="1"/>
    </xf>
    <xf numFmtId="0" fontId="46" fillId="6" borderId="4" xfId="0" applyFont="1" applyFill="1" applyBorder="1" applyAlignment="1">
      <alignment horizontal="left" vertical="center" wrapText="1"/>
    </xf>
    <xf numFmtId="0" fontId="16" fillId="0" borderId="1" xfId="4" applyBorder="1" applyAlignment="1" applyProtection="1">
      <alignment horizontal="left" vertical="center"/>
    </xf>
    <xf numFmtId="0" fontId="44" fillId="0" borderId="57" xfId="0" applyFont="1" applyBorder="1" applyAlignment="1">
      <alignment horizontal="center" vertical="center" wrapText="1"/>
    </xf>
    <xf numFmtId="0" fontId="44" fillId="0" borderId="59" xfId="0" applyFont="1" applyBorder="1" applyAlignment="1">
      <alignment horizontal="center" vertical="center" wrapText="1"/>
    </xf>
    <xf numFmtId="0" fontId="44" fillId="0" borderId="58" xfId="0" applyFont="1" applyBorder="1" applyAlignment="1">
      <alignment horizontal="center" vertical="center" wrapText="1"/>
    </xf>
    <xf numFmtId="0" fontId="46" fillId="6" borderId="46" xfId="0" applyFont="1" applyFill="1" applyBorder="1" applyAlignment="1">
      <alignment horizontal="left" vertical="center" wrapText="1"/>
    </xf>
    <xf numFmtId="0" fontId="46" fillId="6" borderId="3" xfId="0" applyFont="1" applyFill="1" applyBorder="1" applyAlignment="1">
      <alignment horizontal="left" vertical="center" wrapText="1"/>
    </xf>
    <xf numFmtId="3" fontId="46" fillId="0" borderId="1" xfId="0" applyNumberFormat="1" applyFont="1" applyBorder="1" applyAlignment="1">
      <alignment horizontal="left" vertical="center"/>
    </xf>
    <xf numFmtId="0" fontId="46" fillId="0" borderId="4" xfId="0" applyFont="1" applyBorder="1" applyAlignment="1">
      <alignment horizontal="left"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28" fillId="4" borderId="22" xfId="0" applyFont="1" applyFill="1" applyBorder="1" applyAlignment="1">
      <alignment horizontal="center" vertical="center"/>
    </xf>
    <xf numFmtId="0" fontId="28" fillId="4" borderId="20" xfId="0" applyFont="1" applyFill="1" applyBorder="1" applyAlignment="1">
      <alignment horizontal="center" vertical="center"/>
    </xf>
    <xf numFmtId="0" fontId="28" fillId="4" borderId="14" xfId="0" applyFont="1" applyFill="1" applyBorder="1" applyAlignment="1">
      <alignment horizontal="center" vertical="center"/>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40" fillId="15" borderId="69" xfId="0" applyNumberFormat="1" applyFont="1" applyFill="1" applyBorder="1" applyAlignment="1">
      <alignment horizontal="center" vertical="center" wrapText="1"/>
    </xf>
    <xf numFmtId="10" fontId="40" fillId="15" borderId="66" xfId="0" applyNumberFormat="1" applyFont="1" applyFill="1" applyBorder="1" applyAlignment="1">
      <alignment horizontal="center" vertical="center" wrapText="1"/>
    </xf>
    <xf numFmtId="0" fontId="43" fillId="0" borderId="1" xfId="0" applyFont="1" applyBorder="1" applyAlignment="1">
      <alignment horizontal="center" vertical="center" wrapText="1"/>
    </xf>
    <xf numFmtId="0" fontId="5" fillId="0" borderId="1" xfId="0" applyFont="1" applyBorder="1" applyAlignment="1">
      <alignment horizontal="left"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eetMetadata" Target="metadata.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23</xdr:col>
      <xdr:colOff>226819</xdr:colOff>
      <xdr:row>14</xdr:row>
      <xdr:rowOff>18764</xdr:rowOff>
    </xdr:to>
    <xdr:pic>
      <xdr:nvPicPr>
        <xdr:cNvPr id="2" name="Imagem 1">
          <a:extLst>
            <a:ext uri="{FF2B5EF4-FFF2-40B4-BE49-F238E27FC236}">
              <a16:creationId xmlns:a16="http://schemas.microsoft.com/office/drawing/2014/main" id="{7999D5DE-B0F0-4ACE-9E13-47B05B5DF623}"/>
            </a:ext>
          </a:extLst>
        </xdr:cNvPr>
        <xdr:cNvPicPr>
          <a:picLocks noChangeAspect="1"/>
        </xdr:cNvPicPr>
      </xdr:nvPicPr>
      <xdr:blipFill>
        <a:blip xmlns:r="http://schemas.openxmlformats.org/officeDocument/2006/relationships" r:embed="rId1"/>
        <a:stretch>
          <a:fillRect/>
        </a:stretch>
      </xdr:blipFill>
      <xdr:spPr>
        <a:xfrm>
          <a:off x="0" y="0"/>
          <a:ext cx="14247619" cy="2285714"/>
        </a:xfrm>
        <a:prstGeom prst="rect">
          <a:avLst/>
        </a:prstGeom>
      </xdr:spPr>
    </xdr:pic>
    <xdr:clientData/>
  </xdr:twoCellAnchor>
  <xdr:twoCellAnchor editAs="oneCell">
    <xdr:from>
      <xdr:col>0</xdr:col>
      <xdr:colOff>190500</xdr:colOff>
      <xdr:row>41</xdr:row>
      <xdr:rowOff>0</xdr:rowOff>
    </xdr:from>
    <xdr:to>
      <xdr:col>23</xdr:col>
      <xdr:colOff>326115</xdr:colOff>
      <xdr:row>80</xdr:row>
      <xdr:rowOff>55774</xdr:rowOff>
    </xdr:to>
    <xdr:pic>
      <xdr:nvPicPr>
        <xdr:cNvPr id="3" name="Imagem 2">
          <a:extLst>
            <a:ext uri="{FF2B5EF4-FFF2-40B4-BE49-F238E27FC236}">
              <a16:creationId xmlns:a16="http://schemas.microsoft.com/office/drawing/2014/main" id="{59CDA14A-8937-4524-88AE-E1240188D74A}"/>
            </a:ext>
          </a:extLst>
        </xdr:cNvPr>
        <xdr:cNvPicPr>
          <a:picLocks noChangeAspect="1"/>
        </xdr:cNvPicPr>
      </xdr:nvPicPr>
      <xdr:blipFill>
        <a:blip xmlns:r="http://schemas.openxmlformats.org/officeDocument/2006/relationships" r:embed="rId2"/>
        <a:stretch>
          <a:fillRect/>
        </a:stretch>
      </xdr:blipFill>
      <xdr:spPr>
        <a:xfrm>
          <a:off x="190500" y="7550150"/>
          <a:ext cx="14156415" cy="6370849"/>
        </a:xfrm>
        <a:prstGeom prst="rect">
          <a:avLst/>
        </a:prstGeom>
      </xdr:spPr>
    </xdr:pic>
    <xdr:clientData/>
  </xdr:twoCellAnchor>
  <xdr:twoCellAnchor editAs="oneCell">
    <xdr:from>
      <xdr:col>0</xdr:col>
      <xdr:colOff>63500</xdr:colOff>
      <xdr:row>79</xdr:row>
      <xdr:rowOff>15875</xdr:rowOff>
    </xdr:from>
    <xdr:to>
      <xdr:col>23</xdr:col>
      <xdr:colOff>135623</xdr:colOff>
      <xdr:row>104</xdr:row>
      <xdr:rowOff>104256</xdr:rowOff>
    </xdr:to>
    <xdr:pic>
      <xdr:nvPicPr>
        <xdr:cNvPr id="4" name="Imagem 3">
          <a:extLst>
            <a:ext uri="{FF2B5EF4-FFF2-40B4-BE49-F238E27FC236}">
              <a16:creationId xmlns:a16="http://schemas.microsoft.com/office/drawing/2014/main" id="{5F60A406-7C17-49CE-B731-556FE660A73E}"/>
            </a:ext>
          </a:extLst>
        </xdr:cNvPr>
        <xdr:cNvPicPr>
          <a:picLocks noChangeAspect="1"/>
        </xdr:cNvPicPr>
      </xdr:nvPicPr>
      <xdr:blipFill>
        <a:blip xmlns:r="http://schemas.openxmlformats.org/officeDocument/2006/relationships" r:embed="rId3"/>
        <a:stretch>
          <a:fillRect/>
        </a:stretch>
      </xdr:blipFill>
      <xdr:spPr>
        <a:xfrm>
          <a:off x="63500" y="14563725"/>
          <a:ext cx="14089748" cy="4139681"/>
        </a:xfrm>
        <a:prstGeom prst="rect">
          <a:avLst/>
        </a:prstGeom>
      </xdr:spPr>
    </xdr:pic>
    <xdr:clientData/>
  </xdr:twoCellAnchor>
  <xdr:twoCellAnchor editAs="oneCell">
    <xdr:from>
      <xdr:col>0</xdr:col>
      <xdr:colOff>571500</xdr:colOff>
      <xdr:row>110</xdr:row>
      <xdr:rowOff>127000</xdr:rowOff>
    </xdr:from>
    <xdr:to>
      <xdr:col>24</xdr:col>
      <xdr:colOff>68940</xdr:colOff>
      <xdr:row>152</xdr:row>
      <xdr:rowOff>102192</xdr:rowOff>
    </xdr:to>
    <xdr:pic>
      <xdr:nvPicPr>
        <xdr:cNvPr id="5" name="Imagem 4">
          <a:extLst>
            <a:ext uri="{FF2B5EF4-FFF2-40B4-BE49-F238E27FC236}">
              <a16:creationId xmlns:a16="http://schemas.microsoft.com/office/drawing/2014/main" id="{E088373E-A8C5-479B-8618-9D9910351D08}"/>
            </a:ext>
          </a:extLst>
        </xdr:cNvPr>
        <xdr:cNvPicPr>
          <a:picLocks noChangeAspect="1"/>
        </xdr:cNvPicPr>
      </xdr:nvPicPr>
      <xdr:blipFill>
        <a:blip xmlns:r="http://schemas.openxmlformats.org/officeDocument/2006/relationships" r:embed="rId4"/>
        <a:stretch>
          <a:fillRect/>
        </a:stretch>
      </xdr:blipFill>
      <xdr:spPr>
        <a:xfrm>
          <a:off x="571500" y="20383500"/>
          <a:ext cx="14131015" cy="6782392"/>
        </a:xfrm>
        <a:prstGeom prst="rect">
          <a:avLst/>
        </a:prstGeom>
      </xdr:spPr>
    </xdr:pic>
    <xdr:clientData/>
  </xdr:twoCellAnchor>
  <xdr:twoCellAnchor editAs="oneCell">
    <xdr:from>
      <xdr:col>0</xdr:col>
      <xdr:colOff>0</xdr:colOff>
      <xdr:row>14</xdr:row>
      <xdr:rowOff>31750</xdr:rowOff>
    </xdr:from>
    <xdr:to>
      <xdr:col>23</xdr:col>
      <xdr:colOff>135615</xdr:colOff>
      <xdr:row>42</xdr:row>
      <xdr:rowOff>30026</xdr:rowOff>
    </xdr:to>
    <xdr:pic>
      <xdr:nvPicPr>
        <xdr:cNvPr id="6" name="Imagem 5">
          <a:extLst>
            <a:ext uri="{FF2B5EF4-FFF2-40B4-BE49-F238E27FC236}">
              <a16:creationId xmlns:a16="http://schemas.microsoft.com/office/drawing/2014/main" id="{5300E8C0-765C-4E53-A41E-DB7A7801B42A}"/>
            </a:ext>
          </a:extLst>
        </xdr:cNvPr>
        <xdr:cNvPicPr>
          <a:picLocks noChangeAspect="1"/>
        </xdr:cNvPicPr>
      </xdr:nvPicPr>
      <xdr:blipFill>
        <a:blip xmlns:r="http://schemas.openxmlformats.org/officeDocument/2006/relationships" r:embed="rId5"/>
        <a:stretch>
          <a:fillRect/>
        </a:stretch>
      </xdr:blipFill>
      <xdr:spPr>
        <a:xfrm>
          <a:off x="0" y="2609850"/>
          <a:ext cx="14156415" cy="4538526"/>
        </a:xfrm>
        <a:prstGeom prst="rect">
          <a:avLst/>
        </a:prstGeom>
      </xdr:spPr>
    </xdr:pic>
    <xdr:clientData/>
  </xdr:twoCellAnchor>
  <xdr:twoCellAnchor editAs="oneCell">
    <xdr:from>
      <xdr:col>0</xdr:col>
      <xdr:colOff>0</xdr:colOff>
      <xdr:row>151</xdr:row>
      <xdr:rowOff>0</xdr:rowOff>
    </xdr:from>
    <xdr:to>
      <xdr:col>7</xdr:col>
      <xdr:colOff>488361</xdr:colOff>
      <xdr:row>191</xdr:row>
      <xdr:rowOff>11861</xdr:rowOff>
    </xdr:to>
    <xdr:pic>
      <xdr:nvPicPr>
        <xdr:cNvPr id="7" name="Imagem 6">
          <a:extLst>
            <a:ext uri="{FF2B5EF4-FFF2-40B4-BE49-F238E27FC236}">
              <a16:creationId xmlns:a16="http://schemas.microsoft.com/office/drawing/2014/main" id="{DDDEBC89-1104-42E9-A26F-37809F1836BC}"/>
            </a:ext>
          </a:extLst>
        </xdr:cNvPr>
        <xdr:cNvPicPr>
          <a:picLocks noChangeAspect="1"/>
        </xdr:cNvPicPr>
      </xdr:nvPicPr>
      <xdr:blipFill>
        <a:blip xmlns:r="http://schemas.openxmlformats.org/officeDocument/2006/relationships" r:embed="rId6"/>
        <a:stretch>
          <a:fillRect/>
        </a:stretch>
      </xdr:blipFill>
      <xdr:spPr>
        <a:xfrm>
          <a:off x="0" y="27806650"/>
          <a:ext cx="4758736" cy="6492036"/>
        </a:xfrm>
        <a:prstGeom prst="rect">
          <a:avLst/>
        </a:prstGeom>
      </xdr:spPr>
    </xdr:pic>
    <xdr:clientData/>
  </xdr:twoCellAnchor>
  <xdr:twoCellAnchor editAs="oneCell">
    <xdr:from>
      <xdr:col>0</xdr:col>
      <xdr:colOff>0</xdr:colOff>
      <xdr:row>188</xdr:row>
      <xdr:rowOff>0</xdr:rowOff>
    </xdr:from>
    <xdr:to>
      <xdr:col>18</xdr:col>
      <xdr:colOff>512928</xdr:colOff>
      <xdr:row>219</xdr:row>
      <xdr:rowOff>50145</xdr:rowOff>
    </xdr:to>
    <xdr:pic>
      <xdr:nvPicPr>
        <xdr:cNvPr id="8" name="Imagem 7">
          <a:extLst>
            <a:ext uri="{FF2B5EF4-FFF2-40B4-BE49-F238E27FC236}">
              <a16:creationId xmlns:a16="http://schemas.microsoft.com/office/drawing/2014/main" id="{E1D6E012-8ABC-4518-B016-AE542F00CFE3}"/>
            </a:ext>
          </a:extLst>
        </xdr:cNvPr>
        <xdr:cNvPicPr>
          <a:picLocks noChangeAspect="1"/>
        </xdr:cNvPicPr>
      </xdr:nvPicPr>
      <xdr:blipFill>
        <a:blip xmlns:r="http://schemas.openxmlformats.org/officeDocument/2006/relationships" r:embed="rId7"/>
        <a:stretch>
          <a:fillRect/>
        </a:stretch>
      </xdr:blipFill>
      <xdr:spPr>
        <a:xfrm>
          <a:off x="0" y="34620200"/>
          <a:ext cx="11485728" cy="50666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38</xdr:row>
      <xdr:rowOff>57150</xdr:rowOff>
    </xdr:from>
    <xdr:to>
      <xdr:col>1</xdr:col>
      <xdr:colOff>361950</xdr:colOff>
      <xdr:row>39</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38</xdr:row>
      <xdr:rowOff>57150</xdr:rowOff>
    </xdr:from>
    <xdr:to>
      <xdr:col>1</xdr:col>
      <xdr:colOff>361950</xdr:colOff>
      <xdr:row>39</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29</xdr:row>
      <xdr:rowOff>104775</xdr:rowOff>
    </xdr:from>
    <xdr:to>
      <xdr:col>1</xdr:col>
      <xdr:colOff>1962150</xdr:colOff>
      <xdr:row>30</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29</xdr:row>
      <xdr:rowOff>104775</xdr:rowOff>
    </xdr:from>
    <xdr:to>
      <xdr:col>1</xdr:col>
      <xdr:colOff>1962150</xdr:colOff>
      <xdr:row>30</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91</xdr:row>
      <xdr:rowOff>57150</xdr:rowOff>
    </xdr:from>
    <xdr:to>
      <xdr:col>1</xdr:col>
      <xdr:colOff>361950</xdr:colOff>
      <xdr:row>92</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92</xdr:row>
      <xdr:rowOff>133350</xdr:rowOff>
    </xdr:from>
    <xdr:to>
      <xdr:col>1</xdr:col>
      <xdr:colOff>523875</xdr:colOff>
      <xdr:row>93</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92</xdr:row>
      <xdr:rowOff>133850</xdr:rowOff>
    </xdr:from>
    <xdr:to>
      <xdr:col>1</xdr:col>
      <xdr:colOff>2514600</xdr:colOff>
      <xdr:row>93</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93</xdr:row>
      <xdr:rowOff>107282</xdr:rowOff>
    </xdr:from>
    <xdr:to>
      <xdr:col>1</xdr:col>
      <xdr:colOff>429628</xdr:colOff>
      <xdr:row>94</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92</xdr:row>
      <xdr:rowOff>104775</xdr:rowOff>
    </xdr:from>
    <xdr:to>
      <xdr:col>1</xdr:col>
      <xdr:colOff>1962150</xdr:colOff>
      <xdr:row>93</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92</xdr:row>
      <xdr:rowOff>114300</xdr:rowOff>
    </xdr:from>
    <xdr:to>
      <xdr:col>1</xdr:col>
      <xdr:colOff>3000374</xdr:colOff>
      <xdr:row>93</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91</xdr:row>
      <xdr:rowOff>50131</xdr:rowOff>
    </xdr:from>
    <xdr:to>
      <xdr:col>1</xdr:col>
      <xdr:colOff>2971800</xdr:colOff>
      <xdr:row>92</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91</xdr:row>
      <xdr:rowOff>57150</xdr:rowOff>
    </xdr:from>
    <xdr:to>
      <xdr:col>1</xdr:col>
      <xdr:colOff>361950</xdr:colOff>
      <xdr:row>92</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92</xdr:row>
      <xdr:rowOff>133350</xdr:rowOff>
    </xdr:from>
    <xdr:to>
      <xdr:col>1</xdr:col>
      <xdr:colOff>523875</xdr:colOff>
      <xdr:row>93</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92</xdr:row>
      <xdr:rowOff>133850</xdr:rowOff>
    </xdr:from>
    <xdr:to>
      <xdr:col>1</xdr:col>
      <xdr:colOff>2514600</xdr:colOff>
      <xdr:row>93</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93</xdr:row>
      <xdr:rowOff>58153</xdr:rowOff>
    </xdr:from>
    <xdr:to>
      <xdr:col>1</xdr:col>
      <xdr:colOff>1966161</xdr:colOff>
      <xdr:row>94</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93</xdr:row>
      <xdr:rowOff>107282</xdr:rowOff>
    </xdr:from>
    <xdr:to>
      <xdr:col>1</xdr:col>
      <xdr:colOff>429628</xdr:colOff>
      <xdr:row>94</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92</xdr:row>
      <xdr:rowOff>250658</xdr:rowOff>
    </xdr:from>
    <xdr:to>
      <xdr:col>3</xdr:col>
      <xdr:colOff>280736</xdr:colOff>
      <xdr:row>92</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86</xdr:row>
      <xdr:rowOff>104775</xdr:rowOff>
    </xdr:from>
    <xdr:to>
      <xdr:col>1</xdr:col>
      <xdr:colOff>1962150</xdr:colOff>
      <xdr:row>87</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86</xdr:row>
      <xdr:rowOff>114300</xdr:rowOff>
    </xdr:from>
    <xdr:to>
      <xdr:col>1</xdr:col>
      <xdr:colOff>3000374</xdr:colOff>
      <xdr:row>87</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85</xdr:row>
      <xdr:rowOff>50131</xdr:rowOff>
    </xdr:from>
    <xdr:to>
      <xdr:col>1</xdr:col>
      <xdr:colOff>2971800</xdr:colOff>
      <xdr:row>86</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85</xdr:row>
      <xdr:rowOff>57150</xdr:rowOff>
    </xdr:from>
    <xdr:to>
      <xdr:col>1</xdr:col>
      <xdr:colOff>361950</xdr:colOff>
      <xdr:row>86</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86</xdr:row>
      <xdr:rowOff>133350</xdr:rowOff>
    </xdr:from>
    <xdr:to>
      <xdr:col>1</xdr:col>
      <xdr:colOff>523875</xdr:colOff>
      <xdr:row>86</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86</xdr:row>
      <xdr:rowOff>133850</xdr:rowOff>
    </xdr:from>
    <xdr:to>
      <xdr:col>1</xdr:col>
      <xdr:colOff>2514600</xdr:colOff>
      <xdr:row>87</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87</xdr:row>
      <xdr:rowOff>58153</xdr:rowOff>
    </xdr:from>
    <xdr:to>
      <xdr:col>1</xdr:col>
      <xdr:colOff>1966161</xdr:colOff>
      <xdr:row>88</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87</xdr:row>
      <xdr:rowOff>107282</xdr:rowOff>
    </xdr:from>
    <xdr:to>
      <xdr:col>1</xdr:col>
      <xdr:colOff>429628</xdr:colOff>
      <xdr:row>88</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86</xdr:row>
      <xdr:rowOff>250658</xdr:rowOff>
    </xdr:from>
    <xdr:to>
      <xdr:col>3</xdr:col>
      <xdr:colOff>280736</xdr:colOff>
      <xdr:row>86</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86</xdr:row>
      <xdr:rowOff>104775</xdr:rowOff>
    </xdr:from>
    <xdr:to>
      <xdr:col>1</xdr:col>
      <xdr:colOff>1962150</xdr:colOff>
      <xdr:row>87</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86</xdr:row>
      <xdr:rowOff>114300</xdr:rowOff>
    </xdr:from>
    <xdr:to>
      <xdr:col>1</xdr:col>
      <xdr:colOff>3000374</xdr:colOff>
      <xdr:row>87</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85</xdr:row>
      <xdr:rowOff>50131</xdr:rowOff>
    </xdr:from>
    <xdr:to>
      <xdr:col>1</xdr:col>
      <xdr:colOff>2971800</xdr:colOff>
      <xdr:row>86</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85</xdr:row>
      <xdr:rowOff>57150</xdr:rowOff>
    </xdr:from>
    <xdr:to>
      <xdr:col>1</xdr:col>
      <xdr:colOff>361950</xdr:colOff>
      <xdr:row>86</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86</xdr:row>
      <xdr:rowOff>133350</xdr:rowOff>
    </xdr:from>
    <xdr:to>
      <xdr:col>1</xdr:col>
      <xdr:colOff>523875</xdr:colOff>
      <xdr:row>86</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86</xdr:row>
      <xdr:rowOff>133850</xdr:rowOff>
    </xdr:from>
    <xdr:to>
      <xdr:col>1</xdr:col>
      <xdr:colOff>2514600</xdr:colOff>
      <xdr:row>87</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87</xdr:row>
      <xdr:rowOff>58153</xdr:rowOff>
    </xdr:from>
    <xdr:to>
      <xdr:col>1</xdr:col>
      <xdr:colOff>1966161</xdr:colOff>
      <xdr:row>88</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87</xdr:row>
      <xdr:rowOff>107282</xdr:rowOff>
    </xdr:from>
    <xdr:to>
      <xdr:col>1</xdr:col>
      <xdr:colOff>429628</xdr:colOff>
      <xdr:row>88</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86</xdr:row>
      <xdr:rowOff>250658</xdr:rowOff>
    </xdr:from>
    <xdr:to>
      <xdr:col>3</xdr:col>
      <xdr:colOff>280736</xdr:colOff>
      <xdr:row>86</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28</xdr:row>
      <xdr:rowOff>104775</xdr:rowOff>
    </xdr:from>
    <xdr:to>
      <xdr:col>1</xdr:col>
      <xdr:colOff>1962150</xdr:colOff>
      <xdr:row>29</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101600</xdr:rowOff>
    </xdr:from>
    <xdr:to>
      <xdr:col>1</xdr:col>
      <xdr:colOff>1962150</xdr:colOff>
      <xdr:row>29</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27</xdr:row>
      <xdr:rowOff>46956</xdr:rowOff>
    </xdr:from>
    <xdr:to>
      <xdr:col>1</xdr:col>
      <xdr:colOff>2971800</xdr:colOff>
      <xdr:row>28</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29</xdr:row>
      <xdr:rowOff>6183</xdr:rowOff>
    </xdr:from>
    <xdr:to>
      <xdr:col>3</xdr:col>
      <xdr:colOff>277561</xdr:colOff>
      <xdr:row>29</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66675</xdr:colOff>
      <xdr:row>74</xdr:row>
      <xdr:rowOff>57150</xdr:rowOff>
    </xdr:from>
    <xdr:to>
      <xdr:col>1</xdr:col>
      <xdr:colOff>361950</xdr:colOff>
      <xdr:row>75</xdr:row>
      <xdr:rowOff>57150</xdr:rowOff>
    </xdr:to>
    <xdr:sp macro="" textlink="">
      <xdr:nvSpPr>
        <xdr:cNvPr id="2" name="Text Box 16">
          <a:extLst>
            <a:ext uri="{FF2B5EF4-FFF2-40B4-BE49-F238E27FC236}">
              <a16:creationId xmlns:a16="http://schemas.microsoft.com/office/drawing/2014/main" id="{B8CA129F-E9F6-4F86-9461-70E562A0130A}"/>
            </a:ext>
          </a:extLst>
        </xdr:cNvPr>
        <xdr:cNvSpPr txBox="1">
          <a:spLocks noChangeArrowheads="1"/>
        </xdr:cNvSpPr>
      </xdr:nvSpPr>
      <xdr:spPr bwMode="auto">
        <a:xfrm>
          <a:off x="65405" y="17266920"/>
          <a:ext cx="559435" cy="1600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75</xdr:row>
      <xdr:rowOff>133350</xdr:rowOff>
    </xdr:from>
    <xdr:to>
      <xdr:col>1</xdr:col>
      <xdr:colOff>523875</xdr:colOff>
      <xdr:row>76</xdr:row>
      <xdr:rowOff>0</xdr:rowOff>
    </xdr:to>
    <xdr:sp macro="" textlink="">
      <xdr:nvSpPr>
        <xdr:cNvPr id="3" name="Text Box 17">
          <a:extLst>
            <a:ext uri="{FF2B5EF4-FFF2-40B4-BE49-F238E27FC236}">
              <a16:creationId xmlns:a16="http://schemas.microsoft.com/office/drawing/2014/main" id="{1DFEDA37-CE18-4E1E-A5DD-2B2E3504B607}"/>
            </a:ext>
          </a:extLst>
        </xdr:cNvPr>
        <xdr:cNvSpPr txBox="1">
          <a:spLocks noChangeArrowheads="1"/>
        </xdr:cNvSpPr>
      </xdr:nvSpPr>
      <xdr:spPr bwMode="auto">
        <a:xfrm>
          <a:off x="76200" y="17503140"/>
          <a:ext cx="705485" cy="228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75</xdr:row>
      <xdr:rowOff>133850</xdr:rowOff>
    </xdr:from>
    <xdr:to>
      <xdr:col>1</xdr:col>
      <xdr:colOff>2514600</xdr:colOff>
      <xdr:row>76</xdr:row>
      <xdr:rowOff>30079</xdr:rowOff>
    </xdr:to>
    <xdr:sp macro="" textlink="">
      <xdr:nvSpPr>
        <xdr:cNvPr id="4" name="Text Box 18">
          <a:extLst>
            <a:ext uri="{FF2B5EF4-FFF2-40B4-BE49-F238E27FC236}">
              <a16:creationId xmlns:a16="http://schemas.microsoft.com/office/drawing/2014/main" id="{AA3DFA81-9A94-4136-821F-71AA1BB7B0BA}"/>
            </a:ext>
          </a:extLst>
        </xdr:cNvPr>
        <xdr:cNvSpPr txBox="1">
          <a:spLocks noChangeArrowheads="1"/>
        </xdr:cNvSpPr>
      </xdr:nvSpPr>
      <xdr:spPr bwMode="auto">
        <a:xfrm>
          <a:off x="2275373" y="1750364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76</xdr:row>
      <xdr:rowOff>107282</xdr:rowOff>
    </xdr:from>
    <xdr:to>
      <xdr:col>1</xdr:col>
      <xdr:colOff>429628</xdr:colOff>
      <xdr:row>77</xdr:row>
      <xdr:rowOff>126332</xdr:rowOff>
    </xdr:to>
    <xdr:sp macro="" textlink="">
      <xdr:nvSpPr>
        <xdr:cNvPr id="5" name="Text Box 34">
          <a:extLst>
            <a:ext uri="{FF2B5EF4-FFF2-40B4-BE49-F238E27FC236}">
              <a16:creationId xmlns:a16="http://schemas.microsoft.com/office/drawing/2014/main" id="{92F95903-6A5E-46AC-9BFB-28D1E23D0C4E}"/>
            </a:ext>
          </a:extLst>
        </xdr:cNvPr>
        <xdr:cNvSpPr txBox="1">
          <a:spLocks noChangeArrowheads="1"/>
        </xdr:cNvSpPr>
      </xdr:nvSpPr>
      <xdr:spPr bwMode="auto">
        <a:xfrm>
          <a:off x="104508" y="17632012"/>
          <a:ext cx="586740" cy="18288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75</xdr:row>
      <xdr:rowOff>104775</xdr:rowOff>
    </xdr:from>
    <xdr:to>
      <xdr:col>1</xdr:col>
      <xdr:colOff>1962150</xdr:colOff>
      <xdr:row>76</xdr:row>
      <xdr:rowOff>9525</xdr:rowOff>
    </xdr:to>
    <xdr:sp macro="" textlink="">
      <xdr:nvSpPr>
        <xdr:cNvPr id="6" name="Text Box 12">
          <a:extLst>
            <a:ext uri="{FF2B5EF4-FFF2-40B4-BE49-F238E27FC236}">
              <a16:creationId xmlns:a16="http://schemas.microsoft.com/office/drawing/2014/main" id="{C5E68FD4-6CF1-48A3-A0ED-348B569C31CA}"/>
            </a:ext>
          </a:extLst>
        </xdr:cNvPr>
        <xdr:cNvSpPr txBox="1">
          <a:spLocks noChangeArrowheads="1"/>
        </xdr:cNvSpPr>
      </xdr:nvSpPr>
      <xdr:spPr bwMode="auto">
        <a:xfrm>
          <a:off x="792480" y="1746948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75</xdr:row>
      <xdr:rowOff>114300</xdr:rowOff>
    </xdr:from>
    <xdr:to>
      <xdr:col>1</xdr:col>
      <xdr:colOff>3000374</xdr:colOff>
      <xdr:row>76</xdr:row>
      <xdr:rowOff>9525</xdr:rowOff>
    </xdr:to>
    <xdr:sp macro="" textlink="">
      <xdr:nvSpPr>
        <xdr:cNvPr id="7" name="Text Box 13">
          <a:extLst>
            <a:ext uri="{FF2B5EF4-FFF2-40B4-BE49-F238E27FC236}">
              <a16:creationId xmlns:a16="http://schemas.microsoft.com/office/drawing/2014/main" id="{F7D522A5-86D4-47E0-90F9-BC859CE62E81}"/>
            </a:ext>
          </a:extLst>
        </xdr:cNvPr>
        <xdr:cNvSpPr txBox="1">
          <a:spLocks noChangeArrowheads="1"/>
        </xdr:cNvSpPr>
      </xdr:nvSpPr>
      <xdr:spPr bwMode="auto">
        <a:xfrm>
          <a:off x="2796539" y="1748028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74</xdr:row>
      <xdr:rowOff>50131</xdr:rowOff>
    </xdr:from>
    <xdr:to>
      <xdr:col>1</xdr:col>
      <xdr:colOff>2971800</xdr:colOff>
      <xdr:row>75</xdr:row>
      <xdr:rowOff>66674</xdr:rowOff>
    </xdr:to>
    <xdr:sp macro="" textlink="">
      <xdr:nvSpPr>
        <xdr:cNvPr id="8" name="Text Box 14">
          <a:extLst>
            <a:ext uri="{FF2B5EF4-FFF2-40B4-BE49-F238E27FC236}">
              <a16:creationId xmlns:a16="http://schemas.microsoft.com/office/drawing/2014/main" id="{3E2CE2FD-86E6-4EC6-A02D-603966F01B1D}"/>
            </a:ext>
          </a:extLst>
        </xdr:cNvPr>
        <xdr:cNvSpPr txBox="1">
          <a:spLocks noChangeArrowheads="1"/>
        </xdr:cNvSpPr>
      </xdr:nvSpPr>
      <xdr:spPr bwMode="auto">
        <a:xfrm>
          <a:off x="652145" y="17258631"/>
          <a:ext cx="2578735" cy="17148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74</xdr:row>
      <xdr:rowOff>57150</xdr:rowOff>
    </xdr:from>
    <xdr:to>
      <xdr:col>1</xdr:col>
      <xdr:colOff>361950</xdr:colOff>
      <xdr:row>75</xdr:row>
      <xdr:rowOff>57150</xdr:rowOff>
    </xdr:to>
    <xdr:sp macro="" textlink="">
      <xdr:nvSpPr>
        <xdr:cNvPr id="9" name="Text Box 16">
          <a:extLst>
            <a:ext uri="{FF2B5EF4-FFF2-40B4-BE49-F238E27FC236}">
              <a16:creationId xmlns:a16="http://schemas.microsoft.com/office/drawing/2014/main" id="{67E44E8C-851B-42D2-A2E8-8E968C3F9BA7}"/>
            </a:ext>
          </a:extLst>
        </xdr:cNvPr>
        <xdr:cNvSpPr txBox="1">
          <a:spLocks noChangeArrowheads="1"/>
        </xdr:cNvSpPr>
      </xdr:nvSpPr>
      <xdr:spPr bwMode="auto">
        <a:xfrm>
          <a:off x="65405" y="17266920"/>
          <a:ext cx="559435" cy="1600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75</xdr:row>
      <xdr:rowOff>133350</xdr:rowOff>
    </xdr:from>
    <xdr:to>
      <xdr:col>1</xdr:col>
      <xdr:colOff>523875</xdr:colOff>
      <xdr:row>76</xdr:row>
      <xdr:rowOff>0</xdr:rowOff>
    </xdr:to>
    <xdr:sp macro="" textlink="">
      <xdr:nvSpPr>
        <xdr:cNvPr id="10" name="Text Box 17">
          <a:extLst>
            <a:ext uri="{FF2B5EF4-FFF2-40B4-BE49-F238E27FC236}">
              <a16:creationId xmlns:a16="http://schemas.microsoft.com/office/drawing/2014/main" id="{352F422D-A0DE-4594-9BC4-403D60AF5F43}"/>
            </a:ext>
          </a:extLst>
        </xdr:cNvPr>
        <xdr:cNvSpPr txBox="1">
          <a:spLocks noChangeArrowheads="1"/>
        </xdr:cNvSpPr>
      </xdr:nvSpPr>
      <xdr:spPr bwMode="auto">
        <a:xfrm>
          <a:off x="76200" y="17503140"/>
          <a:ext cx="705485" cy="228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75</xdr:row>
      <xdr:rowOff>133850</xdr:rowOff>
    </xdr:from>
    <xdr:to>
      <xdr:col>1</xdr:col>
      <xdr:colOff>2514600</xdr:colOff>
      <xdr:row>76</xdr:row>
      <xdr:rowOff>30079</xdr:rowOff>
    </xdr:to>
    <xdr:sp macro="" textlink="">
      <xdr:nvSpPr>
        <xdr:cNvPr id="11" name="Text Box 18">
          <a:extLst>
            <a:ext uri="{FF2B5EF4-FFF2-40B4-BE49-F238E27FC236}">
              <a16:creationId xmlns:a16="http://schemas.microsoft.com/office/drawing/2014/main" id="{2736AF03-C481-4B75-8AB6-1C3873C0976B}"/>
            </a:ext>
          </a:extLst>
        </xdr:cNvPr>
        <xdr:cNvSpPr txBox="1">
          <a:spLocks noChangeArrowheads="1"/>
        </xdr:cNvSpPr>
      </xdr:nvSpPr>
      <xdr:spPr bwMode="auto">
        <a:xfrm>
          <a:off x="2275373" y="1750364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76</xdr:row>
      <xdr:rowOff>58153</xdr:rowOff>
    </xdr:from>
    <xdr:to>
      <xdr:col>1</xdr:col>
      <xdr:colOff>1966161</xdr:colOff>
      <xdr:row>77</xdr:row>
      <xdr:rowOff>115303</xdr:rowOff>
    </xdr:to>
    <xdr:sp macro="" textlink="">
      <xdr:nvSpPr>
        <xdr:cNvPr id="12" name="Text Box 32">
          <a:extLst>
            <a:ext uri="{FF2B5EF4-FFF2-40B4-BE49-F238E27FC236}">
              <a16:creationId xmlns:a16="http://schemas.microsoft.com/office/drawing/2014/main" id="{82D0C6B8-8519-4CB5-B956-0E6CF3D945DE}"/>
            </a:ext>
          </a:extLst>
        </xdr:cNvPr>
        <xdr:cNvSpPr txBox="1">
          <a:spLocks noChangeArrowheads="1"/>
        </xdr:cNvSpPr>
      </xdr:nvSpPr>
      <xdr:spPr bwMode="auto">
        <a:xfrm>
          <a:off x="785696" y="17587963"/>
          <a:ext cx="1437005" cy="21336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76</xdr:row>
      <xdr:rowOff>107282</xdr:rowOff>
    </xdr:from>
    <xdr:to>
      <xdr:col>1</xdr:col>
      <xdr:colOff>429628</xdr:colOff>
      <xdr:row>77</xdr:row>
      <xdr:rowOff>126332</xdr:rowOff>
    </xdr:to>
    <xdr:sp macro="" textlink="">
      <xdr:nvSpPr>
        <xdr:cNvPr id="13" name="Text Box 34">
          <a:extLst>
            <a:ext uri="{FF2B5EF4-FFF2-40B4-BE49-F238E27FC236}">
              <a16:creationId xmlns:a16="http://schemas.microsoft.com/office/drawing/2014/main" id="{F7830807-2EC9-414B-BA42-69909583E3B2}"/>
            </a:ext>
          </a:extLst>
        </xdr:cNvPr>
        <xdr:cNvSpPr txBox="1">
          <a:spLocks noChangeArrowheads="1"/>
        </xdr:cNvSpPr>
      </xdr:nvSpPr>
      <xdr:spPr bwMode="auto">
        <a:xfrm>
          <a:off x="104508" y="17632012"/>
          <a:ext cx="586740" cy="18288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75</xdr:row>
      <xdr:rowOff>250658</xdr:rowOff>
    </xdr:from>
    <xdr:to>
      <xdr:col>3</xdr:col>
      <xdr:colOff>280736</xdr:colOff>
      <xdr:row>75</xdr:row>
      <xdr:rowOff>250658</xdr:rowOff>
    </xdr:to>
    <xdr:cxnSp macro="">
      <xdr:nvCxnSpPr>
        <xdr:cNvPr id="14" name="Conector de seta reta 18">
          <a:extLst>
            <a:ext uri="{FF2B5EF4-FFF2-40B4-BE49-F238E27FC236}">
              <a16:creationId xmlns:a16="http://schemas.microsoft.com/office/drawing/2014/main" id="{CBFB5FE1-5C87-4DEC-9365-487856BF49CE}"/>
            </a:ext>
          </a:extLst>
        </xdr:cNvPr>
        <xdr:cNvCxnSpPr/>
      </xdr:nvCxnSpPr>
      <xdr:spPr>
        <a:xfrm>
          <a:off x="4081646" y="175290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69</xdr:row>
      <xdr:rowOff>104775</xdr:rowOff>
    </xdr:from>
    <xdr:to>
      <xdr:col>1</xdr:col>
      <xdr:colOff>1962150</xdr:colOff>
      <xdr:row>70</xdr:row>
      <xdr:rowOff>9525</xdr:rowOff>
    </xdr:to>
    <xdr:sp macro="" textlink="">
      <xdr:nvSpPr>
        <xdr:cNvPr id="15" name="Text Box 12">
          <a:extLst>
            <a:ext uri="{FF2B5EF4-FFF2-40B4-BE49-F238E27FC236}">
              <a16:creationId xmlns:a16="http://schemas.microsoft.com/office/drawing/2014/main" id="{FA54551C-2388-4C56-9193-AD193B9293A8}"/>
            </a:ext>
          </a:extLst>
        </xdr:cNvPr>
        <xdr:cNvSpPr txBox="1">
          <a:spLocks noChangeArrowheads="1"/>
        </xdr:cNvSpPr>
      </xdr:nvSpPr>
      <xdr:spPr bwMode="auto">
        <a:xfrm>
          <a:off x="792480" y="16280765"/>
          <a:ext cx="1432560" cy="27432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69</xdr:row>
      <xdr:rowOff>114300</xdr:rowOff>
    </xdr:from>
    <xdr:to>
      <xdr:col>1</xdr:col>
      <xdr:colOff>3000374</xdr:colOff>
      <xdr:row>70</xdr:row>
      <xdr:rowOff>9525</xdr:rowOff>
    </xdr:to>
    <xdr:sp macro="" textlink="">
      <xdr:nvSpPr>
        <xdr:cNvPr id="16" name="Text Box 13">
          <a:extLst>
            <a:ext uri="{FF2B5EF4-FFF2-40B4-BE49-F238E27FC236}">
              <a16:creationId xmlns:a16="http://schemas.microsoft.com/office/drawing/2014/main" id="{830E507C-D649-4A4C-BCF9-86AFED6162B2}"/>
            </a:ext>
          </a:extLst>
        </xdr:cNvPr>
        <xdr:cNvSpPr txBox="1">
          <a:spLocks noChangeArrowheads="1"/>
        </xdr:cNvSpPr>
      </xdr:nvSpPr>
      <xdr:spPr bwMode="auto">
        <a:xfrm>
          <a:off x="2796539" y="16291560"/>
          <a:ext cx="460375" cy="2635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68</xdr:row>
      <xdr:rowOff>50131</xdr:rowOff>
    </xdr:from>
    <xdr:to>
      <xdr:col>1</xdr:col>
      <xdr:colOff>2971800</xdr:colOff>
      <xdr:row>69</xdr:row>
      <xdr:rowOff>66674</xdr:rowOff>
    </xdr:to>
    <xdr:sp macro="" textlink="">
      <xdr:nvSpPr>
        <xdr:cNvPr id="17" name="Text Box 14">
          <a:extLst>
            <a:ext uri="{FF2B5EF4-FFF2-40B4-BE49-F238E27FC236}">
              <a16:creationId xmlns:a16="http://schemas.microsoft.com/office/drawing/2014/main" id="{5343DA85-D6F1-4FA2-BB25-28A9B6AF06BD}"/>
            </a:ext>
          </a:extLst>
        </xdr:cNvPr>
        <xdr:cNvSpPr txBox="1">
          <a:spLocks noChangeArrowheads="1"/>
        </xdr:cNvSpPr>
      </xdr:nvSpPr>
      <xdr:spPr bwMode="auto">
        <a:xfrm>
          <a:off x="652145" y="1597847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68</xdr:row>
      <xdr:rowOff>57150</xdr:rowOff>
    </xdr:from>
    <xdr:to>
      <xdr:col>1</xdr:col>
      <xdr:colOff>361950</xdr:colOff>
      <xdr:row>69</xdr:row>
      <xdr:rowOff>57150</xdr:rowOff>
    </xdr:to>
    <xdr:sp macro="" textlink="">
      <xdr:nvSpPr>
        <xdr:cNvPr id="18" name="Text Box 16">
          <a:extLst>
            <a:ext uri="{FF2B5EF4-FFF2-40B4-BE49-F238E27FC236}">
              <a16:creationId xmlns:a16="http://schemas.microsoft.com/office/drawing/2014/main" id="{355EB9E5-BDC2-462C-9734-5E02FCAA3C6A}"/>
            </a:ext>
          </a:extLst>
        </xdr:cNvPr>
        <xdr:cNvSpPr txBox="1">
          <a:spLocks noChangeArrowheads="1"/>
        </xdr:cNvSpPr>
      </xdr:nvSpPr>
      <xdr:spPr bwMode="auto">
        <a:xfrm>
          <a:off x="65405" y="1598676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69</xdr:row>
      <xdr:rowOff>133350</xdr:rowOff>
    </xdr:from>
    <xdr:to>
      <xdr:col>1</xdr:col>
      <xdr:colOff>523875</xdr:colOff>
      <xdr:row>69</xdr:row>
      <xdr:rowOff>276225</xdr:rowOff>
    </xdr:to>
    <xdr:sp macro="" textlink="">
      <xdr:nvSpPr>
        <xdr:cNvPr id="19" name="Text Box 17">
          <a:extLst>
            <a:ext uri="{FF2B5EF4-FFF2-40B4-BE49-F238E27FC236}">
              <a16:creationId xmlns:a16="http://schemas.microsoft.com/office/drawing/2014/main" id="{F749EAFA-346B-4252-9B1D-0D7CFCD539DB}"/>
            </a:ext>
          </a:extLst>
        </xdr:cNvPr>
        <xdr:cNvSpPr txBox="1">
          <a:spLocks noChangeArrowheads="1"/>
        </xdr:cNvSpPr>
      </xdr:nvSpPr>
      <xdr:spPr bwMode="auto">
        <a:xfrm>
          <a:off x="76200" y="16314420"/>
          <a:ext cx="705485" cy="14160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69</xdr:row>
      <xdr:rowOff>133850</xdr:rowOff>
    </xdr:from>
    <xdr:to>
      <xdr:col>1</xdr:col>
      <xdr:colOff>2514600</xdr:colOff>
      <xdr:row>70</xdr:row>
      <xdr:rowOff>30079</xdr:rowOff>
    </xdr:to>
    <xdr:sp macro="" textlink="">
      <xdr:nvSpPr>
        <xdr:cNvPr id="20" name="Text Box 18">
          <a:extLst>
            <a:ext uri="{FF2B5EF4-FFF2-40B4-BE49-F238E27FC236}">
              <a16:creationId xmlns:a16="http://schemas.microsoft.com/office/drawing/2014/main" id="{9B3E0886-4032-4E87-BFC1-2E24A81D7ACC}"/>
            </a:ext>
          </a:extLst>
        </xdr:cNvPr>
        <xdr:cNvSpPr txBox="1">
          <a:spLocks noChangeArrowheads="1"/>
        </xdr:cNvSpPr>
      </xdr:nvSpPr>
      <xdr:spPr bwMode="auto">
        <a:xfrm>
          <a:off x="2275373" y="16314920"/>
          <a:ext cx="498307" cy="25690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70</xdr:row>
      <xdr:rowOff>58153</xdr:rowOff>
    </xdr:from>
    <xdr:to>
      <xdr:col>1</xdr:col>
      <xdr:colOff>1966161</xdr:colOff>
      <xdr:row>71</xdr:row>
      <xdr:rowOff>115303</xdr:rowOff>
    </xdr:to>
    <xdr:sp macro="" textlink="">
      <xdr:nvSpPr>
        <xdr:cNvPr id="21" name="Text Box 32">
          <a:extLst>
            <a:ext uri="{FF2B5EF4-FFF2-40B4-BE49-F238E27FC236}">
              <a16:creationId xmlns:a16="http://schemas.microsoft.com/office/drawing/2014/main" id="{7DE1E579-4EC5-4AB5-B3D3-9575B8217D73}"/>
            </a:ext>
          </a:extLst>
        </xdr:cNvPr>
        <xdr:cNvSpPr txBox="1">
          <a:spLocks noChangeArrowheads="1"/>
        </xdr:cNvSpPr>
      </xdr:nvSpPr>
      <xdr:spPr bwMode="auto">
        <a:xfrm>
          <a:off x="785696" y="166049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70</xdr:row>
      <xdr:rowOff>107282</xdr:rowOff>
    </xdr:from>
    <xdr:to>
      <xdr:col>1</xdr:col>
      <xdr:colOff>429628</xdr:colOff>
      <xdr:row>71</xdr:row>
      <xdr:rowOff>126332</xdr:rowOff>
    </xdr:to>
    <xdr:sp macro="" textlink="">
      <xdr:nvSpPr>
        <xdr:cNvPr id="22" name="Text Box 34">
          <a:extLst>
            <a:ext uri="{FF2B5EF4-FFF2-40B4-BE49-F238E27FC236}">
              <a16:creationId xmlns:a16="http://schemas.microsoft.com/office/drawing/2014/main" id="{3137AFF6-37DD-4F70-B4F4-D378B8D28F19}"/>
            </a:ext>
          </a:extLst>
        </xdr:cNvPr>
        <xdr:cNvSpPr txBox="1">
          <a:spLocks noChangeArrowheads="1"/>
        </xdr:cNvSpPr>
      </xdr:nvSpPr>
      <xdr:spPr bwMode="auto">
        <a:xfrm>
          <a:off x="104508" y="166490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69</xdr:row>
      <xdr:rowOff>250658</xdr:rowOff>
    </xdr:from>
    <xdr:to>
      <xdr:col>3</xdr:col>
      <xdr:colOff>280736</xdr:colOff>
      <xdr:row>69</xdr:row>
      <xdr:rowOff>250658</xdr:rowOff>
    </xdr:to>
    <xdr:cxnSp macro="">
      <xdr:nvCxnSpPr>
        <xdr:cNvPr id="23" name="Conector de seta reta 18">
          <a:extLst>
            <a:ext uri="{FF2B5EF4-FFF2-40B4-BE49-F238E27FC236}">
              <a16:creationId xmlns:a16="http://schemas.microsoft.com/office/drawing/2014/main" id="{7BB6DEE7-0E7A-4A69-A13A-3540B1034908}"/>
            </a:ext>
          </a:extLst>
        </xdr:cNvPr>
        <xdr:cNvCxnSpPr/>
      </xdr:nvCxnSpPr>
      <xdr:spPr>
        <a:xfrm>
          <a:off x="4081646" y="16431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69</xdr:row>
      <xdr:rowOff>104775</xdr:rowOff>
    </xdr:from>
    <xdr:to>
      <xdr:col>1</xdr:col>
      <xdr:colOff>1962150</xdr:colOff>
      <xdr:row>70</xdr:row>
      <xdr:rowOff>9525</xdr:rowOff>
    </xdr:to>
    <xdr:sp macro="" textlink="">
      <xdr:nvSpPr>
        <xdr:cNvPr id="24" name="Text Box 12">
          <a:extLst>
            <a:ext uri="{FF2B5EF4-FFF2-40B4-BE49-F238E27FC236}">
              <a16:creationId xmlns:a16="http://schemas.microsoft.com/office/drawing/2014/main" id="{FD84233C-F191-415B-9207-52CB4A2A8B5C}"/>
            </a:ext>
          </a:extLst>
        </xdr:cNvPr>
        <xdr:cNvSpPr txBox="1">
          <a:spLocks noChangeArrowheads="1"/>
        </xdr:cNvSpPr>
      </xdr:nvSpPr>
      <xdr:spPr bwMode="auto">
        <a:xfrm>
          <a:off x="792480" y="16280765"/>
          <a:ext cx="1432560" cy="27432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69</xdr:row>
      <xdr:rowOff>114300</xdr:rowOff>
    </xdr:from>
    <xdr:to>
      <xdr:col>1</xdr:col>
      <xdr:colOff>3000374</xdr:colOff>
      <xdr:row>70</xdr:row>
      <xdr:rowOff>9525</xdr:rowOff>
    </xdr:to>
    <xdr:sp macro="" textlink="">
      <xdr:nvSpPr>
        <xdr:cNvPr id="25" name="Text Box 13">
          <a:extLst>
            <a:ext uri="{FF2B5EF4-FFF2-40B4-BE49-F238E27FC236}">
              <a16:creationId xmlns:a16="http://schemas.microsoft.com/office/drawing/2014/main" id="{BAE37564-4FF3-43C4-B3E4-4155D16C5EC4}"/>
            </a:ext>
          </a:extLst>
        </xdr:cNvPr>
        <xdr:cNvSpPr txBox="1">
          <a:spLocks noChangeArrowheads="1"/>
        </xdr:cNvSpPr>
      </xdr:nvSpPr>
      <xdr:spPr bwMode="auto">
        <a:xfrm>
          <a:off x="2796539" y="16291560"/>
          <a:ext cx="460375" cy="2635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68</xdr:row>
      <xdr:rowOff>50131</xdr:rowOff>
    </xdr:from>
    <xdr:to>
      <xdr:col>1</xdr:col>
      <xdr:colOff>2971800</xdr:colOff>
      <xdr:row>69</xdr:row>
      <xdr:rowOff>66674</xdr:rowOff>
    </xdr:to>
    <xdr:sp macro="" textlink="">
      <xdr:nvSpPr>
        <xdr:cNvPr id="26" name="Text Box 14">
          <a:extLst>
            <a:ext uri="{FF2B5EF4-FFF2-40B4-BE49-F238E27FC236}">
              <a16:creationId xmlns:a16="http://schemas.microsoft.com/office/drawing/2014/main" id="{CD7EEFB5-C8D5-4D4C-B80F-B8ED69AF8655}"/>
            </a:ext>
          </a:extLst>
        </xdr:cNvPr>
        <xdr:cNvSpPr txBox="1">
          <a:spLocks noChangeArrowheads="1"/>
        </xdr:cNvSpPr>
      </xdr:nvSpPr>
      <xdr:spPr bwMode="auto">
        <a:xfrm>
          <a:off x="652145" y="1597847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68</xdr:row>
      <xdr:rowOff>57150</xdr:rowOff>
    </xdr:from>
    <xdr:to>
      <xdr:col>1</xdr:col>
      <xdr:colOff>361950</xdr:colOff>
      <xdr:row>69</xdr:row>
      <xdr:rowOff>57150</xdr:rowOff>
    </xdr:to>
    <xdr:sp macro="" textlink="">
      <xdr:nvSpPr>
        <xdr:cNvPr id="27" name="Text Box 16">
          <a:extLst>
            <a:ext uri="{FF2B5EF4-FFF2-40B4-BE49-F238E27FC236}">
              <a16:creationId xmlns:a16="http://schemas.microsoft.com/office/drawing/2014/main" id="{22E3A347-599B-47B7-83BF-030169708E8F}"/>
            </a:ext>
          </a:extLst>
        </xdr:cNvPr>
        <xdr:cNvSpPr txBox="1">
          <a:spLocks noChangeArrowheads="1"/>
        </xdr:cNvSpPr>
      </xdr:nvSpPr>
      <xdr:spPr bwMode="auto">
        <a:xfrm>
          <a:off x="65405" y="1598676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69</xdr:row>
      <xdr:rowOff>133350</xdr:rowOff>
    </xdr:from>
    <xdr:to>
      <xdr:col>1</xdr:col>
      <xdr:colOff>523875</xdr:colOff>
      <xdr:row>69</xdr:row>
      <xdr:rowOff>276225</xdr:rowOff>
    </xdr:to>
    <xdr:sp macro="" textlink="">
      <xdr:nvSpPr>
        <xdr:cNvPr id="28" name="Text Box 17">
          <a:extLst>
            <a:ext uri="{FF2B5EF4-FFF2-40B4-BE49-F238E27FC236}">
              <a16:creationId xmlns:a16="http://schemas.microsoft.com/office/drawing/2014/main" id="{892EE764-A911-4075-A3A7-20B9E8CD6A58}"/>
            </a:ext>
          </a:extLst>
        </xdr:cNvPr>
        <xdr:cNvSpPr txBox="1">
          <a:spLocks noChangeArrowheads="1"/>
        </xdr:cNvSpPr>
      </xdr:nvSpPr>
      <xdr:spPr bwMode="auto">
        <a:xfrm>
          <a:off x="76200" y="16314420"/>
          <a:ext cx="705485" cy="14160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69</xdr:row>
      <xdr:rowOff>133850</xdr:rowOff>
    </xdr:from>
    <xdr:to>
      <xdr:col>1</xdr:col>
      <xdr:colOff>2514600</xdr:colOff>
      <xdr:row>70</xdr:row>
      <xdr:rowOff>30079</xdr:rowOff>
    </xdr:to>
    <xdr:sp macro="" textlink="">
      <xdr:nvSpPr>
        <xdr:cNvPr id="29" name="Text Box 18">
          <a:extLst>
            <a:ext uri="{FF2B5EF4-FFF2-40B4-BE49-F238E27FC236}">
              <a16:creationId xmlns:a16="http://schemas.microsoft.com/office/drawing/2014/main" id="{D5A69DC4-0121-4D4F-A9AD-2C1E8D6A2E27}"/>
            </a:ext>
          </a:extLst>
        </xdr:cNvPr>
        <xdr:cNvSpPr txBox="1">
          <a:spLocks noChangeArrowheads="1"/>
        </xdr:cNvSpPr>
      </xdr:nvSpPr>
      <xdr:spPr bwMode="auto">
        <a:xfrm>
          <a:off x="2275373" y="16314920"/>
          <a:ext cx="498307" cy="25690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70</xdr:row>
      <xdr:rowOff>58153</xdr:rowOff>
    </xdr:from>
    <xdr:to>
      <xdr:col>1</xdr:col>
      <xdr:colOff>1966161</xdr:colOff>
      <xdr:row>71</xdr:row>
      <xdr:rowOff>115303</xdr:rowOff>
    </xdr:to>
    <xdr:sp macro="" textlink="">
      <xdr:nvSpPr>
        <xdr:cNvPr id="30" name="Text Box 32">
          <a:extLst>
            <a:ext uri="{FF2B5EF4-FFF2-40B4-BE49-F238E27FC236}">
              <a16:creationId xmlns:a16="http://schemas.microsoft.com/office/drawing/2014/main" id="{142AFB8E-64C3-4DEE-89E1-3234DCD5E3B9}"/>
            </a:ext>
          </a:extLst>
        </xdr:cNvPr>
        <xdr:cNvSpPr txBox="1">
          <a:spLocks noChangeArrowheads="1"/>
        </xdr:cNvSpPr>
      </xdr:nvSpPr>
      <xdr:spPr bwMode="auto">
        <a:xfrm>
          <a:off x="785696" y="166049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70</xdr:row>
      <xdr:rowOff>107282</xdr:rowOff>
    </xdr:from>
    <xdr:to>
      <xdr:col>1</xdr:col>
      <xdr:colOff>429628</xdr:colOff>
      <xdr:row>71</xdr:row>
      <xdr:rowOff>126332</xdr:rowOff>
    </xdr:to>
    <xdr:sp macro="" textlink="">
      <xdr:nvSpPr>
        <xdr:cNvPr id="31" name="Text Box 34">
          <a:extLst>
            <a:ext uri="{FF2B5EF4-FFF2-40B4-BE49-F238E27FC236}">
              <a16:creationId xmlns:a16="http://schemas.microsoft.com/office/drawing/2014/main" id="{76ADB05C-FFBE-436F-9829-BFEA052B5E6D}"/>
            </a:ext>
          </a:extLst>
        </xdr:cNvPr>
        <xdr:cNvSpPr txBox="1">
          <a:spLocks noChangeArrowheads="1"/>
        </xdr:cNvSpPr>
      </xdr:nvSpPr>
      <xdr:spPr bwMode="auto">
        <a:xfrm>
          <a:off x="104508" y="166490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69</xdr:row>
      <xdr:rowOff>250658</xdr:rowOff>
    </xdr:from>
    <xdr:to>
      <xdr:col>3</xdr:col>
      <xdr:colOff>280736</xdr:colOff>
      <xdr:row>69</xdr:row>
      <xdr:rowOff>250658</xdr:rowOff>
    </xdr:to>
    <xdr:cxnSp macro="">
      <xdr:nvCxnSpPr>
        <xdr:cNvPr id="32" name="Conector de seta reta 18">
          <a:extLst>
            <a:ext uri="{FF2B5EF4-FFF2-40B4-BE49-F238E27FC236}">
              <a16:creationId xmlns:a16="http://schemas.microsoft.com/office/drawing/2014/main" id="{9A7675C4-E20B-413C-AC42-1A4B1CC4C50C}"/>
            </a:ext>
          </a:extLst>
        </xdr:cNvPr>
        <xdr:cNvCxnSpPr/>
      </xdr:nvCxnSpPr>
      <xdr:spPr>
        <a:xfrm>
          <a:off x="4081646" y="16431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533400</xdr:colOff>
      <xdr:row>27</xdr:row>
      <xdr:rowOff>104775</xdr:rowOff>
    </xdr:from>
    <xdr:to>
      <xdr:col>1</xdr:col>
      <xdr:colOff>1962150</xdr:colOff>
      <xdr:row>28</xdr:row>
      <xdr:rowOff>9525</xdr:rowOff>
    </xdr:to>
    <xdr:sp macro="" textlink="">
      <xdr:nvSpPr>
        <xdr:cNvPr id="2" name="Text Box 12">
          <a:extLst>
            <a:ext uri="{FF2B5EF4-FFF2-40B4-BE49-F238E27FC236}">
              <a16:creationId xmlns:a16="http://schemas.microsoft.com/office/drawing/2014/main" id="{9276FF62-544D-4C16-B9A4-49826951729E}"/>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3" name="Text Box 13">
          <a:extLst>
            <a:ext uri="{FF2B5EF4-FFF2-40B4-BE49-F238E27FC236}">
              <a16:creationId xmlns:a16="http://schemas.microsoft.com/office/drawing/2014/main" id="{D39A674A-45CD-4701-BBFC-CE5D04CE565C}"/>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4" name="Text Box 14">
          <a:extLst>
            <a:ext uri="{FF2B5EF4-FFF2-40B4-BE49-F238E27FC236}">
              <a16:creationId xmlns:a16="http://schemas.microsoft.com/office/drawing/2014/main" id="{A6282987-E3CE-4063-87CF-F0D35FDF9A32}"/>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5" name="Text Box 16">
          <a:extLst>
            <a:ext uri="{FF2B5EF4-FFF2-40B4-BE49-F238E27FC236}">
              <a16:creationId xmlns:a16="http://schemas.microsoft.com/office/drawing/2014/main" id="{5607D24E-FB2D-4E86-936F-C90DF2F0C70E}"/>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6" name="Text Box 17">
          <a:extLst>
            <a:ext uri="{FF2B5EF4-FFF2-40B4-BE49-F238E27FC236}">
              <a16:creationId xmlns:a16="http://schemas.microsoft.com/office/drawing/2014/main" id="{875CDD0C-AA3E-458A-9144-6D8B290AA41D}"/>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7" name="Text Box 18">
          <a:extLst>
            <a:ext uri="{FF2B5EF4-FFF2-40B4-BE49-F238E27FC236}">
              <a16:creationId xmlns:a16="http://schemas.microsoft.com/office/drawing/2014/main" id="{B53F33E9-737D-45B4-B184-C3345BF4C1E8}"/>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8" name="Text Box 32">
          <a:extLst>
            <a:ext uri="{FF2B5EF4-FFF2-40B4-BE49-F238E27FC236}">
              <a16:creationId xmlns:a16="http://schemas.microsoft.com/office/drawing/2014/main" id="{C683A3ED-2C97-4316-9489-6EA76C324789}"/>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9" name="Text Box 34">
          <a:extLst>
            <a:ext uri="{FF2B5EF4-FFF2-40B4-BE49-F238E27FC236}">
              <a16:creationId xmlns:a16="http://schemas.microsoft.com/office/drawing/2014/main" id="{1A031C6D-7A59-47A0-A30B-65C6F723F15A}"/>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0" name="Text Box 12">
          <a:extLst>
            <a:ext uri="{FF2B5EF4-FFF2-40B4-BE49-F238E27FC236}">
              <a16:creationId xmlns:a16="http://schemas.microsoft.com/office/drawing/2014/main" id="{8E1CBC3A-C578-4671-B977-DA73591B95CC}"/>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1" name="Text Box 13">
          <a:extLst>
            <a:ext uri="{FF2B5EF4-FFF2-40B4-BE49-F238E27FC236}">
              <a16:creationId xmlns:a16="http://schemas.microsoft.com/office/drawing/2014/main" id="{0F7C2F16-B4D4-4752-AB77-38BF97D3F79E}"/>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2" name="Text Box 14">
          <a:extLst>
            <a:ext uri="{FF2B5EF4-FFF2-40B4-BE49-F238E27FC236}">
              <a16:creationId xmlns:a16="http://schemas.microsoft.com/office/drawing/2014/main" id="{E5A1F2D8-6174-4989-A577-656D48EE6A9F}"/>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3" name="Text Box 16">
          <a:extLst>
            <a:ext uri="{FF2B5EF4-FFF2-40B4-BE49-F238E27FC236}">
              <a16:creationId xmlns:a16="http://schemas.microsoft.com/office/drawing/2014/main" id="{677EFBFE-C852-4961-8749-9AAF8999B046}"/>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4" name="Text Box 17">
          <a:extLst>
            <a:ext uri="{FF2B5EF4-FFF2-40B4-BE49-F238E27FC236}">
              <a16:creationId xmlns:a16="http://schemas.microsoft.com/office/drawing/2014/main" id="{112221E6-24D0-4794-A23B-C4A4D24F1D79}"/>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5" name="Text Box 18">
          <a:extLst>
            <a:ext uri="{FF2B5EF4-FFF2-40B4-BE49-F238E27FC236}">
              <a16:creationId xmlns:a16="http://schemas.microsoft.com/office/drawing/2014/main" id="{42256628-44C0-4ED2-BA90-7FEE03EBF295}"/>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6" name="Text Box 32">
          <a:extLst>
            <a:ext uri="{FF2B5EF4-FFF2-40B4-BE49-F238E27FC236}">
              <a16:creationId xmlns:a16="http://schemas.microsoft.com/office/drawing/2014/main" id="{3A2B130A-0E76-4812-B2D1-C1C80CBF0A2B}"/>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7" name="Text Box 34">
          <a:extLst>
            <a:ext uri="{FF2B5EF4-FFF2-40B4-BE49-F238E27FC236}">
              <a16:creationId xmlns:a16="http://schemas.microsoft.com/office/drawing/2014/main" id="{2741C671-E160-4F17-A27B-545011931BA7}"/>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8" name="Text Box 12">
          <a:extLst>
            <a:ext uri="{FF2B5EF4-FFF2-40B4-BE49-F238E27FC236}">
              <a16:creationId xmlns:a16="http://schemas.microsoft.com/office/drawing/2014/main" id="{EDD70ABB-DD42-4D03-B1EB-69293E6AD828}"/>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9" name="Text Box 13">
          <a:extLst>
            <a:ext uri="{FF2B5EF4-FFF2-40B4-BE49-F238E27FC236}">
              <a16:creationId xmlns:a16="http://schemas.microsoft.com/office/drawing/2014/main" id="{89BFB84A-1AA7-4EBA-A270-D84DB4C03E94}"/>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0" name="Text Box 14">
          <a:extLst>
            <a:ext uri="{FF2B5EF4-FFF2-40B4-BE49-F238E27FC236}">
              <a16:creationId xmlns:a16="http://schemas.microsoft.com/office/drawing/2014/main" id="{D68C20B5-A54D-42B8-A1AF-A9840B75FFFC}"/>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1" name="Text Box 16">
          <a:extLst>
            <a:ext uri="{FF2B5EF4-FFF2-40B4-BE49-F238E27FC236}">
              <a16:creationId xmlns:a16="http://schemas.microsoft.com/office/drawing/2014/main" id="{C82000FB-74FB-4E48-AEB0-7C25473BEE8D}"/>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2" name="Text Box 17">
          <a:extLst>
            <a:ext uri="{FF2B5EF4-FFF2-40B4-BE49-F238E27FC236}">
              <a16:creationId xmlns:a16="http://schemas.microsoft.com/office/drawing/2014/main" id="{C905F5CC-B445-438A-B43E-CCE119429836}"/>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3" name="Text Box 18">
          <a:extLst>
            <a:ext uri="{FF2B5EF4-FFF2-40B4-BE49-F238E27FC236}">
              <a16:creationId xmlns:a16="http://schemas.microsoft.com/office/drawing/2014/main" id="{EE927085-4F3E-4849-AD23-7C0CE73DFDE2}"/>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4" name="Text Box 32">
          <a:extLst>
            <a:ext uri="{FF2B5EF4-FFF2-40B4-BE49-F238E27FC236}">
              <a16:creationId xmlns:a16="http://schemas.microsoft.com/office/drawing/2014/main" id="{1430CDDE-7EE1-46C0-888A-BBBB46BD5C70}"/>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5" name="Text Box 34">
          <a:extLst>
            <a:ext uri="{FF2B5EF4-FFF2-40B4-BE49-F238E27FC236}">
              <a16:creationId xmlns:a16="http://schemas.microsoft.com/office/drawing/2014/main" id="{69FF193E-87F6-4FCE-B8B0-167EFC3AF513}"/>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27</xdr:row>
      <xdr:rowOff>114300</xdr:rowOff>
    </xdr:from>
    <xdr:to>
      <xdr:col>1</xdr:col>
      <xdr:colOff>3003549</xdr:colOff>
      <xdr:row>28</xdr:row>
      <xdr:rowOff>6350</xdr:rowOff>
    </xdr:to>
    <xdr:sp macro="" textlink="">
      <xdr:nvSpPr>
        <xdr:cNvPr id="26" name="Text Box 13">
          <a:extLst>
            <a:ext uri="{FF2B5EF4-FFF2-40B4-BE49-F238E27FC236}">
              <a16:creationId xmlns:a16="http://schemas.microsoft.com/office/drawing/2014/main" id="{4F92DE9E-ACB9-4CEA-80DD-F10A1919100A}"/>
            </a:ext>
          </a:extLst>
        </xdr:cNvPr>
        <xdr:cNvSpPr txBox="1">
          <a:spLocks noChangeArrowheads="1"/>
        </xdr:cNvSpPr>
      </xdr:nvSpPr>
      <xdr:spPr bwMode="auto">
        <a:xfrm>
          <a:off x="2796539" y="6858000"/>
          <a:ext cx="464820" cy="5334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26</xdr:row>
      <xdr:rowOff>57150</xdr:rowOff>
    </xdr:from>
    <xdr:to>
      <xdr:col>1</xdr:col>
      <xdr:colOff>361950</xdr:colOff>
      <xdr:row>27</xdr:row>
      <xdr:rowOff>57150</xdr:rowOff>
    </xdr:to>
    <xdr:sp macro="" textlink="">
      <xdr:nvSpPr>
        <xdr:cNvPr id="27" name="Text Box 16">
          <a:extLst>
            <a:ext uri="{FF2B5EF4-FFF2-40B4-BE49-F238E27FC236}">
              <a16:creationId xmlns:a16="http://schemas.microsoft.com/office/drawing/2014/main" id="{6029C4BB-CB66-4154-AD03-5A37E2862464}"/>
            </a:ext>
          </a:extLst>
        </xdr:cNvPr>
        <xdr:cNvSpPr txBox="1">
          <a:spLocks noChangeArrowheads="1"/>
        </xdr:cNvSpPr>
      </xdr:nvSpPr>
      <xdr:spPr bwMode="auto">
        <a:xfrm>
          <a:off x="60960" y="6553200"/>
          <a:ext cx="563880"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520700</xdr:colOff>
      <xdr:row>28</xdr:row>
      <xdr:rowOff>0</xdr:rowOff>
    </xdr:to>
    <xdr:sp macro="" textlink="">
      <xdr:nvSpPr>
        <xdr:cNvPr id="28" name="Text Box 17">
          <a:extLst>
            <a:ext uri="{FF2B5EF4-FFF2-40B4-BE49-F238E27FC236}">
              <a16:creationId xmlns:a16="http://schemas.microsoft.com/office/drawing/2014/main" id="{F8056015-EF1C-4163-B765-1E9EEE080227}"/>
            </a:ext>
          </a:extLst>
        </xdr:cNvPr>
        <xdr:cNvSpPr txBox="1">
          <a:spLocks noChangeArrowheads="1"/>
        </xdr:cNvSpPr>
      </xdr:nvSpPr>
      <xdr:spPr bwMode="auto">
        <a:xfrm>
          <a:off x="76200" y="6880860"/>
          <a:ext cx="701040" cy="228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26904</xdr:rowOff>
    </xdr:to>
    <xdr:sp macro="" textlink="">
      <xdr:nvSpPr>
        <xdr:cNvPr id="29" name="Text Box 18">
          <a:extLst>
            <a:ext uri="{FF2B5EF4-FFF2-40B4-BE49-F238E27FC236}">
              <a16:creationId xmlns:a16="http://schemas.microsoft.com/office/drawing/2014/main" id="{C956B9C7-483B-4A43-8FAE-9B47625AA747}"/>
            </a:ext>
          </a:extLst>
        </xdr:cNvPr>
        <xdr:cNvSpPr txBox="1">
          <a:spLocks noChangeArrowheads="1"/>
        </xdr:cNvSpPr>
      </xdr:nvSpPr>
      <xdr:spPr bwMode="auto">
        <a:xfrm>
          <a:off x="2275373" y="6881360"/>
          <a:ext cx="498307" cy="4672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28</xdr:row>
      <xdr:rowOff>58153</xdr:rowOff>
    </xdr:from>
    <xdr:to>
      <xdr:col>1</xdr:col>
      <xdr:colOff>1969336</xdr:colOff>
      <xdr:row>29</xdr:row>
      <xdr:rowOff>115303</xdr:rowOff>
    </xdr:to>
    <xdr:sp macro="" textlink="">
      <xdr:nvSpPr>
        <xdr:cNvPr id="30" name="Text Box 32">
          <a:extLst>
            <a:ext uri="{FF2B5EF4-FFF2-40B4-BE49-F238E27FC236}">
              <a16:creationId xmlns:a16="http://schemas.microsoft.com/office/drawing/2014/main" id="{8E217E18-9F23-4840-AFF1-FFBA60EE90E2}"/>
            </a:ext>
          </a:extLst>
        </xdr:cNvPr>
        <xdr:cNvSpPr txBox="1">
          <a:spLocks noChangeArrowheads="1"/>
        </xdr:cNvSpPr>
      </xdr:nvSpPr>
      <xdr:spPr bwMode="auto">
        <a:xfrm>
          <a:off x="782521" y="6965683"/>
          <a:ext cx="144335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28</xdr:row>
      <xdr:rowOff>104107</xdr:rowOff>
    </xdr:from>
    <xdr:to>
      <xdr:col>1</xdr:col>
      <xdr:colOff>426453</xdr:colOff>
      <xdr:row>29</xdr:row>
      <xdr:rowOff>123157</xdr:rowOff>
    </xdr:to>
    <xdr:sp macro="" textlink="">
      <xdr:nvSpPr>
        <xdr:cNvPr id="31" name="Text Box 34">
          <a:extLst>
            <a:ext uri="{FF2B5EF4-FFF2-40B4-BE49-F238E27FC236}">
              <a16:creationId xmlns:a16="http://schemas.microsoft.com/office/drawing/2014/main" id="{BC01773D-1964-4436-ADDE-C2C748A77C51}"/>
            </a:ext>
          </a:extLst>
        </xdr:cNvPr>
        <xdr:cNvSpPr txBox="1">
          <a:spLocks noChangeArrowheads="1"/>
        </xdr:cNvSpPr>
      </xdr:nvSpPr>
      <xdr:spPr bwMode="auto">
        <a:xfrm>
          <a:off x="100063" y="7005287"/>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32" name="Text Box 12">
          <a:extLst>
            <a:ext uri="{FF2B5EF4-FFF2-40B4-BE49-F238E27FC236}">
              <a16:creationId xmlns:a16="http://schemas.microsoft.com/office/drawing/2014/main" id="{3934629C-1B83-44F5-B95C-52A1765EC645}"/>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33" name="Text Box 13">
          <a:extLst>
            <a:ext uri="{FF2B5EF4-FFF2-40B4-BE49-F238E27FC236}">
              <a16:creationId xmlns:a16="http://schemas.microsoft.com/office/drawing/2014/main" id="{B9A71BDF-D285-442F-9D23-EA1EE03E0B09}"/>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34" name="Text Box 14">
          <a:extLst>
            <a:ext uri="{FF2B5EF4-FFF2-40B4-BE49-F238E27FC236}">
              <a16:creationId xmlns:a16="http://schemas.microsoft.com/office/drawing/2014/main" id="{8728BAB5-1B63-4B9F-A92E-B76FE9696234}"/>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35" name="Text Box 16">
          <a:extLst>
            <a:ext uri="{FF2B5EF4-FFF2-40B4-BE49-F238E27FC236}">
              <a16:creationId xmlns:a16="http://schemas.microsoft.com/office/drawing/2014/main" id="{4C943A47-CFB9-455A-B1D4-8D0D74B39B6D}"/>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36" name="Text Box 17">
          <a:extLst>
            <a:ext uri="{FF2B5EF4-FFF2-40B4-BE49-F238E27FC236}">
              <a16:creationId xmlns:a16="http://schemas.microsoft.com/office/drawing/2014/main" id="{DEAF7B10-AEC7-441C-8A8F-58D7F6D5F37C}"/>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37" name="Text Box 18">
          <a:extLst>
            <a:ext uri="{FF2B5EF4-FFF2-40B4-BE49-F238E27FC236}">
              <a16:creationId xmlns:a16="http://schemas.microsoft.com/office/drawing/2014/main" id="{17C7A2CB-EBCD-4942-BCA6-CAD74E9D47B4}"/>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38" name="Text Box 32">
          <a:extLst>
            <a:ext uri="{FF2B5EF4-FFF2-40B4-BE49-F238E27FC236}">
              <a16:creationId xmlns:a16="http://schemas.microsoft.com/office/drawing/2014/main" id="{01C96CEF-83A1-4519-BE6A-3D8E8BABF99D}"/>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39" name="Text Box 34">
          <a:extLst>
            <a:ext uri="{FF2B5EF4-FFF2-40B4-BE49-F238E27FC236}">
              <a16:creationId xmlns:a16="http://schemas.microsoft.com/office/drawing/2014/main" id="{55AE12B8-574C-40D2-B300-028B582362B6}"/>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40" name="Conector de seta reta 9">
          <a:extLst>
            <a:ext uri="{FF2B5EF4-FFF2-40B4-BE49-F238E27FC236}">
              <a16:creationId xmlns:a16="http://schemas.microsoft.com/office/drawing/2014/main" id="{716778B9-C51F-4432-8691-323B696AA4DF}"/>
            </a:ext>
          </a:extLst>
        </xdr:cNvPr>
        <xdr:cNvCxnSpPr/>
      </xdr:nvCxnSpPr>
      <xdr:spPr>
        <a:xfrm>
          <a:off x="4081646" y="6906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41" name="Text Box 12">
          <a:extLst>
            <a:ext uri="{FF2B5EF4-FFF2-40B4-BE49-F238E27FC236}">
              <a16:creationId xmlns:a16="http://schemas.microsoft.com/office/drawing/2014/main" id="{AEE502C5-3965-4A51-A24D-A52F63ECA8F8}"/>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42" name="Text Box 13">
          <a:extLst>
            <a:ext uri="{FF2B5EF4-FFF2-40B4-BE49-F238E27FC236}">
              <a16:creationId xmlns:a16="http://schemas.microsoft.com/office/drawing/2014/main" id="{1945DEFB-3FBB-4DA7-901A-6BFB62B48108}"/>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43" name="Text Box 14">
          <a:extLst>
            <a:ext uri="{FF2B5EF4-FFF2-40B4-BE49-F238E27FC236}">
              <a16:creationId xmlns:a16="http://schemas.microsoft.com/office/drawing/2014/main" id="{B2AA2606-3132-435F-9E9B-DBFE604231A3}"/>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44" name="Text Box 16">
          <a:extLst>
            <a:ext uri="{FF2B5EF4-FFF2-40B4-BE49-F238E27FC236}">
              <a16:creationId xmlns:a16="http://schemas.microsoft.com/office/drawing/2014/main" id="{B17C5A11-8C96-4F4B-9FE1-7FC0D57810F1}"/>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45" name="Text Box 17">
          <a:extLst>
            <a:ext uri="{FF2B5EF4-FFF2-40B4-BE49-F238E27FC236}">
              <a16:creationId xmlns:a16="http://schemas.microsoft.com/office/drawing/2014/main" id="{4DD539AF-A8D0-47C6-8AB7-4862A4E0C520}"/>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46" name="Text Box 18">
          <a:extLst>
            <a:ext uri="{FF2B5EF4-FFF2-40B4-BE49-F238E27FC236}">
              <a16:creationId xmlns:a16="http://schemas.microsoft.com/office/drawing/2014/main" id="{E74DA926-F636-4FD0-BE3F-F30F1A7850EE}"/>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47" name="Text Box 32">
          <a:extLst>
            <a:ext uri="{FF2B5EF4-FFF2-40B4-BE49-F238E27FC236}">
              <a16:creationId xmlns:a16="http://schemas.microsoft.com/office/drawing/2014/main" id="{DCDE616D-E5D1-4F5D-9F26-E31B50510C87}"/>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48" name="Text Box 34">
          <a:extLst>
            <a:ext uri="{FF2B5EF4-FFF2-40B4-BE49-F238E27FC236}">
              <a16:creationId xmlns:a16="http://schemas.microsoft.com/office/drawing/2014/main" id="{C23CBC5F-51CC-45C6-A626-80B3AC6DB888}"/>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49" name="Conector de seta reta 9">
          <a:extLst>
            <a:ext uri="{FF2B5EF4-FFF2-40B4-BE49-F238E27FC236}">
              <a16:creationId xmlns:a16="http://schemas.microsoft.com/office/drawing/2014/main" id="{0555887E-FBE3-4870-9DBB-A6E62D49322A}"/>
            </a:ext>
          </a:extLst>
        </xdr:cNvPr>
        <xdr:cNvCxnSpPr/>
      </xdr:nvCxnSpPr>
      <xdr:spPr>
        <a:xfrm>
          <a:off x="4081646" y="6906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50" name="Text Box 12">
          <a:extLst>
            <a:ext uri="{FF2B5EF4-FFF2-40B4-BE49-F238E27FC236}">
              <a16:creationId xmlns:a16="http://schemas.microsoft.com/office/drawing/2014/main" id="{3D44B8DA-1474-484D-A03D-A13EBDFB0A72}"/>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51" name="Text Box 13">
          <a:extLst>
            <a:ext uri="{FF2B5EF4-FFF2-40B4-BE49-F238E27FC236}">
              <a16:creationId xmlns:a16="http://schemas.microsoft.com/office/drawing/2014/main" id="{CCDE8CB9-D10D-4364-AB68-BB2C695125B5}"/>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52" name="Text Box 14">
          <a:extLst>
            <a:ext uri="{FF2B5EF4-FFF2-40B4-BE49-F238E27FC236}">
              <a16:creationId xmlns:a16="http://schemas.microsoft.com/office/drawing/2014/main" id="{790249FB-42CE-4360-AC2E-FDAF0849540F}"/>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53" name="Text Box 16">
          <a:extLst>
            <a:ext uri="{FF2B5EF4-FFF2-40B4-BE49-F238E27FC236}">
              <a16:creationId xmlns:a16="http://schemas.microsoft.com/office/drawing/2014/main" id="{3CBF2C92-2D99-4623-8D9F-F162EDF1F46D}"/>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54" name="Text Box 17">
          <a:extLst>
            <a:ext uri="{FF2B5EF4-FFF2-40B4-BE49-F238E27FC236}">
              <a16:creationId xmlns:a16="http://schemas.microsoft.com/office/drawing/2014/main" id="{0EDD40FC-02DE-4593-915C-06A9FF1F54D8}"/>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55" name="Text Box 18">
          <a:extLst>
            <a:ext uri="{FF2B5EF4-FFF2-40B4-BE49-F238E27FC236}">
              <a16:creationId xmlns:a16="http://schemas.microsoft.com/office/drawing/2014/main" id="{6B598CC4-2500-4C32-9315-2CFB60A4E275}"/>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56" name="Text Box 32">
          <a:extLst>
            <a:ext uri="{FF2B5EF4-FFF2-40B4-BE49-F238E27FC236}">
              <a16:creationId xmlns:a16="http://schemas.microsoft.com/office/drawing/2014/main" id="{DCBE00F5-DFCF-4CB9-8A48-077A23358E06}"/>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57" name="Text Box 34">
          <a:extLst>
            <a:ext uri="{FF2B5EF4-FFF2-40B4-BE49-F238E27FC236}">
              <a16:creationId xmlns:a16="http://schemas.microsoft.com/office/drawing/2014/main" id="{7676808A-AEDA-4FE4-82A8-FA6FD410A750}"/>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58" name="Conector de seta reta 9">
          <a:extLst>
            <a:ext uri="{FF2B5EF4-FFF2-40B4-BE49-F238E27FC236}">
              <a16:creationId xmlns:a16="http://schemas.microsoft.com/office/drawing/2014/main" id="{1263DF26-5914-40DC-B3A3-855B70D21C38}"/>
            </a:ext>
          </a:extLst>
        </xdr:cNvPr>
        <xdr:cNvCxnSpPr/>
      </xdr:nvCxnSpPr>
      <xdr:spPr>
        <a:xfrm>
          <a:off x="4081646" y="6906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101600</xdr:rowOff>
    </xdr:from>
    <xdr:to>
      <xdr:col>1</xdr:col>
      <xdr:colOff>1962150</xdr:colOff>
      <xdr:row>28</xdr:row>
      <xdr:rowOff>6350</xdr:rowOff>
    </xdr:to>
    <xdr:sp macro="" textlink="">
      <xdr:nvSpPr>
        <xdr:cNvPr id="59" name="Text Box 12">
          <a:extLst>
            <a:ext uri="{FF2B5EF4-FFF2-40B4-BE49-F238E27FC236}">
              <a16:creationId xmlns:a16="http://schemas.microsoft.com/office/drawing/2014/main" id="{971DD9FE-9107-435F-AF15-E2DFF8FEA8A9}"/>
            </a:ext>
          </a:extLst>
        </xdr:cNvPr>
        <xdr:cNvSpPr txBox="1">
          <a:spLocks noChangeArrowheads="1"/>
        </xdr:cNvSpPr>
      </xdr:nvSpPr>
      <xdr:spPr bwMode="auto">
        <a:xfrm>
          <a:off x="792480" y="6842760"/>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3003549</xdr:colOff>
      <xdr:row>28</xdr:row>
      <xdr:rowOff>6350</xdr:rowOff>
    </xdr:to>
    <xdr:sp macro="" textlink="">
      <xdr:nvSpPr>
        <xdr:cNvPr id="60" name="Text Box 13">
          <a:extLst>
            <a:ext uri="{FF2B5EF4-FFF2-40B4-BE49-F238E27FC236}">
              <a16:creationId xmlns:a16="http://schemas.microsoft.com/office/drawing/2014/main" id="{9FCDDA8C-2A84-4B14-AFE5-1BD1E3F93B30}"/>
            </a:ext>
          </a:extLst>
        </xdr:cNvPr>
        <xdr:cNvSpPr txBox="1">
          <a:spLocks noChangeArrowheads="1"/>
        </xdr:cNvSpPr>
      </xdr:nvSpPr>
      <xdr:spPr bwMode="auto">
        <a:xfrm>
          <a:off x="2796539" y="6858000"/>
          <a:ext cx="464820" cy="5334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26</xdr:row>
      <xdr:rowOff>46956</xdr:rowOff>
    </xdr:from>
    <xdr:to>
      <xdr:col>1</xdr:col>
      <xdr:colOff>2971800</xdr:colOff>
      <xdr:row>27</xdr:row>
      <xdr:rowOff>69849</xdr:rowOff>
    </xdr:to>
    <xdr:sp macro="" textlink="">
      <xdr:nvSpPr>
        <xdr:cNvPr id="61" name="Text Box 14">
          <a:extLst>
            <a:ext uri="{FF2B5EF4-FFF2-40B4-BE49-F238E27FC236}">
              <a16:creationId xmlns:a16="http://schemas.microsoft.com/office/drawing/2014/main" id="{77660169-5D9B-4FBC-8E2F-4610F7348368}"/>
            </a:ext>
          </a:extLst>
        </xdr:cNvPr>
        <xdr:cNvSpPr txBox="1">
          <a:spLocks noChangeArrowheads="1"/>
        </xdr:cNvSpPr>
      </xdr:nvSpPr>
      <xdr:spPr bwMode="auto">
        <a:xfrm>
          <a:off x="647700" y="6540466"/>
          <a:ext cx="2583180" cy="27181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26</xdr:row>
      <xdr:rowOff>57150</xdr:rowOff>
    </xdr:from>
    <xdr:to>
      <xdr:col>1</xdr:col>
      <xdr:colOff>361950</xdr:colOff>
      <xdr:row>27</xdr:row>
      <xdr:rowOff>57150</xdr:rowOff>
    </xdr:to>
    <xdr:sp macro="" textlink="">
      <xdr:nvSpPr>
        <xdr:cNvPr id="62" name="Text Box 16">
          <a:extLst>
            <a:ext uri="{FF2B5EF4-FFF2-40B4-BE49-F238E27FC236}">
              <a16:creationId xmlns:a16="http://schemas.microsoft.com/office/drawing/2014/main" id="{912BE079-17B6-49A5-87EF-83B7BE900D47}"/>
            </a:ext>
          </a:extLst>
        </xdr:cNvPr>
        <xdr:cNvSpPr txBox="1">
          <a:spLocks noChangeArrowheads="1"/>
        </xdr:cNvSpPr>
      </xdr:nvSpPr>
      <xdr:spPr bwMode="auto">
        <a:xfrm>
          <a:off x="60960" y="6553200"/>
          <a:ext cx="563880"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520700</xdr:colOff>
      <xdr:row>28</xdr:row>
      <xdr:rowOff>0</xdr:rowOff>
    </xdr:to>
    <xdr:sp macro="" textlink="">
      <xdr:nvSpPr>
        <xdr:cNvPr id="63" name="Text Box 17">
          <a:extLst>
            <a:ext uri="{FF2B5EF4-FFF2-40B4-BE49-F238E27FC236}">
              <a16:creationId xmlns:a16="http://schemas.microsoft.com/office/drawing/2014/main" id="{ED285E00-14EA-4A0C-831A-6EBABBB445E3}"/>
            </a:ext>
          </a:extLst>
        </xdr:cNvPr>
        <xdr:cNvSpPr txBox="1">
          <a:spLocks noChangeArrowheads="1"/>
        </xdr:cNvSpPr>
      </xdr:nvSpPr>
      <xdr:spPr bwMode="auto">
        <a:xfrm>
          <a:off x="76200" y="6880860"/>
          <a:ext cx="701040" cy="228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26904</xdr:rowOff>
    </xdr:to>
    <xdr:sp macro="" textlink="">
      <xdr:nvSpPr>
        <xdr:cNvPr id="64" name="Text Box 18">
          <a:extLst>
            <a:ext uri="{FF2B5EF4-FFF2-40B4-BE49-F238E27FC236}">
              <a16:creationId xmlns:a16="http://schemas.microsoft.com/office/drawing/2014/main" id="{86552C9E-8724-4434-8A58-04804D9A5701}"/>
            </a:ext>
          </a:extLst>
        </xdr:cNvPr>
        <xdr:cNvSpPr txBox="1">
          <a:spLocks noChangeArrowheads="1"/>
        </xdr:cNvSpPr>
      </xdr:nvSpPr>
      <xdr:spPr bwMode="auto">
        <a:xfrm>
          <a:off x="2275373" y="6881360"/>
          <a:ext cx="498307" cy="4672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28</xdr:row>
      <xdr:rowOff>58153</xdr:rowOff>
    </xdr:from>
    <xdr:to>
      <xdr:col>1</xdr:col>
      <xdr:colOff>1969336</xdr:colOff>
      <xdr:row>29</xdr:row>
      <xdr:rowOff>115303</xdr:rowOff>
    </xdr:to>
    <xdr:sp macro="" textlink="">
      <xdr:nvSpPr>
        <xdr:cNvPr id="65" name="Text Box 32">
          <a:extLst>
            <a:ext uri="{FF2B5EF4-FFF2-40B4-BE49-F238E27FC236}">
              <a16:creationId xmlns:a16="http://schemas.microsoft.com/office/drawing/2014/main" id="{CA93FBFE-40AB-4DB8-84B1-7EA1AF0E9D42}"/>
            </a:ext>
          </a:extLst>
        </xdr:cNvPr>
        <xdr:cNvSpPr txBox="1">
          <a:spLocks noChangeArrowheads="1"/>
        </xdr:cNvSpPr>
      </xdr:nvSpPr>
      <xdr:spPr bwMode="auto">
        <a:xfrm>
          <a:off x="782521" y="6965683"/>
          <a:ext cx="144335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28</xdr:row>
      <xdr:rowOff>104107</xdr:rowOff>
    </xdr:from>
    <xdr:to>
      <xdr:col>1</xdr:col>
      <xdr:colOff>426453</xdr:colOff>
      <xdr:row>29</xdr:row>
      <xdr:rowOff>123157</xdr:rowOff>
    </xdr:to>
    <xdr:sp macro="" textlink="">
      <xdr:nvSpPr>
        <xdr:cNvPr id="66" name="Text Box 34">
          <a:extLst>
            <a:ext uri="{FF2B5EF4-FFF2-40B4-BE49-F238E27FC236}">
              <a16:creationId xmlns:a16="http://schemas.microsoft.com/office/drawing/2014/main" id="{FB439A2D-8EEE-4706-B9AA-22B67EF19903}"/>
            </a:ext>
          </a:extLst>
        </xdr:cNvPr>
        <xdr:cNvSpPr txBox="1">
          <a:spLocks noChangeArrowheads="1"/>
        </xdr:cNvSpPr>
      </xdr:nvSpPr>
      <xdr:spPr bwMode="auto">
        <a:xfrm>
          <a:off x="100063" y="7005287"/>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28</xdr:row>
      <xdr:rowOff>6183</xdr:rowOff>
    </xdr:from>
    <xdr:to>
      <xdr:col>3</xdr:col>
      <xdr:colOff>277561</xdr:colOff>
      <xdr:row>28</xdr:row>
      <xdr:rowOff>6183</xdr:rowOff>
    </xdr:to>
    <xdr:cxnSp macro="">
      <xdr:nvCxnSpPr>
        <xdr:cNvPr id="67" name="Conector de seta reta 9">
          <a:extLst>
            <a:ext uri="{FF2B5EF4-FFF2-40B4-BE49-F238E27FC236}">
              <a16:creationId xmlns:a16="http://schemas.microsoft.com/office/drawing/2014/main" id="{528955F2-3F5F-45C3-8F48-76050471CF0E}"/>
            </a:ext>
          </a:extLst>
        </xdr:cNvPr>
        <xdr:cNvCxnSpPr/>
      </xdr:nvCxnSpPr>
      <xdr:spPr>
        <a:xfrm>
          <a:off x="4077201" y="6911173"/>
          <a:ext cx="27198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68" name="Text Box 12">
          <a:extLst>
            <a:ext uri="{FF2B5EF4-FFF2-40B4-BE49-F238E27FC236}">
              <a16:creationId xmlns:a16="http://schemas.microsoft.com/office/drawing/2014/main" id="{662ACEE3-7796-4616-99A8-72B046084EE1}"/>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69" name="Text Box 13">
          <a:extLst>
            <a:ext uri="{FF2B5EF4-FFF2-40B4-BE49-F238E27FC236}">
              <a16:creationId xmlns:a16="http://schemas.microsoft.com/office/drawing/2014/main" id="{DD3CC0D6-8C46-4932-9550-25A5BDE49154}"/>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70" name="Text Box 14">
          <a:extLst>
            <a:ext uri="{FF2B5EF4-FFF2-40B4-BE49-F238E27FC236}">
              <a16:creationId xmlns:a16="http://schemas.microsoft.com/office/drawing/2014/main" id="{55F494D1-6CC4-413E-84EB-58F76ED35D88}"/>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71" name="Text Box 16">
          <a:extLst>
            <a:ext uri="{FF2B5EF4-FFF2-40B4-BE49-F238E27FC236}">
              <a16:creationId xmlns:a16="http://schemas.microsoft.com/office/drawing/2014/main" id="{01766BB4-ED63-46E0-AA85-6686E6C3BA7E}"/>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72" name="Text Box 17">
          <a:extLst>
            <a:ext uri="{FF2B5EF4-FFF2-40B4-BE49-F238E27FC236}">
              <a16:creationId xmlns:a16="http://schemas.microsoft.com/office/drawing/2014/main" id="{229CD2EF-2F5E-4AFA-95DB-F8E66A4F7D9B}"/>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73" name="Text Box 18">
          <a:extLst>
            <a:ext uri="{FF2B5EF4-FFF2-40B4-BE49-F238E27FC236}">
              <a16:creationId xmlns:a16="http://schemas.microsoft.com/office/drawing/2014/main" id="{580EBF16-61F5-4AE0-B2A5-2A70B41028B0}"/>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74" name="Text Box 32">
          <a:extLst>
            <a:ext uri="{FF2B5EF4-FFF2-40B4-BE49-F238E27FC236}">
              <a16:creationId xmlns:a16="http://schemas.microsoft.com/office/drawing/2014/main" id="{BA7B8F1E-4A5A-4BF7-87FE-622893D174C6}"/>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75" name="Text Box 34">
          <a:extLst>
            <a:ext uri="{FF2B5EF4-FFF2-40B4-BE49-F238E27FC236}">
              <a16:creationId xmlns:a16="http://schemas.microsoft.com/office/drawing/2014/main" id="{9BF22CE6-758E-4BE6-A4FB-47DC2655D60B}"/>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76" name="Conector de seta reta 9">
          <a:extLst>
            <a:ext uri="{FF2B5EF4-FFF2-40B4-BE49-F238E27FC236}">
              <a16:creationId xmlns:a16="http://schemas.microsoft.com/office/drawing/2014/main" id="{D5C4EF9A-871C-4A10-8FE0-C4AA6C5CC11B}"/>
            </a:ext>
          </a:extLst>
        </xdr:cNvPr>
        <xdr:cNvCxnSpPr/>
      </xdr:nvCxnSpPr>
      <xdr:spPr>
        <a:xfrm>
          <a:off x="4081646" y="6906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77" name="Text Box 12">
          <a:extLst>
            <a:ext uri="{FF2B5EF4-FFF2-40B4-BE49-F238E27FC236}">
              <a16:creationId xmlns:a16="http://schemas.microsoft.com/office/drawing/2014/main" id="{53422D37-52D7-4391-9319-A829BD26A726}"/>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78" name="Text Box 13">
          <a:extLst>
            <a:ext uri="{FF2B5EF4-FFF2-40B4-BE49-F238E27FC236}">
              <a16:creationId xmlns:a16="http://schemas.microsoft.com/office/drawing/2014/main" id="{CA92A385-38AD-4EC3-A74F-E36A10F97C28}"/>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79" name="Text Box 14">
          <a:extLst>
            <a:ext uri="{FF2B5EF4-FFF2-40B4-BE49-F238E27FC236}">
              <a16:creationId xmlns:a16="http://schemas.microsoft.com/office/drawing/2014/main" id="{A67FA6DB-1D7A-485F-AB64-516959E3A84D}"/>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80" name="Text Box 16">
          <a:extLst>
            <a:ext uri="{FF2B5EF4-FFF2-40B4-BE49-F238E27FC236}">
              <a16:creationId xmlns:a16="http://schemas.microsoft.com/office/drawing/2014/main" id="{7996E7DC-925D-4B0A-8BBC-700AD564BEF7}"/>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81" name="Text Box 17">
          <a:extLst>
            <a:ext uri="{FF2B5EF4-FFF2-40B4-BE49-F238E27FC236}">
              <a16:creationId xmlns:a16="http://schemas.microsoft.com/office/drawing/2014/main" id="{B7538858-7A98-42B7-8473-5446DE98B938}"/>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82" name="Text Box 18">
          <a:extLst>
            <a:ext uri="{FF2B5EF4-FFF2-40B4-BE49-F238E27FC236}">
              <a16:creationId xmlns:a16="http://schemas.microsoft.com/office/drawing/2014/main" id="{FCC482B0-C307-4676-A463-FB47194FE63D}"/>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83" name="Text Box 32">
          <a:extLst>
            <a:ext uri="{FF2B5EF4-FFF2-40B4-BE49-F238E27FC236}">
              <a16:creationId xmlns:a16="http://schemas.microsoft.com/office/drawing/2014/main" id="{764BA3FF-B915-4664-834B-BAF20A882966}"/>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84" name="Text Box 34">
          <a:extLst>
            <a:ext uri="{FF2B5EF4-FFF2-40B4-BE49-F238E27FC236}">
              <a16:creationId xmlns:a16="http://schemas.microsoft.com/office/drawing/2014/main" id="{3ED2CE14-629A-4012-9702-09EA07FE61D2}"/>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85" name="Conector de seta reta 9">
          <a:extLst>
            <a:ext uri="{FF2B5EF4-FFF2-40B4-BE49-F238E27FC236}">
              <a16:creationId xmlns:a16="http://schemas.microsoft.com/office/drawing/2014/main" id="{8E945C5E-1191-451F-B541-13D8C3085651}"/>
            </a:ext>
          </a:extLst>
        </xdr:cNvPr>
        <xdr:cNvCxnSpPr/>
      </xdr:nvCxnSpPr>
      <xdr:spPr>
        <a:xfrm>
          <a:off x="4081646" y="6906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mailto:vendas8@atacadocatarinense.com.br" TargetMode="External"/><Relationship Id="rId1" Type="http://schemas.openxmlformats.org/officeDocument/2006/relationships/hyperlink" Target="mailto:vendas3@atacadolitoral.com.br" TargetMode="External"/><Relationship Id="rId4" Type="http://schemas.openxmlformats.org/officeDocument/2006/relationships/drawing" Target="../drawings/drawing5.xml"/></Relationships>
</file>

<file path=xl/worksheets/_rels/sheet14.xml.rels><?xml version="1.0" encoding="UTF-8" standalone="yes"?>
<Relationships xmlns="http://schemas.openxmlformats.org/package/2006/relationships"><Relationship Id="rId3" Type="http://schemas.openxmlformats.org/officeDocument/2006/relationships/hyperlink" Target="http://www.leroymerlin.com.br/" TargetMode="External"/><Relationship Id="rId2" Type="http://schemas.openxmlformats.org/officeDocument/2006/relationships/hyperlink" Target="http://www.amazon.com.br/" TargetMode="External"/><Relationship Id="rId1" Type="http://schemas.openxmlformats.org/officeDocument/2006/relationships/hyperlink" Target="http://www.magazineluiza.com.br/" TargetMode="External"/><Relationship Id="rId6" Type="http://schemas.openxmlformats.org/officeDocument/2006/relationships/drawing" Target="../drawings/drawing6.xml"/><Relationship Id="rId5" Type="http://schemas.openxmlformats.org/officeDocument/2006/relationships/printerSettings" Target="../printerSettings/printerSettings10.bin"/><Relationship Id="rId4" Type="http://schemas.openxmlformats.org/officeDocument/2006/relationships/hyperlink" Target="http://www.americanas.com.br/" TargetMode="External"/></Relationships>
</file>

<file path=xl/worksheets/_rels/sheet15.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6.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3" Type="http://schemas.openxmlformats.org/officeDocument/2006/relationships/hyperlink" Target="http://www.mercadolivre.com.br/" TargetMode="External"/><Relationship Id="rId2" Type="http://schemas.openxmlformats.org/officeDocument/2006/relationships/hyperlink" Target="http://www.amazon.com.br/" TargetMode="External"/><Relationship Id="rId1" Type="http://schemas.openxmlformats.org/officeDocument/2006/relationships/hyperlink" Target="http://www.casasbahia.com.br/" TargetMode="External"/><Relationship Id="rId6" Type="http://schemas.openxmlformats.org/officeDocument/2006/relationships/drawing" Target="../drawings/drawing2.xml"/><Relationship Id="rId5" Type="http://schemas.openxmlformats.org/officeDocument/2006/relationships/printerSettings" Target="../printerSettings/printerSettings5.bin"/><Relationship Id="rId4" Type="http://schemas.openxmlformats.org/officeDocument/2006/relationships/hyperlink" Target="mailto:loja5@lojadoguardapo.com.br" TargetMode="Externa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mailto:vendas8@atacadocatarinense.com.br" TargetMode="External"/><Relationship Id="rId1" Type="http://schemas.openxmlformats.org/officeDocument/2006/relationships/hyperlink" Target="mailto:vendas3@atacadolitoral.com.br" TargetMode="External"/><Relationship Id="rId4"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3" Type="http://schemas.openxmlformats.org/officeDocument/2006/relationships/hyperlink" Target="http://www.leroymerlin.com.br/" TargetMode="External"/><Relationship Id="rId2" Type="http://schemas.openxmlformats.org/officeDocument/2006/relationships/hyperlink" Target="http://www.amazon.com.br/" TargetMode="External"/><Relationship Id="rId1" Type="http://schemas.openxmlformats.org/officeDocument/2006/relationships/hyperlink" Target="http://www.magazineluiza.com.br/" TargetMode="External"/><Relationship Id="rId6" Type="http://schemas.openxmlformats.org/officeDocument/2006/relationships/drawing" Target="../drawings/drawing4.xml"/><Relationship Id="rId5" Type="http://schemas.openxmlformats.org/officeDocument/2006/relationships/printerSettings" Target="../printerSettings/printerSettings7.bin"/><Relationship Id="rId4" Type="http://schemas.openxmlformats.org/officeDocument/2006/relationships/hyperlink" Target="http://www.americanas.com.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371" t="s">
        <v>0</v>
      </c>
      <c r="B2" s="372"/>
      <c r="C2" s="373"/>
      <c r="F2" s="371" t="s">
        <v>1</v>
      </c>
      <c r="G2" s="372"/>
      <c r="H2" s="373"/>
    </row>
    <row r="4" spans="1:8" ht="13" x14ac:dyDescent="0.3">
      <c r="A4" s="10" t="s">
        <v>2</v>
      </c>
      <c r="F4" s="10" t="s">
        <v>2</v>
      </c>
    </row>
    <row r="5" spans="1:8" x14ac:dyDescent="0.25">
      <c r="A5" t="s">
        <v>3</v>
      </c>
      <c r="C5" s="7">
        <f>'Servente-Florianópolis'!I45</f>
        <v>1729.0079999999998</v>
      </c>
      <c r="F5" t="s">
        <v>3</v>
      </c>
      <c r="H5" s="7">
        <f>'Servente-Florianópolis'!I45</f>
        <v>1729.0079999999998</v>
      </c>
    </row>
    <row r="6" spans="1:8" x14ac:dyDescent="0.25">
      <c r="A6" t="s">
        <v>4</v>
      </c>
      <c r="C6" s="7">
        <f>'Servente-Florianópolis'!I54</f>
        <v>353.29396799999995</v>
      </c>
      <c r="F6" t="s">
        <v>4</v>
      </c>
      <c r="H6" s="7">
        <f>'Servente-Florianópolis'!I54</f>
        <v>353.29396799999995</v>
      </c>
    </row>
    <row r="7" spans="1:8" ht="13" x14ac:dyDescent="0.3">
      <c r="A7" s="10" t="s">
        <v>5</v>
      </c>
      <c r="C7" s="4">
        <f>SUM(C5:C6)</f>
        <v>2082.3019679999998</v>
      </c>
      <c r="F7" s="10" t="s">
        <v>5</v>
      </c>
      <c r="H7" s="4">
        <f>SUM(H5:H6)</f>
        <v>2082.3019679999998</v>
      </c>
    </row>
    <row r="9" spans="1:8" ht="13" x14ac:dyDescent="0.3">
      <c r="A9" s="10" t="s">
        <v>6</v>
      </c>
      <c r="C9" s="63">
        <f>(SUM('Servente-Florianópolis'!H67:H73))</f>
        <v>0.28800000000000003</v>
      </c>
      <c r="F9" s="10" t="s">
        <v>6</v>
      </c>
      <c r="H9" s="63">
        <f>'Servente-Florianópolis'!H74</f>
        <v>0.08</v>
      </c>
    </row>
    <row r="10" spans="1:8" ht="13" thickBot="1" x14ac:dyDescent="0.3"/>
    <row r="11" spans="1:8" ht="13.5" thickBot="1" x14ac:dyDescent="0.35">
      <c r="A11" s="64" t="s">
        <v>7</v>
      </c>
      <c r="B11" s="65"/>
      <c r="C11" s="66">
        <f>C7*C9</f>
        <v>599.70296678399995</v>
      </c>
      <c r="F11" s="64" t="s">
        <v>8</v>
      </c>
      <c r="G11" s="65"/>
      <c r="H11" s="66">
        <f>H7*H9</f>
        <v>166.58415743999998</v>
      </c>
    </row>
    <row r="13" spans="1:8" ht="13" thickBot="1" x14ac:dyDescent="0.3"/>
    <row r="14" spans="1:8" ht="13.5" thickBot="1" x14ac:dyDescent="0.3">
      <c r="C14" s="368" t="s">
        <v>9</v>
      </c>
      <c r="D14" s="369"/>
      <c r="E14" s="369"/>
      <c r="F14" s="370"/>
    </row>
    <row r="16" spans="1:8" x14ac:dyDescent="0.25">
      <c r="C16" t="str">
        <f>A11</f>
        <v>Valor GPS</v>
      </c>
      <c r="F16" s="7">
        <f>C11</f>
        <v>599.70296678399995</v>
      </c>
    </row>
    <row r="17" spans="3:8" x14ac:dyDescent="0.25">
      <c r="C17" t="str">
        <f>F11</f>
        <v>Valor FGTS</v>
      </c>
      <c r="F17" s="7">
        <f>H11</f>
        <v>166.58415743999998</v>
      </c>
    </row>
    <row r="19" spans="3:8" ht="13" x14ac:dyDescent="0.3">
      <c r="C19" s="10" t="s">
        <v>10</v>
      </c>
      <c r="F19" s="105">
        <f>C9+H9</f>
        <v>0.36800000000000005</v>
      </c>
      <c r="G19" s="10"/>
      <c r="H19" s="88"/>
    </row>
    <row r="20" spans="3:8" ht="13" thickBot="1" x14ac:dyDescent="0.3"/>
    <row r="21" spans="3:8" ht="13.5" thickBot="1" x14ac:dyDescent="0.35">
      <c r="C21" s="76" t="s">
        <v>11</v>
      </c>
      <c r="D21" s="89"/>
      <c r="E21" s="89"/>
      <c r="F21" s="90">
        <f>SUM(F16:F18)</f>
        <v>766.28712422399997</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283</v>
      </c>
    </row>
    <row r="3" spans="1:8" ht="13" thickBot="1" x14ac:dyDescent="0.3">
      <c r="A3" s="50"/>
    </row>
    <row r="4" spans="1:8" ht="13.5" thickBot="1" x14ac:dyDescent="0.35">
      <c r="A4" s="648" t="s">
        <v>284</v>
      </c>
      <c r="B4" s="649"/>
      <c r="C4" s="649"/>
      <c r="D4" s="649"/>
      <c r="E4" s="650"/>
      <c r="H4" s="10" t="s">
        <v>285</v>
      </c>
    </row>
    <row r="5" spans="1:8" ht="13.5" thickBot="1" x14ac:dyDescent="0.3">
      <c r="A5" s="651" t="s">
        <v>286</v>
      </c>
      <c r="B5" s="651"/>
      <c r="C5" s="651"/>
      <c r="D5" s="651"/>
      <c r="E5" s="80" t="s">
        <v>6</v>
      </c>
    </row>
    <row r="6" spans="1:8" ht="13" x14ac:dyDescent="0.25">
      <c r="A6" s="57" t="s">
        <v>287</v>
      </c>
      <c r="B6" s="62"/>
      <c r="C6" s="62"/>
      <c r="D6" s="62"/>
      <c r="E6" s="137">
        <v>88.61</v>
      </c>
      <c r="F6" s="107" t="s">
        <v>288</v>
      </c>
      <c r="G6" s="135">
        <v>0.5</v>
      </c>
      <c r="H6" t="s">
        <v>289</v>
      </c>
    </row>
    <row r="7" spans="1:8" ht="13.5" thickBot="1" x14ac:dyDescent="0.3">
      <c r="A7" s="57" t="s">
        <v>290</v>
      </c>
      <c r="B7" s="62"/>
      <c r="C7" s="62"/>
      <c r="D7" s="62"/>
      <c r="E7" s="138">
        <v>1.35</v>
      </c>
      <c r="G7" s="136">
        <v>0.5</v>
      </c>
      <c r="H7" t="s">
        <v>291</v>
      </c>
    </row>
    <row r="8" spans="1:8" ht="13.5" thickBot="1" x14ac:dyDescent="0.3">
      <c r="A8" s="60" t="s">
        <v>292</v>
      </c>
      <c r="B8" s="61"/>
      <c r="C8" s="61"/>
      <c r="D8" s="61"/>
      <c r="E8" s="139">
        <v>10.039999999999999</v>
      </c>
    </row>
    <row r="9" spans="1:8" ht="13" thickBot="1" x14ac:dyDescent="0.3">
      <c r="A9" s="50"/>
    </row>
    <row r="10" spans="1:8" ht="13.5" thickBot="1" x14ac:dyDescent="0.3">
      <c r="A10" s="648" t="s">
        <v>284</v>
      </c>
      <c r="B10" s="649"/>
      <c r="C10" s="649"/>
      <c r="D10" s="649"/>
      <c r="E10" s="650"/>
    </row>
    <row r="11" spans="1:8" ht="13.5" thickBot="1" x14ac:dyDescent="0.3">
      <c r="A11" s="651" t="s">
        <v>286</v>
      </c>
      <c r="B11" s="651"/>
      <c r="C11" s="651"/>
      <c r="D11" s="651"/>
      <c r="E11" s="80" t="s">
        <v>6</v>
      </c>
    </row>
    <row r="12" spans="1:8" ht="13" x14ac:dyDescent="0.25">
      <c r="A12" s="58" t="s">
        <v>293</v>
      </c>
      <c r="B12" s="59"/>
      <c r="C12" s="59"/>
      <c r="D12" s="59"/>
      <c r="E12" s="140">
        <f>E6*G6</f>
        <v>44.305</v>
      </c>
    </row>
    <row r="13" spans="1:8" ht="13.5" thickBot="1" x14ac:dyDescent="0.3">
      <c r="A13" s="57" t="s">
        <v>294</v>
      </c>
      <c r="B13" s="62"/>
      <c r="C13" s="62"/>
      <c r="D13" s="62"/>
      <c r="E13" s="141">
        <f>E6*G7</f>
        <v>44.305</v>
      </c>
    </row>
    <row r="14" spans="1:8" ht="13" thickBot="1" x14ac:dyDescent="0.3">
      <c r="A14" s="50"/>
    </row>
    <row r="15" spans="1:8" ht="13.5" thickBot="1" x14ac:dyDescent="0.35">
      <c r="A15" s="76" t="s">
        <v>295</v>
      </c>
      <c r="B15" s="77"/>
      <c r="C15" s="143">
        <v>12</v>
      </c>
      <c r="E15" s="76" t="s">
        <v>295</v>
      </c>
      <c r="F15" s="77"/>
      <c r="G15" s="142">
        <v>18</v>
      </c>
      <c r="H15" s="37" t="s">
        <v>296</v>
      </c>
    </row>
    <row r="16" spans="1:8" ht="13" thickBot="1" x14ac:dyDescent="0.3">
      <c r="A16" s="50"/>
      <c r="E16" s="50"/>
    </row>
    <row r="17" spans="1:16" ht="13.5" thickBot="1" x14ac:dyDescent="0.3">
      <c r="A17" s="652" t="s">
        <v>297</v>
      </c>
      <c r="B17" s="653"/>
      <c r="C17" s="654"/>
      <c r="E17" s="652" t="s">
        <v>297</v>
      </c>
      <c r="F17" s="653"/>
      <c r="G17" s="654"/>
    </row>
    <row r="18" spans="1:16" x14ac:dyDescent="0.25">
      <c r="A18" s="68"/>
      <c r="C18" s="69"/>
      <c r="E18" s="68"/>
      <c r="G18" s="69"/>
    </row>
    <row r="19" spans="1:16" ht="13" x14ac:dyDescent="0.3">
      <c r="A19" s="70" t="s">
        <v>2</v>
      </c>
      <c r="C19" s="69"/>
      <c r="E19" s="70" t="s">
        <v>2</v>
      </c>
      <c r="G19" s="69"/>
    </row>
    <row r="20" spans="1:16" x14ac:dyDescent="0.25">
      <c r="A20" s="68" t="s">
        <v>3</v>
      </c>
      <c r="C20" s="71">
        <f>'Servente-Florianópolis'!I45</f>
        <v>1729.0079999999998</v>
      </c>
      <c r="E20" s="68" t="s">
        <v>3</v>
      </c>
      <c r="G20" s="71">
        <f>'Servente-Florianópolis'!I45</f>
        <v>1729.0079999999998</v>
      </c>
    </row>
    <row r="21" spans="1:16" x14ac:dyDescent="0.25">
      <c r="A21" s="68" t="s">
        <v>298</v>
      </c>
      <c r="C21" s="71">
        <f>'Servente-Florianópolis'!I102</f>
        <v>1957.5206430591998</v>
      </c>
      <c r="E21" s="68" t="s">
        <v>298</v>
      </c>
      <c r="G21" s="71">
        <f>'Servente-Florianópolis'!I102</f>
        <v>1957.5206430591998</v>
      </c>
    </row>
    <row r="22" spans="1:16" ht="13" x14ac:dyDescent="0.25">
      <c r="A22" s="68" t="s">
        <v>299</v>
      </c>
      <c r="C22" s="71">
        <f>-'Mód2.2'!C11</f>
        <v>-599.70296678399995</v>
      </c>
      <c r="D22" s="115" t="s">
        <v>300</v>
      </c>
      <c r="E22" s="68" t="s">
        <v>299</v>
      </c>
      <c r="G22" s="71">
        <f>-'Mód2.2'!C11</f>
        <v>-599.70296678399995</v>
      </c>
    </row>
    <row r="23" spans="1:16" ht="13" x14ac:dyDescent="0.3">
      <c r="A23" s="70" t="s">
        <v>5</v>
      </c>
      <c r="C23" s="72">
        <f>SUM(C20:C22)</f>
        <v>3086.8256762751998</v>
      </c>
      <c r="E23" s="70" t="s">
        <v>5</v>
      </c>
      <c r="G23" s="72">
        <f>SUM(G20:G22)</f>
        <v>3086.8256762751998</v>
      </c>
    </row>
    <row r="24" spans="1:16" x14ac:dyDescent="0.25">
      <c r="A24" s="68"/>
      <c r="C24" s="69"/>
      <c r="E24" s="68"/>
      <c r="G24" s="69"/>
    </row>
    <row r="25" spans="1:16" ht="13" x14ac:dyDescent="0.3">
      <c r="A25" s="70" t="s">
        <v>295</v>
      </c>
      <c r="C25" s="75">
        <f>C15</f>
        <v>12</v>
      </c>
      <c r="E25" s="70" t="s">
        <v>295</v>
      </c>
      <c r="G25" s="75">
        <f>G15</f>
        <v>18</v>
      </c>
    </row>
    <row r="26" spans="1:16" ht="13" x14ac:dyDescent="0.3">
      <c r="A26" s="70" t="s">
        <v>301</v>
      </c>
      <c r="C26" s="85">
        <f>E12</f>
        <v>44.305</v>
      </c>
      <c r="E26" s="70" t="s">
        <v>301</v>
      </c>
      <c r="G26" s="85">
        <f>E12</f>
        <v>44.305</v>
      </c>
    </row>
    <row r="27" spans="1:16" ht="13" thickBot="1" x14ac:dyDescent="0.3">
      <c r="A27" s="68"/>
      <c r="C27" s="69"/>
      <c r="E27" s="68"/>
      <c r="G27" s="69"/>
    </row>
    <row r="28" spans="1:16" ht="13.5" thickBot="1" x14ac:dyDescent="0.35">
      <c r="A28" s="64" t="s">
        <v>302</v>
      </c>
      <c r="B28" s="65"/>
      <c r="C28" s="79">
        <f>C23/C25*C26%</f>
        <v>113.96817632281061</v>
      </c>
      <c r="E28" s="116" t="s">
        <v>303</v>
      </c>
      <c r="F28" s="65"/>
      <c r="G28" s="79">
        <f>G23/G25*G26%</f>
        <v>75.978784215207071</v>
      </c>
    </row>
    <row r="29" spans="1:16" ht="13" thickBot="1" x14ac:dyDescent="0.3"/>
    <row r="30" spans="1:16" ht="13.5" thickBot="1" x14ac:dyDescent="0.3">
      <c r="A30" s="371" t="s">
        <v>304</v>
      </c>
      <c r="B30" s="372"/>
      <c r="C30" s="372"/>
      <c r="D30" s="372"/>
      <c r="E30" s="372"/>
      <c r="F30" s="372"/>
      <c r="G30" s="373"/>
      <c r="J30" s="371" t="s">
        <v>304</v>
      </c>
      <c r="K30" s="372"/>
      <c r="L30" s="372"/>
      <c r="M30" s="372"/>
      <c r="N30" s="372"/>
      <c r="O30" s="372"/>
      <c r="P30" s="373"/>
    </row>
    <row r="31" spans="1:16" x14ac:dyDescent="0.25">
      <c r="A31" s="68"/>
      <c r="G31" s="69"/>
      <c r="J31" s="68"/>
      <c r="P31" s="69"/>
    </row>
    <row r="32" spans="1:16" ht="13" x14ac:dyDescent="0.3">
      <c r="A32" s="70" t="s">
        <v>2</v>
      </c>
      <c r="G32" s="69"/>
      <c r="J32" s="70" t="s">
        <v>2</v>
      </c>
      <c r="P32" s="69"/>
    </row>
    <row r="33" spans="1:19" x14ac:dyDescent="0.25">
      <c r="A33" s="68" t="s">
        <v>3</v>
      </c>
      <c r="G33" s="71">
        <f>'Servente-Florianópolis'!I45</f>
        <v>1729.0079999999998</v>
      </c>
      <c r="J33" s="68" t="s">
        <v>1</v>
      </c>
      <c r="P33" s="71">
        <f>'Mód2.2'!H11</f>
        <v>166.58415743999998</v>
      </c>
    </row>
    <row r="34" spans="1:19" x14ac:dyDescent="0.25">
      <c r="A34" s="68" t="s">
        <v>4</v>
      </c>
      <c r="G34" s="71">
        <f>'Servente-Florianópolis'!I54</f>
        <v>353.29396799999995</v>
      </c>
      <c r="J34" s="68"/>
      <c r="P34" s="71"/>
    </row>
    <row r="35" spans="1:19" ht="13" x14ac:dyDescent="0.3">
      <c r="A35" s="70" t="s">
        <v>5</v>
      </c>
      <c r="G35" s="72">
        <f>SUM(G33:G34)</f>
        <v>2082.3019679999998</v>
      </c>
      <c r="H35" s="663" t="s">
        <v>300</v>
      </c>
      <c r="I35" s="664"/>
      <c r="J35" s="70" t="s">
        <v>5</v>
      </c>
      <c r="P35" s="72">
        <f>SUM(P33:P34)</f>
        <v>166.58415743999998</v>
      </c>
    </row>
    <row r="36" spans="1:19" x14ac:dyDescent="0.25">
      <c r="A36" s="68"/>
      <c r="G36" s="69"/>
      <c r="J36" s="68"/>
      <c r="P36" s="69"/>
    </row>
    <row r="37" spans="1:19" ht="13" x14ac:dyDescent="0.3">
      <c r="A37" s="70" t="s">
        <v>305</v>
      </c>
      <c r="G37" s="73">
        <f>'Servente-Florianópolis'!H74</f>
        <v>0.08</v>
      </c>
      <c r="J37" s="70"/>
      <c r="P37" s="73"/>
    </row>
    <row r="38" spans="1:19" ht="13" x14ac:dyDescent="0.3">
      <c r="A38" s="70" t="s">
        <v>306</v>
      </c>
      <c r="G38" s="73">
        <v>0.4</v>
      </c>
      <c r="J38" s="70" t="s">
        <v>306</v>
      </c>
      <c r="P38" s="73">
        <v>0.4</v>
      </c>
    </row>
    <row r="39" spans="1:19" ht="13" x14ac:dyDescent="0.3">
      <c r="A39" s="70" t="s">
        <v>301</v>
      </c>
      <c r="C39" s="74"/>
      <c r="G39" s="85">
        <f>E12</f>
        <v>44.305</v>
      </c>
      <c r="J39" s="70" t="s">
        <v>301</v>
      </c>
      <c r="L39" s="74"/>
      <c r="P39" s="85">
        <f>E12</f>
        <v>44.305</v>
      </c>
    </row>
    <row r="40" spans="1:19" ht="13" thickBot="1" x14ac:dyDescent="0.3">
      <c r="A40" s="68"/>
      <c r="G40" s="69"/>
      <c r="J40" s="68"/>
      <c r="P40" s="69"/>
    </row>
    <row r="41" spans="1:19" ht="13.5" thickBot="1" x14ac:dyDescent="0.3">
      <c r="A41" s="371" t="s">
        <v>307</v>
      </c>
      <c r="B41" s="372"/>
      <c r="C41" s="372"/>
      <c r="D41" s="372"/>
      <c r="E41" s="372"/>
      <c r="F41" s="372"/>
      <c r="G41" s="79">
        <f>G35*G37*G38*G39%</f>
        <v>29.5220443815168</v>
      </c>
      <c r="J41" s="661" t="s">
        <v>308</v>
      </c>
      <c r="K41" s="662"/>
      <c r="L41" s="662"/>
      <c r="M41" s="662"/>
      <c r="N41" s="662"/>
      <c r="O41" s="662"/>
      <c r="P41" s="79">
        <f>P35*P38*P39%</f>
        <v>29.5220443815168</v>
      </c>
    </row>
    <row r="43" spans="1:19" ht="13" thickBot="1" x14ac:dyDescent="0.3"/>
    <row r="44" spans="1:19" ht="13.5" thickBot="1" x14ac:dyDescent="0.3">
      <c r="A44" s="645" t="s">
        <v>309</v>
      </c>
      <c r="B44" s="646"/>
      <c r="C44" s="647"/>
      <c r="E44" s="645" t="s">
        <v>309</v>
      </c>
      <c r="F44" s="646"/>
      <c r="G44" s="647"/>
    </row>
    <row r="45" spans="1:19" ht="13" x14ac:dyDescent="0.3">
      <c r="A45" s="68"/>
      <c r="C45" s="69"/>
      <c r="E45" s="68"/>
      <c r="G45" s="69"/>
      <c r="J45" s="86" t="s">
        <v>310</v>
      </c>
    </row>
    <row r="46" spans="1:19" ht="13" x14ac:dyDescent="0.3">
      <c r="A46" s="70" t="s">
        <v>2</v>
      </c>
      <c r="C46" s="69"/>
      <c r="E46" s="70" t="s">
        <v>2</v>
      </c>
      <c r="G46" s="69"/>
    </row>
    <row r="47" spans="1:19" ht="12.75" customHeight="1" x14ac:dyDescent="0.25">
      <c r="A47" s="68" t="s">
        <v>3</v>
      </c>
      <c r="C47" s="71">
        <f>'Servente-Florianópolis'!I45</f>
        <v>1729.0079999999998</v>
      </c>
      <c r="E47" s="68" t="s">
        <v>3</v>
      </c>
      <c r="G47" s="71">
        <f>'Servente-Florianópolis'!I45</f>
        <v>1729.0079999999998</v>
      </c>
      <c r="J47" s="480" t="s">
        <v>311</v>
      </c>
      <c r="K47" s="480"/>
      <c r="L47" s="480"/>
      <c r="M47" s="480"/>
      <c r="N47" s="480"/>
      <c r="O47" s="480"/>
      <c r="P47" s="480"/>
      <c r="Q47" s="480"/>
      <c r="R47" s="480"/>
      <c r="S47" s="480"/>
    </row>
    <row r="48" spans="1:19" ht="13" x14ac:dyDescent="0.25">
      <c r="A48" s="68" t="s">
        <v>298</v>
      </c>
      <c r="C48" s="71">
        <f>'Servente-Florianópolis'!I102</f>
        <v>1957.5206430591998</v>
      </c>
      <c r="E48" s="68" t="s">
        <v>298</v>
      </c>
      <c r="G48" s="71">
        <f>'Servente-Florianópolis'!I102</f>
        <v>1957.5206430591998</v>
      </c>
      <c r="H48" s="53"/>
      <c r="I48" s="53"/>
      <c r="J48" s="480"/>
      <c r="K48" s="480"/>
      <c r="L48" s="480"/>
      <c r="M48" s="480"/>
      <c r="N48" s="480"/>
      <c r="O48" s="480"/>
      <c r="P48" s="480"/>
      <c r="Q48" s="480"/>
      <c r="R48" s="480"/>
      <c r="S48" s="480"/>
    </row>
    <row r="49" spans="1:19" ht="13" x14ac:dyDescent="0.3">
      <c r="A49" s="70" t="s">
        <v>5</v>
      </c>
      <c r="C49" s="72">
        <f>SUM(C47:C48)</f>
        <v>3686.5286430591996</v>
      </c>
      <c r="D49" s="115" t="s">
        <v>300</v>
      </c>
      <c r="E49" s="70" t="s">
        <v>5</v>
      </c>
      <c r="G49" s="72">
        <f>SUM(G47:G48)</f>
        <v>3686.5286430591996</v>
      </c>
      <c r="H49" s="665" t="s">
        <v>300</v>
      </c>
      <c r="I49" s="665"/>
      <c r="J49" s="480"/>
      <c r="K49" s="480"/>
      <c r="L49" s="480"/>
      <c r="M49" s="480"/>
      <c r="N49" s="480"/>
      <c r="O49" s="480"/>
      <c r="P49" s="480"/>
      <c r="Q49" s="480"/>
      <c r="R49" s="480"/>
      <c r="S49" s="480"/>
    </row>
    <row r="50" spans="1:19" x14ac:dyDescent="0.25">
      <c r="A50" s="68"/>
      <c r="C50" s="69"/>
      <c r="E50" s="68"/>
      <c r="G50" s="69"/>
      <c r="J50" s="480"/>
      <c r="K50" s="480"/>
      <c r="L50" s="480"/>
      <c r="M50" s="480"/>
      <c r="N50" s="480"/>
      <c r="O50" s="480"/>
      <c r="P50" s="480"/>
      <c r="Q50" s="480"/>
      <c r="R50" s="480"/>
      <c r="S50" s="480"/>
    </row>
    <row r="51" spans="1:19" ht="13.5" thickBot="1" x14ac:dyDescent="0.35">
      <c r="A51" s="70" t="s">
        <v>295</v>
      </c>
      <c r="C51" s="75">
        <f>C15</f>
        <v>12</v>
      </c>
      <c r="E51" s="70" t="s">
        <v>295</v>
      </c>
      <c r="G51" s="75">
        <f>G15</f>
        <v>18</v>
      </c>
      <c r="J51" s="480"/>
      <c r="K51" s="480"/>
      <c r="L51" s="480"/>
      <c r="M51" s="480"/>
      <c r="N51" s="480"/>
      <c r="O51" s="480"/>
      <c r="P51" s="480"/>
      <c r="Q51" s="480"/>
      <c r="R51" s="480"/>
      <c r="S51" s="480"/>
    </row>
    <row r="52" spans="1:19" ht="13.5" thickBot="1" x14ac:dyDescent="0.35">
      <c r="A52" s="70" t="s">
        <v>301</v>
      </c>
      <c r="C52" s="85">
        <f>E13</f>
        <v>44.305</v>
      </c>
      <c r="E52" s="70" t="s">
        <v>301</v>
      </c>
      <c r="G52" s="85">
        <f>E13</f>
        <v>44.305</v>
      </c>
      <c r="J52" s="84">
        <f>'Servente-Florianópolis'!I45*1.94%</f>
        <v>33.542755199999995</v>
      </c>
      <c r="M52" s="7"/>
    </row>
    <row r="53" spans="1:19" ht="13" thickBot="1" x14ac:dyDescent="0.3">
      <c r="A53" s="68"/>
      <c r="C53" s="69"/>
      <c r="E53" s="68"/>
      <c r="G53" s="69"/>
    </row>
    <row r="54" spans="1:19" ht="13.5" thickBot="1" x14ac:dyDescent="0.35">
      <c r="A54" s="64" t="s">
        <v>312</v>
      </c>
      <c r="B54" s="65"/>
      <c r="C54" s="79">
        <f>C49/C51*C52%</f>
        <v>136.10970960894818</v>
      </c>
      <c r="E54" s="116" t="s">
        <v>313</v>
      </c>
      <c r="F54" s="65"/>
      <c r="G54" s="79">
        <f>G49/G51*G52%</f>
        <v>90.739806405965467</v>
      </c>
    </row>
    <row r="55" spans="1:19" ht="13" thickBot="1" x14ac:dyDescent="0.3"/>
    <row r="56" spans="1:19" ht="13.5" thickBot="1" x14ac:dyDescent="0.3">
      <c r="A56" s="371" t="s">
        <v>314</v>
      </c>
      <c r="B56" s="372"/>
      <c r="C56" s="372"/>
      <c r="D56" s="372"/>
      <c r="E56" s="372"/>
      <c r="F56" s="372"/>
      <c r="G56" s="373"/>
      <c r="J56" s="371" t="s">
        <v>314</v>
      </c>
      <c r="K56" s="372"/>
      <c r="L56" s="372"/>
      <c r="M56" s="372"/>
      <c r="N56" s="372"/>
      <c r="O56" s="372"/>
      <c r="P56" s="373"/>
    </row>
    <row r="57" spans="1:19" x14ac:dyDescent="0.25">
      <c r="A57" s="68"/>
      <c r="G57" s="69"/>
      <c r="J57" s="68"/>
      <c r="P57" s="69"/>
    </row>
    <row r="58" spans="1:19" ht="13" x14ac:dyDescent="0.3">
      <c r="A58" s="70" t="s">
        <v>2</v>
      </c>
      <c r="G58" s="69"/>
      <c r="J58" s="70" t="s">
        <v>2</v>
      </c>
      <c r="P58" s="69"/>
    </row>
    <row r="59" spans="1:19" x14ac:dyDescent="0.25">
      <c r="A59" s="68" t="s">
        <v>3</v>
      </c>
      <c r="G59" s="71">
        <f>'Servente-Florianópolis'!I45</f>
        <v>1729.0079999999998</v>
      </c>
      <c r="J59" s="68" t="s">
        <v>1</v>
      </c>
      <c r="P59" s="71">
        <f>'Mód2.2'!H11</f>
        <v>166.58415743999998</v>
      </c>
    </row>
    <row r="60" spans="1:19" x14ac:dyDescent="0.25">
      <c r="A60" s="68" t="s">
        <v>4</v>
      </c>
      <c r="G60" s="71">
        <f>'Servente-Florianópolis'!I54</f>
        <v>353.29396799999995</v>
      </c>
      <c r="J60" s="68"/>
      <c r="P60" s="71"/>
    </row>
    <row r="61" spans="1:19" ht="13" x14ac:dyDescent="0.3">
      <c r="A61" s="70" t="s">
        <v>5</v>
      </c>
      <c r="G61" s="72">
        <f>SUM(G59:G60)</f>
        <v>2082.3019679999998</v>
      </c>
      <c r="J61" s="70" t="s">
        <v>5</v>
      </c>
      <c r="P61" s="72">
        <f>SUM(P59:P60)</f>
        <v>166.58415743999998</v>
      </c>
    </row>
    <row r="62" spans="1:19" ht="13" x14ac:dyDescent="0.25">
      <c r="A62" s="68"/>
      <c r="G62" s="69"/>
      <c r="H62" s="663" t="s">
        <v>300</v>
      </c>
      <c r="I62" s="664"/>
      <c r="J62" s="68"/>
      <c r="P62" s="69"/>
    </row>
    <row r="63" spans="1:19" ht="13" x14ac:dyDescent="0.3">
      <c r="A63" s="70" t="s">
        <v>305</v>
      </c>
      <c r="G63" s="73">
        <f>'Servente-Florianópolis'!H74</f>
        <v>0.08</v>
      </c>
      <c r="J63" s="70"/>
      <c r="P63" s="73"/>
    </row>
    <row r="64" spans="1:19" ht="13" x14ac:dyDescent="0.3">
      <c r="A64" s="70" t="s">
        <v>306</v>
      </c>
      <c r="G64" s="73">
        <v>0.4</v>
      </c>
      <c r="J64" s="70" t="s">
        <v>306</v>
      </c>
      <c r="P64" s="73">
        <v>0.4</v>
      </c>
    </row>
    <row r="65" spans="1:16" ht="13" x14ac:dyDescent="0.3">
      <c r="A65" s="70" t="s">
        <v>301</v>
      </c>
      <c r="C65" s="74"/>
      <c r="G65" s="85">
        <f>E13</f>
        <v>44.305</v>
      </c>
      <c r="J65" s="70" t="s">
        <v>301</v>
      </c>
      <c r="L65" s="74"/>
      <c r="P65" s="85">
        <f>E13</f>
        <v>44.305</v>
      </c>
    </row>
    <row r="66" spans="1:16" ht="13" thickBot="1" x14ac:dyDescent="0.3">
      <c r="A66" s="68"/>
      <c r="G66" s="69"/>
      <c r="J66" s="68"/>
      <c r="P66" s="69"/>
    </row>
    <row r="67" spans="1:16" ht="13.5" thickBot="1" x14ac:dyDescent="0.3">
      <c r="A67" s="371" t="s">
        <v>315</v>
      </c>
      <c r="B67" s="372"/>
      <c r="C67" s="372"/>
      <c r="D67" s="372"/>
      <c r="E67" s="372"/>
      <c r="F67" s="372"/>
      <c r="G67" s="79">
        <f>G61*G63*G64*G65%</f>
        <v>29.5220443815168</v>
      </c>
      <c r="J67" s="661" t="s">
        <v>316</v>
      </c>
      <c r="K67" s="662"/>
      <c r="L67" s="662"/>
      <c r="M67" s="662"/>
      <c r="N67" s="662"/>
      <c r="O67" s="662"/>
      <c r="P67" s="79">
        <f>P61*P64*P65%</f>
        <v>29.5220443815168</v>
      </c>
    </row>
    <row r="70" spans="1:16" ht="13" thickBot="1" x14ac:dyDescent="0.3"/>
    <row r="71" spans="1:16" ht="13.5" thickBot="1" x14ac:dyDescent="0.3">
      <c r="A71" s="371" t="s">
        <v>317</v>
      </c>
      <c r="B71" s="372"/>
      <c r="C71" s="372"/>
      <c r="D71" s="372"/>
      <c r="E71" s="372"/>
      <c r="F71" s="372"/>
      <c r="G71" s="373"/>
    </row>
    <row r="72" spans="1:16" x14ac:dyDescent="0.25">
      <c r="A72" s="96"/>
      <c r="B72" s="97"/>
      <c r="C72" s="97"/>
      <c r="D72" s="97"/>
      <c r="E72" s="97"/>
      <c r="F72" s="97"/>
      <c r="G72" s="98"/>
    </row>
    <row r="73" spans="1:16" ht="13" x14ac:dyDescent="0.3">
      <c r="A73" s="70" t="s">
        <v>2</v>
      </c>
      <c r="G73" s="69"/>
    </row>
    <row r="74" spans="1:16" x14ac:dyDescent="0.25">
      <c r="A74" s="68" t="s">
        <v>318</v>
      </c>
      <c r="G74" s="71">
        <f>-'Servente-Florianópolis'!I54</f>
        <v>-353.29396799999995</v>
      </c>
    </row>
    <row r="75" spans="1:16" x14ac:dyDescent="0.25">
      <c r="A75" s="68"/>
      <c r="G75" s="69"/>
    </row>
    <row r="76" spans="1:16" ht="13" x14ac:dyDescent="0.3">
      <c r="A76" s="70" t="s">
        <v>301</v>
      </c>
      <c r="G76" s="108">
        <f>E7</f>
        <v>1.35</v>
      </c>
    </row>
    <row r="77" spans="1:16" ht="13" thickBot="1" x14ac:dyDescent="0.3">
      <c r="A77" s="99"/>
      <c r="B77" s="100"/>
      <c r="C77" s="100"/>
      <c r="D77" s="100"/>
      <c r="E77" s="100"/>
      <c r="F77" s="100"/>
      <c r="G77" s="101"/>
    </row>
    <row r="78" spans="1:16" ht="13.5" thickBot="1" x14ac:dyDescent="0.3">
      <c r="A78" s="371" t="s">
        <v>319</v>
      </c>
      <c r="B78" s="372"/>
      <c r="C78" s="372"/>
      <c r="D78" s="372"/>
      <c r="E78" s="372"/>
      <c r="F78" s="372"/>
      <c r="G78" s="79">
        <f>G74*G76%</f>
        <v>-4.7694685679999997</v>
      </c>
    </row>
    <row r="80" spans="1:16" ht="13" thickBot="1" x14ac:dyDescent="0.3"/>
    <row r="81" spans="2:11" ht="13.5" thickBot="1" x14ac:dyDescent="0.35">
      <c r="B81" s="658" t="s">
        <v>320</v>
      </c>
      <c r="C81" s="659"/>
      <c r="D81" s="659"/>
      <c r="E81" s="659"/>
      <c r="F81" s="659"/>
      <c r="G81" s="659"/>
      <c r="H81" s="659"/>
      <c r="I81" s="659"/>
      <c r="J81" s="659"/>
      <c r="K81" s="660"/>
    </row>
    <row r="82" spans="2:11" ht="13" x14ac:dyDescent="0.25">
      <c r="B82" s="96"/>
      <c r="C82" s="97"/>
      <c r="D82" s="97"/>
      <c r="E82" s="97"/>
      <c r="F82" s="97"/>
      <c r="G82" s="98"/>
      <c r="H82" s="109" t="s">
        <v>321</v>
      </c>
      <c r="I82" s="109" t="s">
        <v>322</v>
      </c>
      <c r="J82" s="109" t="s">
        <v>323</v>
      </c>
      <c r="K82" s="109" t="s">
        <v>324</v>
      </c>
    </row>
    <row r="83" spans="2:11" ht="13.5" thickBot="1" x14ac:dyDescent="0.3">
      <c r="B83" s="655" t="s">
        <v>325</v>
      </c>
      <c r="C83" s="656"/>
      <c r="D83" s="656"/>
      <c r="E83" s="656"/>
      <c r="F83" s="656"/>
      <c r="G83" s="657"/>
      <c r="H83" s="112" t="s">
        <v>326</v>
      </c>
      <c r="I83" s="112" t="s">
        <v>327</v>
      </c>
      <c r="J83" s="112"/>
      <c r="K83" s="112" t="s">
        <v>328</v>
      </c>
    </row>
    <row r="84" spans="2:11" x14ac:dyDescent="0.25">
      <c r="B84" s="96"/>
      <c r="C84" s="97"/>
      <c r="D84" s="97"/>
      <c r="E84" s="97"/>
      <c r="F84" s="97"/>
      <c r="G84" s="98"/>
      <c r="H84" s="110"/>
      <c r="I84" s="110"/>
      <c r="J84" s="110"/>
      <c r="K84" s="110"/>
    </row>
    <row r="85" spans="2:11" x14ac:dyDescent="0.25">
      <c r="B85" s="68" t="str">
        <f>A28</f>
        <v>VALOR AP INDENIZADO</v>
      </c>
      <c r="G85" s="69"/>
      <c r="H85" s="111">
        <f>C28</f>
        <v>113.96817632281061</v>
      </c>
      <c r="I85" s="110"/>
      <c r="J85" s="110"/>
      <c r="K85" s="111">
        <f>G28</f>
        <v>75.978784215207071</v>
      </c>
    </row>
    <row r="86" spans="2:11" x14ac:dyDescent="0.25">
      <c r="B86" s="68" t="str">
        <f>A41</f>
        <v>VALOR MULTA FGTS E CONTRIBUIÇÃO SOCIAL NO AP INDENIZADO</v>
      </c>
      <c r="G86" s="69"/>
      <c r="H86" s="111">
        <f>G41</f>
        <v>29.5220443815168</v>
      </c>
      <c r="I86" s="110"/>
      <c r="J86" s="110"/>
      <c r="K86" s="111">
        <f>G41</f>
        <v>29.5220443815168</v>
      </c>
    </row>
    <row r="87" spans="2:11" x14ac:dyDescent="0.25">
      <c r="B87" s="68" t="str">
        <f>A54</f>
        <v>VALOR AP TRABALHADO</v>
      </c>
      <c r="G87" s="69"/>
      <c r="H87" s="111">
        <f>C54</f>
        <v>136.10970960894818</v>
      </c>
      <c r="I87" s="111">
        <f>J52</f>
        <v>33.542755199999995</v>
      </c>
      <c r="J87" s="110"/>
      <c r="K87" s="111">
        <f>G54</f>
        <v>90.739806405965467</v>
      </c>
    </row>
    <row r="88" spans="2:11" x14ac:dyDescent="0.25">
      <c r="B88" s="68" t="str">
        <f>A67</f>
        <v>VALOR MULTA FGTS E CONTRIBUIÇÃO SOCIAL NO AP TRABALHADO</v>
      </c>
      <c r="G88" s="69"/>
      <c r="H88" s="111">
        <f>G67</f>
        <v>29.5220443815168</v>
      </c>
      <c r="I88" s="110"/>
      <c r="J88" s="110"/>
      <c r="K88" s="111">
        <f>G67</f>
        <v>29.5220443815168</v>
      </c>
    </row>
    <row r="89" spans="2:11" x14ac:dyDescent="0.25">
      <c r="B89" s="68" t="str">
        <f>A78</f>
        <v>VALOR DEMISSÃO POR JUSTA CAUSA</v>
      </c>
      <c r="G89" s="69"/>
      <c r="H89" s="111">
        <f>G78</f>
        <v>-4.7694685679999997</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329</v>
      </c>
      <c r="C91" s="89"/>
      <c r="D91" s="89"/>
      <c r="E91" s="89"/>
      <c r="F91" s="89"/>
      <c r="G91" s="89"/>
      <c r="H91" s="113">
        <f>SUM(H85:H90)</f>
        <v>304.35250612679243</v>
      </c>
      <c r="I91" s="117">
        <f>SUM(I85:I90)</f>
        <v>33.542755199999995</v>
      </c>
      <c r="J91" s="114">
        <f>SUM(J85:J90)</f>
        <v>0</v>
      </c>
      <c r="K91" s="117">
        <f>SUM(K85:K90)</f>
        <v>225.76267938420611</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330</v>
      </c>
      <c r="B1" s="666" t="s">
        <v>331</v>
      </c>
      <c r="C1" s="666"/>
      <c r="D1" s="666"/>
      <c r="E1" s="666"/>
      <c r="F1" s="666"/>
      <c r="G1" s="666"/>
      <c r="H1" s="12">
        <f>'Servente-Florianópolis'!H155+'Servente-Florianópolis'!H156+'Servente-Florianópolis'!H157</f>
        <v>0.14250000000000002</v>
      </c>
      <c r="I1" s="13"/>
    </row>
    <row r="2" spans="1:9" ht="13" x14ac:dyDescent="0.3">
      <c r="A2" s="14"/>
      <c r="B2" s="667">
        <v>100</v>
      </c>
      <c r="C2" s="667"/>
      <c r="D2" s="667"/>
      <c r="E2" s="667"/>
      <c r="F2" s="667"/>
      <c r="G2" s="667"/>
      <c r="H2" s="15"/>
      <c r="I2" s="16"/>
    </row>
    <row r="3" spans="1:9" ht="13" x14ac:dyDescent="0.3">
      <c r="A3" s="17"/>
      <c r="B3" s="35"/>
      <c r="C3" s="35"/>
      <c r="D3" s="35"/>
      <c r="E3" s="35"/>
      <c r="F3" s="35"/>
      <c r="G3" s="35"/>
      <c r="H3" s="15"/>
      <c r="I3" s="16"/>
    </row>
    <row r="4" spans="1:9" ht="13" x14ac:dyDescent="0.3">
      <c r="A4" s="14" t="s">
        <v>332</v>
      </c>
      <c r="B4" s="667" t="s">
        <v>333</v>
      </c>
      <c r="C4" s="667"/>
      <c r="D4" s="667"/>
      <c r="E4" s="667"/>
      <c r="F4" s="667"/>
      <c r="G4" s="667"/>
      <c r="H4" s="15"/>
      <c r="I4" s="16">
        <f>'Servente-Florianópolis'!I152+'Servente-Florianópolis'!I153+'Servente-Florianópolis'!I170</f>
        <v>5801.2382168099075</v>
      </c>
    </row>
    <row r="5" spans="1:9" ht="13" x14ac:dyDescent="0.3">
      <c r="A5" s="14"/>
      <c r="B5" s="35"/>
      <c r="C5" s="35"/>
      <c r="D5" s="35"/>
      <c r="E5" s="35"/>
      <c r="F5" s="35"/>
      <c r="G5" s="35"/>
      <c r="H5" s="15"/>
      <c r="I5" s="16"/>
    </row>
    <row r="6" spans="1:9" ht="13" x14ac:dyDescent="0.3">
      <c r="A6" s="14" t="s">
        <v>334</v>
      </c>
      <c r="B6" s="667" t="s">
        <v>335</v>
      </c>
      <c r="C6" s="667"/>
      <c r="D6" s="667"/>
      <c r="E6" s="667"/>
      <c r="F6" s="667"/>
      <c r="G6" s="667"/>
      <c r="H6" s="15"/>
      <c r="I6" s="16">
        <f>I4/(1-H1)</f>
        <v>6765.292381119426</v>
      </c>
    </row>
    <row r="7" spans="1:9" ht="13" x14ac:dyDescent="0.3">
      <c r="A7" s="14"/>
      <c r="B7" s="35"/>
      <c r="C7" s="35"/>
      <c r="D7" s="35"/>
      <c r="E7" s="35"/>
      <c r="F7" s="35"/>
      <c r="G7" s="35"/>
      <c r="H7" s="15"/>
      <c r="I7" s="16"/>
    </row>
    <row r="8" spans="1:9" ht="13" x14ac:dyDescent="0.3">
      <c r="A8" s="18"/>
      <c r="B8" s="668" t="s">
        <v>336</v>
      </c>
      <c r="C8" s="668"/>
      <c r="D8" s="668"/>
      <c r="E8" s="668"/>
      <c r="F8" s="668"/>
      <c r="G8" s="668"/>
      <c r="H8" s="19"/>
      <c r="I8" s="20">
        <f>I6-I4</f>
        <v>964.05416430951846</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371" t="s">
        <v>337</v>
      </c>
      <c r="B1" s="372"/>
      <c r="C1" s="372"/>
      <c r="D1" s="372"/>
      <c r="E1" s="372"/>
      <c r="F1" s="372"/>
      <c r="G1" s="372"/>
      <c r="H1" s="372"/>
      <c r="I1" s="373"/>
    </row>
    <row r="3" spans="1:16" ht="13" x14ac:dyDescent="0.3">
      <c r="A3" s="81" t="s">
        <v>338</v>
      </c>
    </row>
    <row r="5" spans="1:16" ht="13" x14ac:dyDescent="0.3">
      <c r="A5" s="10" t="s">
        <v>2</v>
      </c>
      <c r="B5" s="10"/>
    </row>
    <row r="7" spans="1:16" x14ac:dyDescent="0.25">
      <c r="A7" t="s">
        <v>339</v>
      </c>
      <c r="D7" s="7">
        <f>'Servente-Florianópolis'!I45</f>
        <v>1729.0079999999998</v>
      </c>
    </row>
    <row r="8" spans="1:16" x14ac:dyDescent="0.25">
      <c r="A8" t="s">
        <v>340</v>
      </c>
      <c r="D8" s="7">
        <f>'Servente-Florianópolis'!I102</f>
        <v>1957.5206430591998</v>
      </c>
    </row>
    <row r="9" spans="1:16" x14ac:dyDescent="0.25">
      <c r="A9" t="s">
        <v>341</v>
      </c>
      <c r="D9" s="7">
        <f>'Servente-Florianópolis'!I112</f>
        <v>122.88958940159998</v>
      </c>
    </row>
    <row r="10" spans="1:16" x14ac:dyDescent="0.25">
      <c r="D10" s="7"/>
    </row>
    <row r="11" spans="1:16" ht="13" x14ac:dyDescent="0.3">
      <c r="A11" s="10" t="s">
        <v>342</v>
      </c>
      <c r="B11" s="10"/>
      <c r="C11" s="10"/>
      <c r="D11" s="4">
        <f>SUM(D7:D10)</f>
        <v>3809.4182324607996</v>
      </c>
    </row>
    <row r="12" spans="1:16" ht="13" thickBot="1" x14ac:dyDescent="0.3"/>
    <row r="13" spans="1:16" ht="13" thickBot="1" x14ac:dyDescent="0.3">
      <c r="A13" s="83" t="s">
        <v>343</v>
      </c>
      <c r="B13" s="77"/>
      <c r="C13" s="77"/>
      <c r="D13" s="78">
        <v>30</v>
      </c>
      <c r="F13" s="669"/>
      <c r="G13" s="669"/>
      <c r="H13" s="669"/>
      <c r="I13" s="669"/>
      <c r="J13" s="669"/>
      <c r="K13" s="669"/>
      <c r="L13" s="669"/>
      <c r="M13" s="669"/>
    </row>
    <row r="14" spans="1:16" ht="13" thickBot="1" x14ac:dyDescent="0.3"/>
    <row r="15" spans="1:16" ht="13.5" thickBot="1" x14ac:dyDescent="0.35">
      <c r="A15" s="64" t="s">
        <v>344</v>
      </c>
      <c r="B15" s="82"/>
      <c r="C15" s="82"/>
      <c r="D15" s="66">
        <f>D11/D13</f>
        <v>126.98060774869332</v>
      </c>
      <c r="P15" s="10" t="s">
        <v>285</v>
      </c>
    </row>
    <row r="16" spans="1:16" ht="13" thickBot="1" x14ac:dyDescent="0.3"/>
    <row r="17" spans="1:17" ht="13.5" thickBot="1" x14ac:dyDescent="0.3">
      <c r="A17" s="83" t="s">
        <v>345</v>
      </c>
      <c r="B17" s="77"/>
      <c r="C17" s="77"/>
      <c r="D17" s="77"/>
      <c r="E17" s="77"/>
      <c r="F17" s="77"/>
      <c r="G17" s="77"/>
      <c r="H17" s="77"/>
      <c r="I17" s="161">
        <f>P17</f>
        <v>20.9589</v>
      </c>
      <c r="P17" s="144">
        <v>20.9589</v>
      </c>
      <c r="Q17" t="s">
        <v>346</v>
      </c>
    </row>
    <row r="18" spans="1:17" ht="13" thickBot="1" x14ac:dyDescent="0.3">
      <c r="P18" s="145">
        <v>1</v>
      </c>
      <c r="Q18" t="s">
        <v>347</v>
      </c>
    </row>
    <row r="19" spans="1:17" ht="13.5" thickBot="1" x14ac:dyDescent="0.3">
      <c r="A19" s="83" t="s">
        <v>348</v>
      </c>
      <c r="B19" s="77"/>
      <c r="C19" s="77"/>
      <c r="D19" s="77"/>
      <c r="E19" s="77"/>
      <c r="F19" s="77"/>
      <c r="G19" s="77"/>
      <c r="H19" s="77"/>
      <c r="I19" s="161">
        <f>P18+SUM(P21:P26)+P29</f>
        <v>4.8740000000000006</v>
      </c>
      <c r="P19" s="145">
        <v>0</v>
      </c>
      <c r="Q19" t="s">
        <v>349</v>
      </c>
    </row>
    <row r="20" spans="1:17" ht="13.5" thickBot="1" x14ac:dyDescent="0.3">
      <c r="P20" s="146">
        <v>0.96589999999999998</v>
      </c>
      <c r="Q20" t="s">
        <v>350</v>
      </c>
    </row>
    <row r="21" spans="1:17" ht="13.5" thickBot="1" x14ac:dyDescent="0.3">
      <c r="A21" s="83" t="s">
        <v>351</v>
      </c>
      <c r="B21" s="77"/>
      <c r="C21" s="77"/>
      <c r="D21" s="77"/>
      <c r="E21" s="77"/>
      <c r="F21" s="77"/>
      <c r="G21" s="77"/>
      <c r="H21" s="77"/>
      <c r="I21" s="161">
        <f>P27</f>
        <v>0.19969999999999999</v>
      </c>
      <c r="P21" s="145">
        <v>3.4931999999999999</v>
      </c>
      <c r="Q21" t="s">
        <v>352</v>
      </c>
    </row>
    <row r="22" spans="1:17" ht="13" thickBot="1" x14ac:dyDescent="0.3">
      <c r="P22" s="145">
        <v>0.26879999999999998</v>
      </c>
      <c r="Q22" t="s">
        <v>353</v>
      </c>
    </row>
    <row r="23" spans="1:17" ht="13.5" thickBot="1" x14ac:dyDescent="0.3">
      <c r="A23" s="83" t="s">
        <v>354</v>
      </c>
      <c r="B23" s="77"/>
      <c r="C23" s="77"/>
      <c r="D23" s="77"/>
      <c r="E23" s="77"/>
      <c r="F23" s="77"/>
      <c r="G23" s="77"/>
      <c r="H23" s="77"/>
      <c r="I23" s="161">
        <f>P20</f>
        <v>0.96589999999999998</v>
      </c>
      <c r="P23" s="145">
        <v>4.2700000000000002E-2</v>
      </c>
      <c r="Q23" t="s">
        <v>355</v>
      </c>
    </row>
    <row r="24" spans="1:17" ht="13" thickBot="1" x14ac:dyDescent="0.3">
      <c r="P24" s="145">
        <v>3.5499999999999997E-2</v>
      </c>
      <c r="Q24" t="s">
        <v>356</v>
      </c>
    </row>
    <row r="25" spans="1:17" ht="13.5" thickBot="1" x14ac:dyDescent="0.3">
      <c r="A25" s="83" t="s">
        <v>357</v>
      </c>
      <c r="B25" s="77"/>
      <c r="C25" s="77"/>
      <c r="D25" s="77"/>
      <c r="E25" s="77"/>
      <c r="F25" s="77"/>
      <c r="G25" s="77"/>
      <c r="H25" s="77"/>
      <c r="I25" s="161">
        <f>P28</f>
        <v>2.4752999999999998</v>
      </c>
      <c r="P25" s="145">
        <v>0.02</v>
      </c>
      <c r="Q25" t="s">
        <v>358</v>
      </c>
    </row>
    <row r="26" spans="1:17" ht="13" thickBot="1" x14ac:dyDescent="0.3">
      <c r="P26" s="145">
        <v>4.0000000000000001E-3</v>
      </c>
      <c r="Q26" t="s">
        <v>359</v>
      </c>
    </row>
    <row r="27" spans="1:17" ht="13.5" thickBot="1" x14ac:dyDescent="0.3">
      <c r="I27" s="83" t="s">
        <v>360</v>
      </c>
      <c r="J27" s="119">
        <f>SUM(I17:I25)</f>
        <v>29.473800000000004</v>
      </c>
      <c r="P27" s="146">
        <v>0.19969999999999999</v>
      </c>
      <c r="Q27" t="s">
        <v>361</v>
      </c>
    </row>
    <row r="28" spans="1:17" ht="13.5" thickBot="1" x14ac:dyDescent="0.3">
      <c r="A28" s="83" t="s">
        <v>362</v>
      </c>
      <c r="B28" s="77"/>
      <c r="C28" s="77"/>
      <c r="D28" s="77"/>
      <c r="E28" s="79">
        <f>D15*I17/12</f>
        <v>221.78115497867404</v>
      </c>
      <c r="P28" s="146">
        <v>2.4752999999999998</v>
      </c>
      <c r="Q28" t="s">
        <v>363</v>
      </c>
    </row>
    <row r="29" spans="1:17" ht="13" thickBot="1" x14ac:dyDescent="0.3">
      <c r="P29" s="147">
        <v>9.7999999999999997E-3</v>
      </c>
      <c r="Q29" t="s">
        <v>364</v>
      </c>
    </row>
    <row r="30" spans="1:17" ht="13.5" thickBot="1" x14ac:dyDescent="0.3">
      <c r="A30" s="83" t="s">
        <v>365</v>
      </c>
      <c r="B30" s="77"/>
      <c r="C30" s="77"/>
      <c r="D30" s="77"/>
      <c r="E30" s="79">
        <f>D15*I19/12</f>
        <v>51.575290180594273</v>
      </c>
    </row>
    <row r="31" spans="1:17" ht="13.5" thickBot="1" x14ac:dyDescent="0.35">
      <c r="P31" s="148">
        <f>SUM(P17:P29)</f>
        <v>29.473799999999997</v>
      </c>
      <c r="Q31" s="37" t="s">
        <v>366</v>
      </c>
    </row>
    <row r="32" spans="1:17" ht="13.5" thickBot="1" x14ac:dyDescent="0.3">
      <c r="A32" s="83" t="s">
        <v>367</v>
      </c>
      <c r="B32" s="77"/>
      <c r="C32" s="77"/>
      <c r="D32" s="77"/>
      <c r="E32" s="79">
        <f>D15*I21/12</f>
        <v>2.1131689472845046</v>
      </c>
    </row>
    <row r="33" spans="1:16" ht="13" thickBot="1" x14ac:dyDescent="0.3"/>
    <row r="34" spans="1:16" ht="13.5" thickBot="1" x14ac:dyDescent="0.3">
      <c r="A34" s="83" t="s">
        <v>368</v>
      </c>
      <c r="B34" s="77"/>
      <c r="C34" s="77"/>
      <c r="D34" s="77"/>
      <c r="E34" s="79">
        <f>D15*I23/12</f>
        <v>10.220880752038573</v>
      </c>
      <c r="P34" s="118"/>
    </row>
    <row r="35" spans="1:16" ht="13" thickBot="1" x14ac:dyDescent="0.3"/>
    <row r="36" spans="1:16" ht="13.5" thickBot="1" x14ac:dyDescent="0.3">
      <c r="A36" s="83" t="s">
        <v>369</v>
      </c>
      <c r="B36" s="77"/>
      <c r="C36" s="77"/>
      <c r="D36" s="77"/>
      <c r="E36" s="79">
        <f>D15*I25/12</f>
        <v>26.192924863361711</v>
      </c>
    </row>
    <row r="37" spans="1:16" ht="13" thickBot="1" x14ac:dyDescent="0.3"/>
    <row r="38" spans="1:16" ht="13.5" thickBot="1" x14ac:dyDescent="0.3">
      <c r="C38" s="670" t="s">
        <v>370</v>
      </c>
      <c r="D38" s="671"/>
      <c r="E38" s="671"/>
      <c r="F38" s="671"/>
      <c r="G38" s="671"/>
      <c r="H38" s="671"/>
      <c r="I38" s="672"/>
      <c r="J38" s="79">
        <f>SUM(E28:E36)</f>
        <v>311.88341972195315</v>
      </c>
    </row>
    <row r="41" spans="1:16" ht="13" thickBot="1" x14ac:dyDescent="0.3"/>
    <row r="42" spans="1:16" ht="13.5" thickBot="1" x14ac:dyDescent="0.3">
      <c r="A42" s="673" t="s">
        <v>371</v>
      </c>
      <c r="B42" s="674"/>
      <c r="C42" s="674"/>
      <c r="D42" s="675"/>
      <c r="E42" s="149"/>
      <c r="F42" s="149"/>
      <c r="G42" s="149"/>
      <c r="H42" s="53"/>
      <c r="I42" s="53"/>
    </row>
    <row r="43" spans="1:16" x14ac:dyDescent="0.25">
      <c r="A43" s="150"/>
      <c r="B43" s="150"/>
      <c r="C43" s="150"/>
      <c r="D43" s="150"/>
      <c r="E43" s="150"/>
      <c r="F43" s="150"/>
      <c r="G43" s="150"/>
    </row>
    <row r="44" spans="1:16" ht="13" x14ac:dyDescent="0.3">
      <c r="A44" s="151" t="s">
        <v>2</v>
      </c>
      <c r="B44" s="151"/>
      <c r="C44" s="150"/>
      <c r="D44" s="150"/>
      <c r="E44" s="150"/>
      <c r="F44" s="150"/>
      <c r="G44" s="150"/>
    </row>
    <row r="45" spans="1:16" x14ac:dyDescent="0.25">
      <c r="A45" s="150"/>
      <c r="B45" s="150"/>
      <c r="C45" s="150"/>
      <c r="D45" s="150"/>
      <c r="E45" s="150"/>
      <c r="F45" s="150"/>
      <c r="G45" s="150"/>
    </row>
    <row r="46" spans="1:16" x14ac:dyDescent="0.25">
      <c r="A46" s="150" t="s">
        <v>339</v>
      </c>
      <c r="B46" s="150"/>
      <c r="C46" s="150"/>
      <c r="D46" s="152">
        <f>'Servente-Florianópolis'!I45</f>
        <v>1729.0079999999998</v>
      </c>
      <c r="E46" s="150"/>
      <c r="F46" s="150"/>
      <c r="G46" s="150"/>
    </row>
    <row r="47" spans="1:16" x14ac:dyDescent="0.25">
      <c r="A47" s="150" t="s">
        <v>340</v>
      </c>
      <c r="B47" s="150"/>
      <c r="C47" s="150"/>
      <c r="D47" s="152">
        <f>'Servente-Florianópolis'!I102</f>
        <v>1957.5206430591998</v>
      </c>
      <c r="E47" s="150"/>
      <c r="F47" s="150"/>
      <c r="G47" s="150"/>
    </row>
    <row r="48" spans="1:16" x14ac:dyDescent="0.25">
      <c r="A48" s="150" t="s">
        <v>341</v>
      </c>
      <c r="B48" s="150"/>
      <c r="C48" s="150"/>
      <c r="D48" s="152">
        <f>'Servente-Florianópolis'!I112</f>
        <v>122.88958940159998</v>
      </c>
      <c r="E48" s="150"/>
      <c r="F48" s="150"/>
      <c r="G48" s="150"/>
    </row>
    <row r="49" spans="1:10" x14ac:dyDescent="0.25">
      <c r="A49" s="150"/>
      <c r="B49" s="150"/>
      <c r="C49" s="150"/>
      <c r="D49" s="152"/>
      <c r="E49" s="150"/>
      <c r="F49" s="150"/>
      <c r="G49" s="150"/>
    </row>
    <row r="50" spans="1:10" ht="13" x14ac:dyDescent="0.3">
      <c r="A50" s="151" t="s">
        <v>342</v>
      </c>
      <c r="B50" s="151"/>
      <c r="C50" s="151"/>
      <c r="D50" s="153">
        <f>SUM(D46:D49)</f>
        <v>3809.4182324607996</v>
      </c>
      <c r="E50" s="150"/>
      <c r="F50" s="150"/>
      <c r="G50" s="150"/>
    </row>
    <row r="51" spans="1:10" ht="13" thickBot="1" x14ac:dyDescent="0.3">
      <c r="A51" s="150"/>
      <c r="B51" s="150"/>
      <c r="C51" s="150"/>
      <c r="D51" s="150"/>
      <c r="E51" s="150"/>
      <c r="F51" s="150"/>
      <c r="G51" s="150"/>
    </row>
    <row r="52" spans="1:10" ht="13" thickBot="1" x14ac:dyDescent="0.3">
      <c r="A52" s="154" t="s">
        <v>372</v>
      </c>
      <c r="B52" s="155"/>
      <c r="C52" s="155"/>
      <c r="D52" s="156">
        <v>220</v>
      </c>
      <c r="E52" s="157" t="s">
        <v>373</v>
      </c>
      <c r="F52" s="150" t="s">
        <v>374</v>
      </c>
      <c r="G52" s="150"/>
    </row>
    <row r="53" spans="1:10" ht="13" thickBot="1" x14ac:dyDescent="0.3">
      <c r="A53" s="150"/>
      <c r="B53" s="150"/>
      <c r="C53" s="150"/>
      <c r="D53" s="150"/>
      <c r="E53" s="150"/>
      <c r="F53" s="150"/>
      <c r="G53" s="150"/>
    </row>
    <row r="54" spans="1:10" ht="13.5" thickBot="1" x14ac:dyDescent="0.35">
      <c r="A54" s="158" t="s">
        <v>375</v>
      </c>
      <c r="B54" s="159"/>
      <c r="C54" s="159"/>
      <c r="D54" s="160">
        <f>D50/D52</f>
        <v>17.31553742027636</v>
      </c>
      <c r="E54" s="150"/>
      <c r="F54" s="150"/>
      <c r="G54" s="150"/>
    </row>
    <row r="55" spans="1:10" ht="13" thickBot="1" x14ac:dyDescent="0.3">
      <c r="A55" s="150"/>
      <c r="B55" s="150"/>
      <c r="C55" s="150"/>
      <c r="D55" s="150"/>
      <c r="E55" s="150"/>
      <c r="F55" s="150"/>
      <c r="G55" s="150"/>
    </row>
    <row r="56" spans="1:10" ht="13" thickBot="1" x14ac:dyDescent="0.3">
      <c r="A56" s="154" t="s">
        <v>376</v>
      </c>
      <c r="B56" s="155"/>
      <c r="C56" s="155"/>
      <c r="D56" s="156">
        <v>15</v>
      </c>
      <c r="E56" s="150"/>
      <c r="F56" s="150"/>
      <c r="G56" s="150"/>
    </row>
    <row r="57" spans="1:10" ht="13" thickBot="1" x14ac:dyDescent="0.3">
      <c r="A57" s="150"/>
      <c r="B57" s="150"/>
      <c r="C57" s="150"/>
      <c r="D57" s="150"/>
      <c r="E57" s="150"/>
      <c r="F57" s="150"/>
      <c r="G57" s="150"/>
    </row>
    <row r="58" spans="1:10" ht="13.5" thickBot="1" x14ac:dyDescent="0.35">
      <c r="A58" s="158" t="s">
        <v>377</v>
      </c>
      <c r="B58" s="159"/>
      <c r="C58" s="159"/>
      <c r="D58" s="160">
        <f>D54*D56</f>
        <v>259.73306130414539</v>
      </c>
      <c r="E58" s="150"/>
      <c r="F58" s="150"/>
      <c r="G58" s="150"/>
    </row>
    <row r="62" spans="1:10" x14ac:dyDescent="0.25">
      <c r="A62" s="478" t="s">
        <v>378</v>
      </c>
      <c r="B62" s="478"/>
      <c r="C62" s="478"/>
      <c r="D62" s="478"/>
      <c r="E62" s="478"/>
      <c r="F62" s="478"/>
      <c r="G62" s="478"/>
      <c r="H62" s="478"/>
      <c r="I62" s="478"/>
      <c r="J62" s="478"/>
    </row>
    <row r="63" spans="1:10" x14ac:dyDescent="0.25">
      <c r="A63" s="478"/>
      <c r="B63" s="478"/>
      <c r="C63" s="478"/>
      <c r="D63" s="478"/>
      <c r="E63" s="478"/>
      <c r="F63" s="478"/>
      <c r="G63" s="478"/>
      <c r="H63" s="478"/>
      <c r="I63" s="478"/>
      <c r="J63" s="478"/>
    </row>
    <row r="64" spans="1:10" x14ac:dyDescent="0.25">
      <c r="A64" s="478"/>
      <c r="B64" s="478"/>
      <c r="C64" s="478"/>
      <c r="D64" s="478"/>
      <c r="E64" s="478"/>
      <c r="F64" s="478"/>
      <c r="G64" s="478"/>
      <c r="H64" s="478"/>
      <c r="I64" s="478"/>
      <c r="J64" s="478"/>
    </row>
    <row r="65" spans="1:10" x14ac:dyDescent="0.25">
      <c r="A65" s="478"/>
      <c r="B65" s="478"/>
      <c r="C65" s="478"/>
      <c r="D65" s="478"/>
      <c r="E65" s="478"/>
      <c r="F65" s="478"/>
      <c r="G65" s="478"/>
      <c r="H65" s="478"/>
      <c r="I65" s="478"/>
      <c r="J65" s="478"/>
    </row>
    <row r="66" spans="1:10" x14ac:dyDescent="0.25">
      <c r="A66" s="478"/>
      <c r="B66" s="478"/>
      <c r="C66" s="478"/>
      <c r="D66" s="478"/>
      <c r="E66" s="478"/>
      <c r="F66" s="478"/>
      <c r="G66" s="478"/>
      <c r="H66" s="478"/>
      <c r="I66" s="478"/>
      <c r="J66" s="478"/>
    </row>
    <row r="67" spans="1:10" x14ac:dyDescent="0.25">
      <c r="A67" s="478"/>
      <c r="B67" s="478"/>
      <c r="C67" s="478"/>
      <c r="D67" s="478"/>
      <c r="E67" s="478"/>
      <c r="F67" s="478"/>
      <c r="G67" s="478"/>
      <c r="H67" s="478"/>
      <c r="I67" s="478"/>
      <c r="J67" s="478"/>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F7AB9D-4B1B-419D-B957-828A83C5EA44}">
  <sheetPr>
    <tabColor rgb="FF92D050"/>
  </sheetPr>
  <dimension ref="A1:M72"/>
  <sheetViews>
    <sheetView topLeftCell="A33" zoomScale="85" zoomScaleNormal="85" workbookViewId="0">
      <selection activeCell="B15" sqref="B15"/>
    </sheetView>
  </sheetViews>
  <sheetFormatPr defaultRowHeight="12.5" x14ac:dyDescent="0.25"/>
  <cols>
    <col min="1" max="1" width="3.7265625" style="210"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3" ht="21" customHeight="1" thickBot="1" x14ac:dyDescent="0.3">
      <c r="A1" s="492" t="s">
        <v>264</v>
      </c>
      <c r="B1" s="493"/>
      <c r="C1" s="493"/>
      <c r="D1" s="493"/>
      <c r="E1" s="493"/>
      <c r="F1" s="493"/>
      <c r="G1" s="493"/>
      <c r="H1" s="493"/>
      <c r="I1" s="493"/>
      <c r="J1" s="493"/>
      <c r="K1" s="493"/>
      <c r="L1" s="494"/>
    </row>
    <row r="2" spans="1:13" ht="13" customHeight="1" x14ac:dyDescent="0.25">
      <c r="A2" s="291" t="s">
        <v>50</v>
      </c>
      <c r="B2" s="590" t="s">
        <v>494</v>
      </c>
      <c r="C2" s="495"/>
      <c r="D2" s="495"/>
      <c r="E2" s="360" t="s">
        <v>244</v>
      </c>
      <c r="F2" s="591" t="s">
        <v>495</v>
      </c>
      <c r="G2" s="592"/>
      <c r="H2" s="592"/>
      <c r="I2" s="592"/>
      <c r="J2" s="360" t="s">
        <v>245</v>
      </c>
      <c r="K2" s="495" t="s">
        <v>496</v>
      </c>
      <c r="L2" s="496"/>
    </row>
    <row r="3" spans="1:13" ht="13" customHeight="1" x14ac:dyDescent="0.25">
      <c r="A3" s="292" t="s">
        <v>51</v>
      </c>
      <c r="B3" s="589" t="s">
        <v>497</v>
      </c>
      <c r="C3" s="501"/>
      <c r="D3" s="501"/>
      <c r="E3" s="193" t="s">
        <v>244</v>
      </c>
      <c r="F3" s="503" t="s">
        <v>498</v>
      </c>
      <c r="G3" s="507"/>
      <c r="H3" s="507"/>
      <c r="I3" s="507"/>
      <c r="J3" s="193" t="s">
        <v>245</v>
      </c>
      <c r="K3" s="501" t="s">
        <v>499</v>
      </c>
      <c r="L3" s="502"/>
    </row>
    <row r="4" spans="1:13" ht="13" customHeight="1" x14ac:dyDescent="0.25">
      <c r="A4" s="293" t="s">
        <v>52</v>
      </c>
      <c r="B4" s="581" t="s">
        <v>500</v>
      </c>
      <c r="C4" s="499"/>
      <c r="D4" s="499"/>
      <c r="E4" s="194" t="s">
        <v>244</v>
      </c>
      <c r="F4" s="504" t="s">
        <v>501</v>
      </c>
      <c r="G4" s="588"/>
      <c r="H4" s="588"/>
      <c r="I4" s="588"/>
      <c r="J4" s="194" t="s">
        <v>245</v>
      </c>
      <c r="K4" s="499" t="s">
        <v>502</v>
      </c>
      <c r="L4" s="500"/>
    </row>
    <row r="5" spans="1:13" ht="13" x14ac:dyDescent="0.25">
      <c r="A5" s="212" t="s">
        <v>63</v>
      </c>
      <c r="B5" s="589"/>
      <c r="C5" s="501"/>
      <c r="D5" s="501"/>
      <c r="E5" s="193" t="s">
        <v>244</v>
      </c>
      <c r="F5" s="503"/>
      <c r="G5" s="497"/>
      <c r="H5" s="497"/>
      <c r="I5" s="497"/>
      <c r="J5" s="193" t="s">
        <v>245</v>
      </c>
      <c r="K5" s="501"/>
      <c r="L5" s="502"/>
    </row>
    <row r="6" spans="1:13" ht="13" x14ac:dyDescent="0.25">
      <c r="A6" s="213" t="s">
        <v>97</v>
      </c>
      <c r="B6" s="581"/>
      <c r="C6" s="499"/>
      <c r="D6" s="499"/>
      <c r="E6" s="194" t="s">
        <v>244</v>
      </c>
      <c r="F6" s="504"/>
      <c r="G6" s="499"/>
      <c r="H6" s="499"/>
      <c r="I6" s="499"/>
      <c r="J6" s="194" t="s">
        <v>245</v>
      </c>
      <c r="K6" s="499"/>
      <c r="L6" s="500"/>
    </row>
    <row r="7" spans="1:13" ht="13.5" thickBot="1" x14ac:dyDescent="0.3">
      <c r="A7" s="214" t="s">
        <v>99</v>
      </c>
      <c r="B7" s="582"/>
      <c r="C7" s="583"/>
      <c r="D7" s="583"/>
      <c r="E7" s="195" t="s">
        <v>244</v>
      </c>
      <c r="F7" s="584"/>
      <c r="G7" s="585"/>
      <c r="H7" s="585"/>
      <c r="I7" s="586"/>
      <c r="J7" s="196" t="s">
        <v>245</v>
      </c>
      <c r="K7" s="583"/>
      <c r="L7" s="587"/>
    </row>
    <row r="8" spans="1:13" ht="13" x14ac:dyDescent="0.25">
      <c r="A8" s="512" t="s">
        <v>247</v>
      </c>
      <c r="B8" s="515" t="s">
        <v>267</v>
      </c>
      <c r="C8" s="518" t="s">
        <v>249</v>
      </c>
      <c r="D8" s="521" t="s">
        <v>250</v>
      </c>
      <c r="E8" s="524" t="s">
        <v>251</v>
      </c>
      <c r="F8" s="525"/>
      <c r="G8" s="525"/>
      <c r="H8" s="525"/>
      <c r="I8" s="525"/>
      <c r="J8" s="526"/>
      <c r="K8" s="527" t="s">
        <v>252</v>
      </c>
      <c r="L8" s="528"/>
    </row>
    <row r="9" spans="1:13" ht="13.5" x14ac:dyDescent="0.25">
      <c r="A9" s="513"/>
      <c r="B9" s="577"/>
      <c r="C9" s="519"/>
      <c r="D9" s="522"/>
      <c r="E9" s="197" t="s">
        <v>50</v>
      </c>
      <c r="F9" s="198" t="s">
        <v>51</v>
      </c>
      <c r="G9" s="198" t="s">
        <v>52</v>
      </c>
      <c r="H9" s="198" t="s">
        <v>63</v>
      </c>
      <c r="I9" s="198" t="s">
        <v>97</v>
      </c>
      <c r="J9" s="199" t="s">
        <v>99</v>
      </c>
      <c r="K9" s="529" t="s">
        <v>253</v>
      </c>
      <c r="L9" s="531" t="s">
        <v>254</v>
      </c>
    </row>
    <row r="10" spans="1:13" ht="13" thickBot="1" x14ac:dyDescent="0.3">
      <c r="A10" s="576"/>
      <c r="B10" s="578"/>
      <c r="C10" s="579"/>
      <c r="D10" s="580"/>
      <c r="E10" s="224" t="s">
        <v>255</v>
      </c>
      <c r="F10" s="225" t="s">
        <v>255</v>
      </c>
      <c r="G10" s="225" t="s">
        <v>255</v>
      </c>
      <c r="H10" s="225" t="s">
        <v>255</v>
      </c>
      <c r="I10" s="225" t="s">
        <v>255</v>
      </c>
      <c r="J10" s="226" t="s">
        <v>255</v>
      </c>
      <c r="K10" s="574"/>
      <c r="L10" s="575"/>
    </row>
    <row r="11" spans="1:13" s="204" customFormat="1" ht="65.5" thickBot="1" x14ac:dyDescent="0.3">
      <c r="A11" s="352">
        <v>1</v>
      </c>
      <c r="B11" s="353" t="s">
        <v>468</v>
      </c>
      <c r="C11" s="354" t="s">
        <v>469</v>
      </c>
      <c r="D11" s="355">
        <v>4</v>
      </c>
      <c r="E11" s="356">
        <v>2.59</v>
      </c>
      <c r="F11" s="356">
        <v>2.61</v>
      </c>
      <c r="G11" s="356">
        <v>4.59</v>
      </c>
      <c r="H11" s="356"/>
      <c r="I11" s="356"/>
      <c r="J11" s="356"/>
      <c r="K11" s="342">
        <f>AVERAGE(E11:J11)</f>
        <v>3.2633333333333332</v>
      </c>
      <c r="L11" s="343">
        <f>K11*D11</f>
        <v>13.053333333333333</v>
      </c>
      <c r="M11" s="239"/>
    </row>
    <row r="12" spans="1:13" s="204" customFormat="1" ht="13.5" thickBot="1" x14ac:dyDescent="0.3">
      <c r="A12" s="205">
        <v>2</v>
      </c>
      <c r="B12" s="357" t="s">
        <v>470</v>
      </c>
      <c r="C12" s="358" t="s">
        <v>471</v>
      </c>
      <c r="D12" s="355">
        <v>5</v>
      </c>
      <c r="E12" s="347">
        <v>5.69</v>
      </c>
      <c r="F12" s="347">
        <v>6.12</v>
      </c>
      <c r="G12" s="347">
        <v>5.84</v>
      </c>
      <c r="H12" s="347"/>
      <c r="I12" s="347"/>
      <c r="J12" s="347"/>
      <c r="K12" s="348">
        <f>AVERAGE(E12:J12)</f>
        <v>5.8833333333333329</v>
      </c>
      <c r="L12" s="349">
        <f>K12*D12</f>
        <v>29.416666666666664</v>
      </c>
      <c r="M12" s="239"/>
    </row>
    <row r="13" spans="1:13" s="204" customFormat="1" ht="39.5" thickBot="1" x14ac:dyDescent="0.3">
      <c r="A13" s="205">
        <v>3</v>
      </c>
      <c r="B13" s="359" t="s">
        <v>472</v>
      </c>
      <c r="C13" s="358" t="s">
        <v>471</v>
      </c>
      <c r="D13" s="355">
        <v>2</v>
      </c>
      <c r="E13" s="347">
        <v>9.99</v>
      </c>
      <c r="F13" s="347">
        <v>10.71</v>
      </c>
      <c r="G13" s="347">
        <v>10.39</v>
      </c>
      <c r="H13" s="347"/>
      <c r="I13" s="347"/>
      <c r="J13" s="347"/>
      <c r="K13" s="348">
        <f>AVERAGE(E13:J13)</f>
        <v>10.363333333333335</v>
      </c>
      <c r="L13" s="349">
        <f>K13*D13</f>
        <v>20.72666666666667</v>
      </c>
      <c r="M13" s="239"/>
    </row>
    <row r="14" spans="1:13" s="204" customFormat="1" ht="52.5" thickBot="1" x14ac:dyDescent="0.3">
      <c r="A14" s="205">
        <v>4</v>
      </c>
      <c r="B14" s="359" t="s">
        <v>473</v>
      </c>
      <c r="C14" s="358" t="s">
        <v>471</v>
      </c>
      <c r="D14" s="355">
        <v>3</v>
      </c>
      <c r="E14" s="347">
        <v>4.99</v>
      </c>
      <c r="F14" s="347">
        <v>4.49</v>
      </c>
      <c r="G14" s="347">
        <v>3.98</v>
      </c>
      <c r="H14" s="347"/>
      <c r="I14" s="347"/>
      <c r="J14" s="347"/>
      <c r="K14" s="348">
        <f t="shared" ref="K14:K32" si="0">AVERAGE(E14:J14)</f>
        <v>4.4866666666666672</v>
      </c>
      <c r="L14" s="349">
        <f>K14*D14</f>
        <v>13.46</v>
      </c>
      <c r="M14" s="239"/>
    </row>
    <row r="15" spans="1:13" s="204" customFormat="1" ht="78.5" thickBot="1" x14ac:dyDescent="0.3">
      <c r="A15" s="205">
        <v>5</v>
      </c>
      <c r="B15" s="359" t="s">
        <v>474</v>
      </c>
      <c r="C15" s="358" t="s">
        <v>471</v>
      </c>
      <c r="D15" s="355">
        <v>16</v>
      </c>
      <c r="E15" s="347">
        <v>1.69</v>
      </c>
      <c r="F15" s="347">
        <v>12.25</v>
      </c>
      <c r="G15" s="347">
        <v>22.8</v>
      </c>
      <c r="H15" s="347"/>
      <c r="I15" s="347"/>
      <c r="J15" s="347"/>
      <c r="K15" s="348">
        <f t="shared" si="0"/>
        <v>12.246666666666668</v>
      </c>
      <c r="L15" s="349">
        <f t="shared" ref="L15:L32" si="1">K15*D15</f>
        <v>195.94666666666669</v>
      </c>
      <c r="M15" s="239"/>
    </row>
    <row r="16" spans="1:13" s="204" customFormat="1" ht="52.5" thickBot="1" x14ac:dyDescent="0.3">
      <c r="A16" s="205">
        <v>6</v>
      </c>
      <c r="B16" s="359" t="s">
        <v>475</v>
      </c>
      <c r="C16" s="358" t="s">
        <v>471</v>
      </c>
      <c r="D16" s="355">
        <v>15</v>
      </c>
      <c r="E16" s="347">
        <v>2.1</v>
      </c>
      <c r="F16" s="347">
        <v>1.62</v>
      </c>
      <c r="G16" s="347">
        <v>3.32</v>
      </c>
      <c r="H16" s="347"/>
      <c r="I16" s="347"/>
      <c r="J16" s="347"/>
      <c r="K16" s="348">
        <f t="shared" si="0"/>
        <v>2.3466666666666667</v>
      </c>
      <c r="L16" s="349">
        <f t="shared" si="1"/>
        <v>35.200000000000003</v>
      </c>
      <c r="M16" s="239"/>
    </row>
    <row r="17" spans="1:13" s="204" customFormat="1" ht="39.5" thickBot="1" x14ac:dyDescent="0.3">
      <c r="A17" s="205">
        <v>7</v>
      </c>
      <c r="B17" s="359" t="s">
        <v>476</v>
      </c>
      <c r="C17" s="358" t="s">
        <v>471</v>
      </c>
      <c r="D17" s="355">
        <v>2</v>
      </c>
      <c r="E17" s="347">
        <v>2.25</v>
      </c>
      <c r="F17" s="347">
        <v>1.7</v>
      </c>
      <c r="G17" s="347">
        <v>3.03</v>
      </c>
      <c r="H17" s="347"/>
      <c r="I17" s="347"/>
      <c r="J17" s="347"/>
      <c r="K17" s="348">
        <f t="shared" si="0"/>
        <v>2.3266666666666667</v>
      </c>
      <c r="L17" s="349">
        <f t="shared" si="1"/>
        <v>4.6533333333333333</v>
      </c>
      <c r="M17" s="239"/>
    </row>
    <row r="18" spans="1:13" s="204" customFormat="1" ht="65.5" thickBot="1" x14ac:dyDescent="0.3">
      <c r="A18" s="205">
        <v>8</v>
      </c>
      <c r="B18" s="359" t="s">
        <v>477</v>
      </c>
      <c r="C18" s="358" t="s">
        <v>471</v>
      </c>
      <c r="D18" s="355">
        <v>10</v>
      </c>
      <c r="E18" s="347">
        <v>0.89</v>
      </c>
      <c r="F18" s="347">
        <v>0.63</v>
      </c>
      <c r="G18" s="347">
        <v>1.34</v>
      </c>
      <c r="H18" s="347"/>
      <c r="I18" s="347"/>
      <c r="J18" s="347"/>
      <c r="K18" s="348">
        <f>AVERAGE(E18:J18)</f>
        <v>0.95333333333333348</v>
      </c>
      <c r="L18" s="349">
        <f>K18*D18</f>
        <v>9.533333333333335</v>
      </c>
      <c r="M18" s="239"/>
    </row>
    <row r="19" spans="1:13" s="204" customFormat="1" ht="13.5" thickBot="1" x14ac:dyDescent="0.3">
      <c r="A19" s="205">
        <v>9</v>
      </c>
      <c r="B19" s="359" t="s">
        <v>478</v>
      </c>
      <c r="C19" s="358" t="s">
        <v>471</v>
      </c>
      <c r="D19" s="355">
        <v>1</v>
      </c>
      <c r="E19" s="347">
        <v>4.8</v>
      </c>
      <c r="F19" s="347">
        <v>3.15</v>
      </c>
      <c r="G19" s="347">
        <v>6.35</v>
      </c>
      <c r="H19" s="347"/>
      <c r="I19" s="347"/>
      <c r="J19" s="347"/>
      <c r="K19" s="348">
        <f t="shared" si="0"/>
        <v>4.7666666666666666</v>
      </c>
      <c r="L19" s="349">
        <f>K19*D19</f>
        <v>4.7666666666666666</v>
      </c>
      <c r="M19" s="239"/>
    </row>
    <row r="20" spans="1:13" s="204" customFormat="1" ht="13.5" thickBot="1" x14ac:dyDescent="0.3">
      <c r="A20" s="205">
        <v>10</v>
      </c>
      <c r="B20" s="359" t="s">
        <v>479</v>
      </c>
      <c r="C20" s="358" t="s">
        <v>480</v>
      </c>
      <c r="D20" s="355">
        <v>2</v>
      </c>
      <c r="E20" s="347">
        <v>3.99</v>
      </c>
      <c r="F20" s="347">
        <v>3.51</v>
      </c>
      <c r="G20" s="347">
        <v>4.4000000000000004</v>
      </c>
      <c r="H20" s="347"/>
      <c r="I20" s="347"/>
      <c r="J20" s="347"/>
      <c r="K20" s="348">
        <f t="shared" si="0"/>
        <v>3.9666666666666668</v>
      </c>
      <c r="L20" s="349">
        <f t="shared" si="1"/>
        <v>7.9333333333333336</v>
      </c>
      <c r="M20" s="239"/>
    </row>
    <row r="21" spans="1:13" s="204" customFormat="1" ht="13.5" thickBot="1" x14ac:dyDescent="0.3">
      <c r="A21" s="205">
        <v>11</v>
      </c>
      <c r="B21" s="359" t="s">
        <v>481</v>
      </c>
      <c r="C21" s="358" t="s">
        <v>471</v>
      </c>
      <c r="D21" s="355">
        <v>10</v>
      </c>
      <c r="E21" s="347">
        <v>2.9</v>
      </c>
      <c r="F21" s="347">
        <v>3.41</v>
      </c>
      <c r="G21" s="347">
        <v>3.94</v>
      </c>
      <c r="H21" s="347"/>
      <c r="I21" s="347"/>
      <c r="J21" s="347"/>
      <c r="K21" s="348">
        <f t="shared" si="0"/>
        <v>3.4166666666666665</v>
      </c>
      <c r="L21" s="349">
        <f t="shared" si="1"/>
        <v>34.166666666666664</v>
      </c>
      <c r="M21" s="239"/>
    </row>
    <row r="22" spans="1:13" s="204" customFormat="1" ht="39.5" thickBot="1" x14ac:dyDescent="0.3">
      <c r="A22" s="205">
        <v>12</v>
      </c>
      <c r="B22" s="359" t="s">
        <v>482</v>
      </c>
      <c r="C22" s="358" t="s">
        <v>471</v>
      </c>
      <c r="D22" s="355">
        <v>4</v>
      </c>
      <c r="E22" s="347">
        <v>9.9</v>
      </c>
      <c r="F22" s="347">
        <v>13.32</v>
      </c>
      <c r="G22" s="347">
        <v>30.63</v>
      </c>
      <c r="H22" s="347"/>
      <c r="I22" s="347"/>
      <c r="J22" s="347"/>
      <c r="K22" s="348">
        <f t="shared" si="0"/>
        <v>17.95</v>
      </c>
      <c r="L22" s="349">
        <f t="shared" si="1"/>
        <v>71.8</v>
      </c>
      <c r="M22" s="239"/>
    </row>
    <row r="23" spans="1:13" s="204" customFormat="1" ht="52.5" thickBot="1" x14ac:dyDescent="0.3">
      <c r="A23" s="205">
        <v>13</v>
      </c>
      <c r="B23" s="359" t="s">
        <v>483</v>
      </c>
      <c r="C23" s="358" t="s">
        <v>471</v>
      </c>
      <c r="D23" s="355">
        <v>2</v>
      </c>
      <c r="E23" s="347">
        <v>16.899999999999999</v>
      </c>
      <c r="F23" s="347">
        <v>19.440000000000001</v>
      </c>
      <c r="G23" s="347">
        <v>24.12</v>
      </c>
      <c r="H23" s="347"/>
      <c r="I23" s="347"/>
      <c r="J23" s="347"/>
      <c r="K23" s="348">
        <f t="shared" si="0"/>
        <v>20.153333333333336</v>
      </c>
      <c r="L23" s="349">
        <f t="shared" si="1"/>
        <v>40.306666666666672</v>
      </c>
      <c r="M23" s="239"/>
    </row>
    <row r="24" spans="1:13" s="204" customFormat="1" ht="26.5" thickBot="1" x14ac:dyDescent="0.3">
      <c r="A24" s="205">
        <v>14</v>
      </c>
      <c r="B24" s="359" t="s">
        <v>484</v>
      </c>
      <c r="C24" s="358" t="s">
        <v>471</v>
      </c>
      <c r="D24" s="355">
        <v>3</v>
      </c>
      <c r="E24" s="347">
        <v>11.9</v>
      </c>
      <c r="F24" s="347">
        <v>19.62</v>
      </c>
      <c r="G24" s="347">
        <v>15.7</v>
      </c>
      <c r="H24" s="347"/>
      <c r="I24" s="347"/>
      <c r="J24" s="347"/>
      <c r="K24" s="348">
        <f t="shared" si="0"/>
        <v>15.74</v>
      </c>
      <c r="L24" s="349">
        <f t="shared" si="1"/>
        <v>47.22</v>
      </c>
      <c r="M24" s="239"/>
    </row>
    <row r="25" spans="1:13" s="204" customFormat="1" ht="13.5" thickBot="1" x14ac:dyDescent="0.3">
      <c r="A25" s="205">
        <v>15</v>
      </c>
      <c r="B25" s="359" t="s">
        <v>485</v>
      </c>
      <c r="C25" s="358" t="s">
        <v>471</v>
      </c>
      <c r="D25" s="355">
        <v>10</v>
      </c>
      <c r="E25" s="347">
        <v>2.99</v>
      </c>
      <c r="F25" s="347">
        <v>2.52</v>
      </c>
      <c r="G25" s="347">
        <v>7.92</v>
      </c>
      <c r="H25" s="347"/>
      <c r="I25" s="347"/>
      <c r="J25" s="347"/>
      <c r="K25" s="348">
        <f t="shared" si="0"/>
        <v>4.4766666666666666</v>
      </c>
      <c r="L25" s="349">
        <f t="shared" si="1"/>
        <v>44.766666666666666</v>
      </c>
      <c r="M25" s="239"/>
    </row>
    <row r="26" spans="1:13" s="204" customFormat="1" ht="13.5" thickBot="1" x14ac:dyDescent="0.3">
      <c r="A26" s="205">
        <v>16</v>
      </c>
      <c r="B26" s="359" t="s">
        <v>486</v>
      </c>
      <c r="C26" s="358" t="s">
        <v>471</v>
      </c>
      <c r="D26" s="355">
        <v>6</v>
      </c>
      <c r="E26" s="347">
        <v>2.99</v>
      </c>
      <c r="F26" s="347"/>
      <c r="G26" s="347">
        <v>3.96</v>
      </c>
      <c r="H26" s="347"/>
      <c r="I26" s="347"/>
      <c r="J26" s="347"/>
      <c r="K26" s="348">
        <f t="shared" si="0"/>
        <v>3.4750000000000001</v>
      </c>
      <c r="L26" s="349">
        <f t="shared" si="1"/>
        <v>20.85</v>
      </c>
      <c r="M26" s="239"/>
    </row>
    <row r="27" spans="1:13" s="204" customFormat="1" ht="52.5" thickBot="1" x14ac:dyDescent="0.3">
      <c r="A27" s="205">
        <v>17</v>
      </c>
      <c r="B27" s="359" t="s">
        <v>487</v>
      </c>
      <c r="C27" s="358" t="s">
        <v>488</v>
      </c>
      <c r="D27" s="355">
        <v>20</v>
      </c>
      <c r="E27" s="347">
        <v>6.99</v>
      </c>
      <c r="F27" s="347">
        <v>6.65</v>
      </c>
      <c r="G27" s="347">
        <v>6.41</v>
      </c>
      <c r="H27" s="347"/>
      <c r="I27" s="347"/>
      <c r="J27" s="347"/>
      <c r="K27" s="348">
        <f t="shared" si="0"/>
        <v>6.6833333333333336</v>
      </c>
      <c r="L27" s="349">
        <f t="shared" si="1"/>
        <v>133.66666666666669</v>
      </c>
      <c r="M27" s="239"/>
    </row>
    <row r="28" spans="1:13" s="204" customFormat="1" ht="13.5" thickBot="1" x14ac:dyDescent="0.3">
      <c r="A28" s="205">
        <v>18</v>
      </c>
      <c r="B28" s="359" t="s">
        <v>489</v>
      </c>
      <c r="C28" s="358" t="s">
        <v>488</v>
      </c>
      <c r="D28" s="355">
        <v>1</v>
      </c>
      <c r="E28" s="347">
        <v>0</v>
      </c>
      <c r="F28" s="347">
        <v>11.61</v>
      </c>
      <c r="G28" s="347">
        <v>15.06</v>
      </c>
      <c r="H28" s="347"/>
      <c r="I28" s="347"/>
      <c r="J28" s="347"/>
      <c r="K28" s="348">
        <f t="shared" si="0"/>
        <v>8.89</v>
      </c>
      <c r="L28" s="349">
        <f t="shared" si="1"/>
        <v>8.89</v>
      </c>
      <c r="M28" s="239"/>
    </row>
    <row r="29" spans="1:13" s="204" customFormat="1" ht="52.5" thickBot="1" x14ac:dyDescent="0.3">
      <c r="A29" s="205">
        <v>20</v>
      </c>
      <c r="B29" s="359" t="s">
        <v>490</v>
      </c>
      <c r="C29" s="358" t="s">
        <v>471</v>
      </c>
      <c r="D29" s="355">
        <v>10</v>
      </c>
      <c r="E29" s="347">
        <v>4.55</v>
      </c>
      <c r="F29" s="347">
        <v>24.12</v>
      </c>
      <c r="G29" s="347">
        <v>10.96</v>
      </c>
      <c r="H29" s="347"/>
      <c r="I29" s="347"/>
      <c r="J29" s="347"/>
      <c r="K29" s="348">
        <f t="shared" si="0"/>
        <v>13.21</v>
      </c>
      <c r="L29" s="349">
        <f t="shared" si="1"/>
        <v>132.10000000000002</v>
      </c>
      <c r="M29" s="239"/>
    </row>
    <row r="30" spans="1:13" s="204" customFormat="1" ht="13.5" thickBot="1" x14ac:dyDescent="0.3">
      <c r="A30" s="205">
        <v>21</v>
      </c>
      <c r="B30" s="359" t="s">
        <v>530</v>
      </c>
      <c r="C30" s="358" t="s">
        <v>488</v>
      </c>
      <c r="D30" s="355">
        <v>2</v>
      </c>
      <c r="E30" s="347">
        <v>9.6</v>
      </c>
      <c r="F30" s="347">
        <v>8.82</v>
      </c>
      <c r="G30" s="347">
        <v>5.86</v>
      </c>
      <c r="H30" s="347"/>
      <c r="I30" s="347"/>
      <c r="J30" s="347"/>
      <c r="K30" s="348">
        <f t="shared" si="0"/>
        <v>8.0933333333333337</v>
      </c>
      <c r="L30" s="349">
        <f t="shared" si="1"/>
        <v>16.186666666666667</v>
      </c>
      <c r="M30" s="239"/>
    </row>
    <row r="31" spans="1:13" s="204" customFormat="1" ht="13.5" thickBot="1" x14ac:dyDescent="0.3">
      <c r="A31" s="205">
        <v>22</v>
      </c>
      <c r="B31" s="359" t="s">
        <v>531</v>
      </c>
      <c r="C31" s="358" t="s">
        <v>471</v>
      </c>
      <c r="D31" s="355">
        <v>2</v>
      </c>
      <c r="E31" s="347">
        <v>12.9</v>
      </c>
      <c r="F31" s="347">
        <v>11.52</v>
      </c>
      <c r="G31" s="347">
        <v>8.98</v>
      </c>
      <c r="H31" s="347"/>
      <c r="I31" s="347"/>
      <c r="J31" s="347"/>
      <c r="K31" s="348">
        <f t="shared" si="0"/>
        <v>11.133333333333335</v>
      </c>
      <c r="L31" s="349">
        <f t="shared" si="1"/>
        <v>22.266666666666669</v>
      </c>
      <c r="M31" s="239"/>
    </row>
    <row r="32" spans="1:13" s="204" customFormat="1" ht="91" x14ac:dyDescent="0.25">
      <c r="A32" s="205">
        <v>23</v>
      </c>
      <c r="B32" s="359" t="s">
        <v>493</v>
      </c>
      <c r="C32" s="358" t="s">
        <v>471</v>
      </c>
      <c r="D32" s="355">
        <v>5</v>
      </c>
      <c r="E32" s="347">
        <v>10.23</v>
      </c>
      <c r="F32" s="347">
        <v>3.14</v>
      </c>
      <c r="G32" s="347">
        <v>23.14</v>
      </c>
      <c r="H32" s="347"/>
      <c r="I32" s="347"/>
      <c r="J32" s="347"/>
      <c r="K32" s="348">
        <f t="shared" si="0"/>
        <v>12.170000000000002</v>
      </c>
      <c r="L32" s="349">
        <f t="shared" si="1"/>
        <v>60.850000000000009</v>
      </c>
      <c r="M32" s="239"/>
    </row>
    <row r="33" spans="1:13" s="204" customFormat="1" x14ac:dyDescent="0.25">
      <c r="A33" s="294">
        <v>23</v>
      </c>
      <c r="B33" s="297"/>
      <c r="C33" s="298"/>
      <c r="D33" s="299"/>
      <c r="E33" s="243"/>
      <c r="F33" s="243"/>
      <c r="G33" s="243"/>
      <c r="H33" s="243"/>
      <c r="I33" s="243"/>
      <c r="J33" s="243"/>
      <c r="K33" s="244"/>
      <c r="L33" s="245"/>
      <c r="M33" s="239"/>
    </row>
    <row r="34" spans="1:13" s="204" customFormat="1" ht="12.75" customHeight="1" x14ac:dyDescent="0.25">
      <c r="A34" s="205"/>
      <c r="B34" s="300"/>
      <c r="C34" s="193"/>
      <c r="D34" s="193"/>
      <c r="E34" s="243"/>
      <c r="F34" s="243"/>
      <c r="G34" s="243"/>
      <c r="H34" s="243"/>
      <c r="I34" s="243"/>
      <c r="J34" s="243"/>
      <c r="K34" s="244"/>
      <c r="L34" s="245"/>
    </row>
    <row r="35" spans="1:13" ht="13.5" thickBot="1" x14ac:dyDescent="0.3">
      <c r="A35" s="593" t="s">
        <v>268</v>
      </c>
      <c r="B35" s="594"/>
      <c r="C35" s="594"/>
      <c r="D35" s="594"/>
      <c r="E35" s="594"/>
      <c r="F35" s="594"/>
      <c r="G35" s="594"/>
      <c r="H35" s="594"/>
      <c r="I35" s="594"/>
      <c r="J35" s="595"/>
      <c r="K35" s="596">
        <f>SUM(L11:L34)</f>
        <v>967.7600000000001</v>
      </c>
      <c r="L35" s="597"/>
    </row>
    <row r="36" spans="1:13" ht="13" thickBot="1" x14ac:dyDescent="0.3"/>
    <row r="37" spans="1:13" ht="13.5" thickBot="1" x14ac:dyDescent="0.35">
      <c r="A37" s="481" t="s">
        <v>269</v>
      </c>
      <c r="B37" s="482"/>
      <c r="C37" s="482"/>
      <c r="D37" s="482"/>
      <c r="E37" s="482"/>
      <c r="F37" s="482"/>
      <c r="G37" s="482"/>
      <c r="H37" s="482"/>
      <c r="I37" s="482"/>
      <c r="J37" s="483"/>
      <c r="K37" s="598">
        <f>K35/Resumo!I7</f>
        <v>952.2853628536285</v>
      </c>
      <c r="L37" s="599"/>
    </row>
    <row r="38" spans="1:13" ht="13" x14ac:dyDescent="0.3">
      <c r="A38" s="233"/>
      <c r="B38" s="233"/>
      <c r="C38" s="233"/>
      <c r="D38" s="233"/>
      <c r="E38" s="233"/>
      <c r="F38" s="233"/>
      <c r="G38" s="233"/>
      <c r="H38" s="233"/>
      <c r="I38" s="233"/>
      <c r="J38" s="233"/>
      <c r="K38" s="234"/>
      <c r="L38" s="234"/>
    </row>
    <row r="40" spans="1:13" ht="13" thickBot="1" x14ac:dyDescent="0.3"/>
    <row r="41" spans="1:13" ht="13" x14ac:dyDescent="0.25">
      <c r="A41" s="512" t="s">
        <v>247</v>
      </c>
      <c r="B41" s="515" t="s">
        <v>270</v>
      </c>
      <c r="C41" s="518" t="s">
        <v>249</v>
      </c>
      <c r="D41" s="521" t="s">
        <v>250</v>
      </c>
      <c r="E41" s="524" t="s">
        <v>251</v>
      </c>
      <c r="F41" s="525"/>
      <c r="G41" s="525"/>
      <c r="H41" s="525"/>
      <c r="I41" s="525"/>
      <c r="J41" s="526"/>
      <c r="K41" s="527" t="s">
        <v>252</v>
      </c>
      <c r="L41" s="528"/>
    </row>
    <row r="42" spans="1:13" ht="13.5" x14ac:dyDescent="0.25">
      <c r="A42" s="513"/>
      <c r="B42" s="577"/>
      <c r="C42" s="519"/>
      <c r="D42" s="522"/>
      <c r="E42" s="197" t="s">
        <v>50</v>
      </c>
      <c r="F42" s="198" t="s">
        <v>51</v>
      </c>
      <c r="G42" s="198" t="s">
        <v>52</v>
      </c>
      <c r="H42" s="198" t="s">
        <v>63</v>
      </c>
      <c r="I42" s="198" t="s">
        <v>97</v>
      </c>
      <c r="J42" s="199" t="s">
        <v>99</v>
      </c>
      <c r="K42" s="529" t="s">
        <v>253</v>
      </c>
      <c r="L42" s="531" t="s">
        <v>254</v>
      </c>
    </row>
    <row r="43" spans="1:13" ht="13" thickBot="1" x14ac:dyDescent="0.3">
      <c r="A43" s="514"/>
      <c r="B43" s="600"/>
      <c r="C43" s="520"/>
      <c r="D43" s="523"/>
      <c r="E43" s="200" t="s">
        <v>255</v>
      </c>
      <c r="F43" s="201" t="s">
        <v>255</v>
      </c>
      <c r="G43" s="201" t="s">
        <v>255</v>
      </c>
      <c r="H43" s="201" t="s">
        <v>255</v>
      </c>
      <c r="I43" s="201" t="s">
        <v>255</v>
      </c>
      <c r="J43" s="202" t="s">
        <v>255</v>
      </c>
      <c r="K43" s="530"/>
      <c r="L43" s="532"/>
    </row>
    <row r="44" spans="1:13" x14ac:dyDescent="0.25">
      <c r="A44" s="361">
        <v>1</v>
      </c>
      <c r="B44" s="362" t="s">
        <v>510</v>
      </c>
      <c r="C44" s="363" t="s">
        <v>249</v>
      </c>
      <c r="D44" s="364">
        <v>2</v>
      </c>
      <c r="E44" s="365">
        <v>16.899999999999999</v>
      </c>
      <c r="F44" s="365">
        <v>18.72</v>
      </c>
      <c r="G44" s="365">
        <v>19.89</v>
      </c>
      <c r="H44" s="365"/>
      <c r="I44" s="365"/>
      <c r="J44" s="365"/>
      <c r="K44" s="215">
        <f t="shared" ref="K44:K56" si="2">AVERAGE(E44:J44)</f>
        <v>18.503333333333334</v>
      </c>
      <c r="L44" s="216">
        <f t="shared" ref="L44:L56" si="3">K44*D44</f>
        <v>37.006666666666668</v>
      </c>
    </row>
    <row r="45" spans="1:13" x14ac:dyDescent="0.25">
      <c r="A45" s="227">
        <v>2</v>
      </c>
      <c r="B45" s="362" t="s">
        <v>511</v>
      </c>
      <c r="C45" s="206" t="s">
        <v>249</v>
      </c>
      <c r="D45" s="364">
        <v>1</v>
      </c>
      <c r="E45" s="228">
        <v>4.99</v>
      </c>
      <c r="F45" s="228">
        <v>7.18</v>
      </c>
      <c r="G45" s="228">
        <v>8.36</v>
      </c>
      <c r="H45" s="228"/>
      <c r="I45" s="228"/>
      <c r="J45" s="228"/>
      <c r="K45" s="215">
        <f t="shared" si="2"/>
        <v>6.8433333333333337</v>
      </c>
      <c r="L45" s="216">
        <f t="shared" si="3"/>
        <v>6.8433333333333337</v>
      </c>
    </row>
    <row r="46" spans="1:13" x14ac:dyDescent="0.25">
      <c r="A46" s="227">
        <v>3</v>
      </c>
      <c r="B46" s="362" t="s">
        <v>512</v>
      </c>
      <c r="C46" s="345" t="s">
        <v>249</v>
      </c>
      <c r="D46" s="364">
        <v>1</v>
      </c>
      <c r="E46" s="228">
        <v>12.9</v>
      </c>
      <c r="F46" s="228">
        <v>10.71</v>
      </c>
      <c r="G46" s="228">
        <v>15.09</v>
      </c>
      <c r="H46" s="228"/>
      <c r="I46" s="228"/>
      <c r="J46" s="228"/>
      <c r="K46" s="215">
        <f t="shared" si="2"/>
        <v>12.9</v>
      </c>
      <c r="L46" s="216">
        <f t="shared" si="3"/>
        <v>12.9</v>
      </c>
    </row>
    <row r="47" spans="1:13" x14ac:dyDescent="0.25">
      <c r="A47" s="227">
        <v>4</v>
      </c>
      <c r="B47" s="362" t="s">
        <v>513</v>
      </c>
      <c r="C47" s="206" t="s">
        <v>249</v>
      </c>
      <c r="D47" s="364">
        <v>2</v>
      </c>
      <c r="E47" s="228">
        <v>4.8</v>
      </c>
      <c r="F47" s="228">
        <v>7.02</v>
      </c>
      <c r="G47" s="228">
        <v>4.01</v>
      </c>
      <c r="H47" s="228"/>
      <c r="I47" s="228"/>
      <c r="J47" s="228"/>
      <c r="K47" s="215">
        <f t="shared" si="2"/>
        <v>5.2766666666666664</v>
      </c>
      <c r="L47" s="216">
        <f t="shared" si="3"/>
        <v>10.553333333333333</v>
      </c>
    </row>
    <row r="48" spans="1:13" x14ac:dyDescent="0.25">
      <c r="A48" s="227">
        <v>5</v>
      </c>
      <c r="B48" s="362" t="s">
        <v>514</v>
      </c>
      <c r="C48" s="206" t="s">
        <v>249</v>
      </c>
      <c r="D48" s="364">
        <v>4</v>
      </c>
      <c r="E48" s="228">
        <v>6.99</v>
      </c>
      <c r="F48" s="228">
        <v>6.29</v>
      </c>
      <c r="G48" s="228">
        <v>15.13</v>
      </c>
      <c r="H48" s="228"/>
      <c r="I48" s="228"/>
      <c r="J48" s="228"/>
      <c r="K48" s="215">
        <f t="shared" si="2"/>
        <v>9.4700000000000006</v>
      </c>
      <c r="L48" s="216">
        <f t="shared" si="3"/>
        <v>37.880000000000003</v>
      </c>
    </row>
    <row r="49" spans="1:12" x14ac:dyDescent="0.25">
      <c r="A49" s="227">
        <v>6</v>
      </c>
      <c r="B49" s="362" t="s">
        <v>515</v>
      </c>
      <c r="C49" s="206" t="s">
        <v>249</v>
      </c>
      <c r="D49" s="364">
        <v>1</v>
      </c>
      <c r="E49" s="228">
        <v>14.8</v>
      </c>
      <c r="F49" s="228">
        <v>37.619999999999997</v>
      </c>
      <c r="G49" s="228">
        <v>15.76</v>
      </c>
      <c r="H49" s="228"/>
      <c r="I49" s="228"/>
      <c r="J49" s="228"/>
      <c r="K49" s="215">
        <f t="shared" si="2"/>
        <v>22.72666666666667</v>
      </c>
      <c r="L49" s="216">
        <f t="shared" si="3"/>
        <v>22.72666666666667</v>
      </c>
    </row>
    <row r="50" spans="1:12" ht="56" x14ac:dyDescent="0.25">
      <c r="A50" s="227">
        <v>7</v>
      </c>
      <c r="B50" s="362" t="s">
        <v>516</v>
      </c>
      <c r="C50" s="206" t="s">
        <v>257</v>
      </c>
      <c r="D50" s="364">
        <v>6</v>
      </c>
      <c r="E50" s="228">
        <v>3.99</v>
      </c>
      <c r="F50" s="228">
        <v>10.62</v>
      </c>
      <c r="G50" s="228">
        <v>9.1300000000000008</v>
      </c>
      <c r="H50" s="228"/>
      <c r="I50" s="228"/>
      <c r="J50" s="228"/>
      <c r="K50" s="215">
        <f t="shared" si="2"/>
        <v>7.913333333333334</v>
      </c>
      <c r="L50" s="216">
        <f t="shared" si="3"/>
        <v>47.480000000000004</v>
      </c>
    </row>
    <row r="51" spans="1:12" x14ac:dyDescent="0.25">
      <c r="A51" s="227">
        <v>8</v>
      </c>
      <c r="B51" s="362" t="s">
        <v>517</v>
      </c>
      <c r="C51" s="206" t="s">
        <v>249</v>
      </c>
      <c r="D51" s="364">
        <v>2</v>
      </c>
      <c r="E51" s="228">
        <v>39.9</v>
      </c>
      <c r="F51" s="228">
        <v>39.42</v>
      </c>
      <c r="G51" s="228">
        <v>60.98</v>
      </c>
      <c r="H51" s="228"/>
      <c r="I51" s="228"/>
      <c r="J51" s="228"/>
      <c r="K51" s="215">
        <f t="shared" si="2"/>
        <v>46.766666666666659</v>
      </c>
      <c r="L51" s="216">
        <f t="shared" si="3"/>
        <v>93.533333333333317</v>
      </c>
    </row>
    <row r="52" spans="1:12" x14ac:dyDescent="0.25">
      <c r="A52" s="227">
        <v>9</v>
      </c>
      <c r="B52" s="366" t="s">
        <v>518</v>
      </c>
      <c r="C52" s="206" t="s">
        <v>249</v>
      </c>
      <c r="D52" s="364">
        <v>1</v>
      </c>
      <c r="E52" s="228">
        <v>10.89</v>
      </c>
      <c r="F52" s="228">
        <v>26.91</v>
      </c>
      <c r="G52" s="228">
        <v>16.11</v>
      </c>
      <c r="H52" s="228"/>
      <c r="I52" s="228"/>
      <c r="J52" s="228"/>
      <c r="K52" s="215">
        <f t="shared" si="2"/>
        <v>17.97</v>
      </c>
      <c r="L52" s="216">
        <f t="shared" si="3"/>
        <v>17.97</v>
      </c>
    </row>
    <row r="53" spans="1:12" x14ac:dyDescent="0.25">
      <c r="A53" s="227">
        <v>10</v>
      </c>
      <c r="B53" s="366" t="s">
        <v>519</v>
      </c>
      <c r="C53" s="206" t="s">
        <v>249</v>
      </c>
      <c r="D53" s="364">
        <v>2</v>
      </c>
      <c r="E53" s="228">
        <v>12.9</v>
      </c>
      <c r="F53" s="228">
        <v>1.32</v>
      </c>
      <c r="G53" s="228">
        <v>14.32</v>
      </c>
      <c r="H53" s="228"/>
      <c r="I53" s="228"/>
      <c r="J53" s="228"/>
      <c r="K53" s="215">
        <f t="shared" si="2"/>
        <v>9.5133333333333336</v>
      </c>
      <c r="L53" s="216">
        <f t="shared" si="3"/>
        <v>19.026666666666667</v>
      </c>
    </row>
    <row r="54" spans="1:12" x14ac:dyDescent="0.25">
      <c r="A54" s="227">
        <v>11</v>
      </c>
      <c r="B54" s="366" t="s">
        <v>520</v>
      </c>
      <c r="C54" s="206" t="s">
        <v>249</v>
      </c>
      <c r="D54" s="364">
        <v>1</v>
      </c>
      <c r="E54" s="228">
        <v>34.9</v>
      </c>
      <c r="F54" s="228">
        <v>24.12</v>
      </c>
      <c r="G54" s="228">
        <v>30.75</v>
      </c>
      <c r="H54" s="228"/>
      <c r="I54" s="228"/>
      <c r="J54" s="228"/>
      <c r="K54" s="215">
        <f t="shared" si="2"/>
        <v>29.923333333333332</v>
      </c>
      <c r="L54" s="216">
        <f t="shared" si="3"/>
        <v>29.923333333333332</v>
      </c>
    </row>
    <row r="55" spans="1:12" x14ac:dyDescent="0.25">
      <c r="A55" s="227">
        <v>12</v>
      </c>
      <c r="B55" s="366" t="s">
        <v>521</v>
      </c>
      <c r="C55" s="206" t="s">
        <v>249</v>
      </c>
      <c r="D55" s="364">
        <v>3</v>
      </c>
      <c r="E55" s="228">
        <v>12.99</v>
      </c>
      <c r="F55" s="228">
        <v>21.42</v>
      </c>
      <c r="G55" s="228">
        <v>21.65</v>
      </c>
      <c r="H55" s="228"/>
      <c r="I55" s="228"/>
      <c r="J55" s="228"/>
      <c r="K55" s="215">
        <f t="shared" si="2"/>
        <v>18.686666666666667</v>
      </c>
      <c r="L55" s="216">
        <f t="shared" si="3"/>
        <v>56.06</v>
      </c>
    </row>
    <row r="56" spans="1:12" ht="25" x14ac:dyDescent="0.25">
      <c r="A56" s="227">
        <v>13</v>
      </c>
      <c r="B56" s="350" t="s">
        <v>522</v>
      </c>
      <c r="C56" s="206" t="s">
        <v>249</v>
      </c>
      <c r="D56" s="364">
        <v>1</v>
      </c>
      <c r="E56" s="228">
        <v>34.9</v>
      </c>
      <c r="F56" s="228">
        <v>31.32</v>
      </c>
      <c r="G56" s="228">
        <v>24.9</v>
      </c>
      <c r="H56" s="228"/>
      <c r="I56" s="228"/>
      <c r="J56" s="228"/>
      <c r="K56" s="215">
        <f t="shared" si="2"/>
        <v>30.373333333333335</v>
      </c>
      <c r="L56" s="216">
        <f t="shared" si="3"/>
        <v>30.373333333333335</v>
      </c>
    </row>
    <row r="57" spans="1:12" x14ac:dyDescent="0.25">
      <c r="A57" s="301"/>
      <c r="B57" s="304"/>
      <c r="C57" s="305"/>
      <c r="D57" s="306"/>
      <c r="E57" s="270"/>
      <c r="F57" s="270"/>
      <c r="G57" s="270"/>
      <c r="H57" s="243"/>
      <c r="I57" s="243"/>
      <c r="J57" s="243"/>
      <c r="K57" s="248"/>
      <c r="L57" s="249"/>
    </row>
    <row r="58" spans="1:12" ht="13.5" thickBot="1" x14ac:dyDescent="0.3">
      <c r="A58" s="227"/>
      <c r="B58" s="211"/>
      <c r="C58" s="206"/>
      <c r="D58" s="229"/>
      <c r="E58" s="228"/>
      <c r="F58" s="228"/>
      <c r="G58" s="228"/>
      <c r="H58" s="228"/>
      <c r="I58" s="228"/>
      <c r="J58" s="228"/>
      <c r="K58" s="215"/>
      <c r="L58" s="216"/>
    </row>
    <row r="59" spans="1:12" ht="13.5" thickBot="1" x14ac:dyDescent="0.3">
      <c r="A59" s="481" t="s">
        <v>271</v>
      </c>
      <c r="B59" s="482"/>
      <c r="C59" s="482"/>
      <c r="D59" s="482"/>
      <c r="E59" s="482"/>
      <c r="F59" s="482"/>
      <c r="G59" s="482"/>
      <c r="H59" s="482"/>
      <c r="I59" s="482"/>
      <c r="J59" s="483"/>
      <c r="K59" s="601">
        <f>SUM(L44:L58)</f>
        <v>422.27666666666664</v>
      </c>
      <c r="L59" s="602"/>
    </row>
    <row r="60" spans="1:12" ht="13.5" thickBot="1" x14ac:dyDescent="0.3">
      <c r="A60" s="189"/>
      <c r="B60" s="189"/>
      <c r="C60" s="235"/>
      <c r="D60" s="236"/>
      <c r="E60" s="237"/>
      <c r="F60" s="237"/>
      <c r="G60" s="237"/>
      <c r="H60" s="237"/>
      <c r="I60" s="237"/>
      <c r="J60" s="237"/>
      <c r="K60" s="238"/>
      <c r="L60" s="238"/>
    </row>
    <row r="61" spans="1:12" ht="13.5" thickBot="1" x14ac:dyDescent="0.35">
      <c r="A61" s="603" t="s">
        <v>272</v>
      </c>
      <c r="B61" s="604"/>
      <c r="C61" s="604"/>
      <c r="D61" s="604"/>
      <c r="E61" s="604"/>
      <c r="F61" s="604"/>
      <c r="G61" s="604"/>
      <c r="H61" s="604"/>
      <c r="I61" s="604"/>
      <c r="J61" s="605"/>
      <c r="K61" s="598">
        <f>K59/12/Resumo!I7</f>
        <v>34.627032936996031</v>
      </c>
      <c r="L61" s="599"/>
    </row>
    <row r="62" spans="1:12" ht="13.5" thickBot="1" x14ac:dyDescent="0.35">
      <c r="A62" s="233"/>
      <c r="B62" s="233"/>
      <c r="C62" s="233"/>
      <c r="D62" s="233"/>
      <c r="E62" s="233"/>
      <c r="F62" s="233"/>
      <c r="G62" s="233"/>
      <c r="H62" s="233"/>
      <c r="I62" s="233"/>
      <c r="J62" s="233"/>
      <c r="K62" s="234"/>
      <c r="L62" s="234"/>
    </row>
    <row r="63" spans="1:12" ht="13.5" thickBot="1" x14ac:dyDescent="0.35">
      <c r="A63" s="606" t="s">
        <v>273</v>
      </c>
      <c r="B63" s="607"/>
      <c r="C63" s="607"/>
      <c r="D63" s="607"/>
      <c r="E63" s="607"/>
      <c r="F63" s="607"/>
      <c r="G63" s="607"/>
      <c r="H63" s="607"/>
      <c r="I63" s="607"/>
      <c r="J63" s="608"/>
      <c r="K63" s="609" t="s">
        <v>274</v>
      </c>
      <c r="L63" s="610"/>
    </row>
    <row r="64" spans="1:12" ht="13" x14ac:dyDescent="0.3">
      <c r="A64" s="620" t="s">
        <v>275</v>
      </c>
      <c r="B64" s="621"/>
      <c r="C64" s="621"/>
      <c r="D64" s="621"/>
      <c r="E64" s="621"/>
      <c r="F64" s="621"/>
      <c r="G64" s="621"/>
      <c r="H64" s="621"/>
      <c r="I64" s="621"/>
      <c r="J64" s="621"/>
      <c r="K64" s="611">
        <f>K37</f>
        <v>952.2853628536285</v>
      </c>
      <c r="L64" s="612"/>
    </row>
    <row r="65" spans="1:12" ht="13.5" thickBot="1" x14ac:dyDescent="0.35">
      <c r="A65" s="618" t="s">
        <v>276</v>
      </c>
      <c r="B65" s="619"/>
      <c r="C65" s="619"/>
      <c r="D65" s="619"/>
      <c r="E65" s="619"/>
      <c r="F65" s="619"/>
      <c r="G65" s="619"/>
      <c r="H65" s="619"/>
      <c r="I65" s="619"/>
      <c r="J65" s="619"/>
      <c r="K65" s="622">
        <f>K61</f>
        <v>34.627032936996031</v>
      </c>
      <c r="L65" s="623"/>
    </row>
    <row r="66" spans="1:12" ht="13.5" thickBot="1" x14ac:dyDescent="0.35">
      <c r="A66" s="613" t="s">
        <v>277</v>
      </c>
      <c r="B66" s="614"/>
      <c r="C66" s="614"/>
      <c r="D66" s="614"/>
      <c r="E66" s="614"/>
      <c r="F66" s="614"/>
      <c r="G66" s="614"/>
      <c r="H66" s="614"/>
      <c r="I66" s="614"/>
      <c r="J66" s="615"/>
      <c r="K66" s="616">
        <f>SUM(K64:L65)</f>
        <v>986.91239579062449</v>
      </c>
      <c r="L66" s="617"/>
    </row>
    <row r="68" spans="1:12" ht="13" thickBot="1" x14ac:dyDescent="0.3"/>
    <row r="69" spans="1:12" ht="20.25" customHeight="1" x14ac:dyDescent="0.25">
      <c r="A69" s="539"/>
      <c r="B69" s="540"/>
      <c r="C69" s="545" t="s">
        <v>261</v>
      </c>
      <c r="D69" s="548"/>
      <c r="E69" s="549"/>
      <c r="F69" s="549"/>
      <c r="G69" s="549"/>
      <c r="H69" s="549"/>
      <c r="I69" s="549"/>
      <c r="J69" s="549"/>
      <c r="K69" s="549"/>
      <c r="L69" s="550"/>
    </row>
    <row r="70" spans="1:12" ht="28.5" customHeight="1" x14ac:dyDescent="0.25">
      <c r="A70" s="541"/>
      <c r="B70" s="542"/>
      <c r="C70" s="546"/>
      <c r="D70" s="551"/>
      <c r="E70" s="552"/>
      <c r="F70" s="552"/>
      <c r="G70" s="552"/>
      <c r="H70" s="552"/>
      <c r="I70" s="552"/>
      <c r="J70" s="552"/>
      <c r="K70" s="552"/>
      <c r="L70" s="553"/>
    </row>
    <row r="71" spans="1:12" ht="14.25" customHeight="1" x14ac:dyDescent="0.25">
      <c r="A71" s="541"/>
      <c r="B71" s="542"/>
      <c r="C71" s="546"/>
      <c r="D71" s="551"/>
      <c r="E71" s="552"/>
      <c r="F71" s="552"/>
      <c r="G71" s="552"/>
      <c r="H71" s="552"/>
      <c r="I71" s="552"/>
      <c r="J71" s="552"/>
      <c r="K71" s="552"/>
      <c r="L71" s="553"/>
    </row>
    <row r="72" spans="1:12" ht="13" thickBot="1" x14ac:dyDescent="0.3">
      <c r="A72" s="543"/>
      <c r="B72" s="544"/>
      <c r="C72" s="547"/>
      <c r="D72" s="554"/>
      <c r="E72" s="555"/>
      <c r="F72" s="555"/>
      <c r="G72" s="555"/>
      <c r="H72" s="555"/>
      <c r="I72" s="555"/>
      <c r="J72" s="555"/>
      <c r="K72" s="555"/>
      <c r="L72" s="556"/>
    </row>
  </sheetData>
  <mergeCells count="54">
    <mergeCell ref="A69:B72"/>
    <mergeCell ref="C69:C72"/>
    <mergeCell ref="D69:L72"/>
    <mergeCell ref="A64:J64"/>
    <mergeCell ref="K64:L64"/>
    <mergeCell ref="A65:J65"/>
    <mergeCell ref="K65:L65"/>
    <mergeCell ref="A66:J66"/>
    <mergeCell ref="K66:L66"/>
    <mergeCell ref="A59:J59"/>
    <mergeCell ref="K59:L59"/>
    <mergeCell ref="A61:J61"/>
    <mergeCell ref="K61:L61"/>
    <mergeCell ref="A63:J63"/>
    <mergeCell ref="K63:L63"/>
    <mergeCell ref="A35:J35"/>
    <mergeCell ref="K35:L35"/>
    <mergeCell ref="A37:J37"/>
    <mergeCell ref="K37:L37"/>
    <mergeCell ref="A41:A43"/>
    <mergeCell ref="B41:B43"/>
    <mergeCell ref="C41:C43"/>
    <mergeCell ref="D41:D43"/>
    <mergeCell ref="E41:J41"/>
    <mergeCell ref="K41:L41"/>
    <mergeCell ref="K42:K43"/>
    <mergeCell ref="L42:L4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hyperlinks>
    <hyperlink ref="F2" r:id="rId1" xr:uid="{9DE15C71-4043-49E0-BE6B-B01AD1CADD09}"/>
    <hyperlink ref="F3" r:id="rId2" xr:uid="{3F23060B-12F1-4D48-83DF-8E1FE802C45C}"/>
  </hyperlinks>
  <pageMargins left="0.511811024" right="0.511811024" top="0.78740157499999996" bottom="0.78740157499999996" header="0.31496062000000002" footer="0.31496062000000002"/>
  <pageSetup paperSize="9" orientation="landscape" verticalDpi="0" r:id="rId3"/>
  <drawing r:id="rId4"/>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7FE9D-ADEF-48D1-BCCD-8F5DC25C73F8}">
  <sheetPr>
    <tabColor rgb="FF92D050"/>
  </sheetPr>
  <dimension ref="A1:L36"/>
  <sheetViews>
    <sheetView zoomScale="85" zoomScaleNormal="85" workbookViewId="0">
      <selection activeCell="B40" sqref="B40"/>
    </sheetView>
  </sheetViews>
  <sheetFormatPr defaultRowHeight="12.5" x14ac:dyDescent="0.25"/>
  <cols>
    <col min="1" max="1" width="3.7265625" style="210"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2" ht="21.75" customHeight="1" thickBot="1" x14ac:dyDescent="0.3">
      <c r="A1" s="638" t="s">
        <v>278</v>
      </c>
      <c r="B1" s="639"/>
      <c r="C1" s="639"/>
      <c r="D1" s="639"/>
      <c r="E1" s="639"/>
      <c r="F1" s="639"/>
      <c r="G1" s="639"/>
      <c r="H1" s="639"/>
      <c r="I1" s="639"/>
      <c r="J1" s="639"/>
      <c r="K1" s="639"/>
      <c r="L1" s="640"/>
    </row>
    <row r="2" spans="1:12" ht="13" customHeight="1" x14ac:dyDescent="0.25">
      <c r="A2" s="277" t="s">
        <v>50</v>
      </c>
      <c r="B2" s="495" t="s">
        <v>525</v>
      </c>
      <c r="C2" s="495"/>
      <c r="D2" s="495"/>
      <c r="E2" s="360" t="s">
        <v>244</v>
      </c>
      <c r="F2" s="506" t="s">
        <v>266</v>
      </c>
      <c r="G2" s="495"/>
      <c r="H2" s="495"/>
      <c r="I2" s="495"/>
      <c r="J2" s="259" t="s">
        <v>245</v>
      </c>
      <c r="K2" s="641"/>
      <c r="L2" s="642"/>
    </row>
    <row r="3" spans="1:12" ht="13" customHeight="1" x14ac:dyDescent="0.25">
      <c r="A3" s="278" t="s">
        <v>51</v>
      </c>
      <c r="B3" s="501" t="s">
        <v>508</v>
      </c>
      <c r="C3" s="501"/>
      <c r="D3" s="501"/>
      <c r="E3" s="367" t="s">
        <v>244</v>
      </c>
      <c r="F3" s="503" t="s">
        <v>265</v>
      </c>
      <c r="G3" s="497"/>
      <c r="H3" s="497"/>
      <c r="I3" s="497"/>
      <c r="J3" s="261" t="s">
        <v>245</v>
      </c>
      <c r="K3" s="643"/>
      <c r="L3" s="644"/>
    </row>
    <row r="4" spans="1:12" ht="13" customHeight="1" x14ac:dyDescent="0.25">
      <c r="A4" s="279" t="s">
        <v>52</v>
      </c>
      <c r="B4" s="499" t="s">
        <v>526</v>
      </c>
      <c r="C4" s="499"/>
      <c r="D4" s="499"/>
      <c r="E4" s="194" t="s">
        <v>244</v>
      </c>
      <c r="F4" s="504" t="s">
        <v>527</v>
      </c>
      <c r="G4" s="588"/>
      <c r="H4" s="588"/>
      <c r="I4" s="588"/>
      <c r="J4" s="263" t="s">
        <v>245</v>
      </c>
      <c r="K4" s="635"/>
      <c r="L4" s="636"/>
    </row>
    <row r="5" spans="1:12" ht="13" x14ac:dyDescent="0.25">
      <c r="A5" s="218" t="s">
        <v>63</v>
      </c>
      <c r="B5" s="501" t="s">
        <v>528</v>
      </c>
      <c r="C5" s="501"/>
      <c r="D5" s="501"/>
      <c r="E5" s="193" t="s">
        <v>244</v>
      </c>
      <c r="F5" s="503" t="s">
        <v>529</v>
      </c>
      <c r="G5" s="497"/>
      <c r="H5" s="497"/>
      <c r="I5" s="497"/>
      <c r="J5" s="193" t="s">
        <v>245</v>
      </c>
      <c r="K5" s="637"/>
      <c r="L5" s="502"/>
    </row>
    <row r="6" spans="1:12" ht="13" x14ac:dyDescent="0.25">
      <c r="A6" s="219" t="s">
        <v>97</v>
      </c>
      <c r="B6" s="499"/>
      <c r="C6" s="499"/>
      <c r="D6" s="499"/>
      <c r="E6" s="194" t="s">
        <v>244</v>
      </c>
      <c r="F6" s="504"/>
      <c r="G6" s="499"/>
      <c r="H6" s="499"/>
      <c r="I6" s="499"/>
      <c r="J6" s="194" t="s">
        <v>245</v>
      </c>
      <c r="K6" s="499"/>
      <c r="L6" s="500"/>
    </row>
    <row r="7" spans="1:12" ht="13.5" thickBot="1" x14ac:dyDescent="0.3">
      <c r="A7" s="220" t="s">
        <v>99</v>
      </c>
      <c r="B7" s="619"/>
      <c r="C7" s="619"/>
      <c r="D7" s="619"/>
      <c r="E7" s="221" t="s">
        <v>244</v>
      </c>
      <c r="F7" s="632"/>
      <c r="G7" s="633"/>
      <c r="H7" s="633"/>
      <c r="I7" s="633"/>
      <c r="J7" s="222" t="s">
        <v>245</v>
      </c>
      <c r="K7" s="619"/>
      <c r="L7" s="634"/>
    </row>
    <row r="8" spans="1:12" ht="13" x14ac:dyDescent="0.25">
      <c r="A8" s="512" t="s">
        <v>247</v>
      </c>
      <c r="B8" s="515" t="s">
        <v>279</v>
      </c>
      <c r="C8" s="518" t="s">
        <v>249</v>
      </c>
      <c r="D8" s="518" t="s">
        <v>250</v>
      </c>
      <c r="E8" s="627" t="s">
        <v>251</v>
      </c>
      <c r="F8" s="627"/>
      <c r="G8" s="627"/>
      <c r="H8" s="627"/>
      <c r="I8" s="627"/>
      <c r="J8" s="627"/>
      <c r="K8" s="628" t="s">
        <v>252</v>
      </c>
      <c r="L8" s="629"/>
    </row>
    <row r="9" spans="1:12" ht="13.5" x14ac:dyDescent="0.25">
      <c r="A9" s="513"/>
      <c r="B9" s="516"/>
      <c r="C9" s="519"/>
      <c r="D9" s="519"/>
      <c r="E9" s="223" t="s">
        <v>50</v>
      </c>
      <c r="F9" s="198" t="s">
        <v>51</v>
      </c>
      <c r="G9" s="198" t="s">
        <v>52</v>
      </c>
      <c r="H9" s="198" t="s">
        <v>63</v>
      </c>
      <c r="I9" s="198" t="s">
        <v>97</v>
      </c>
      <c r="J9" s="198" t="s">
        <v>99</v>
      </c>
      <c r="K9" s="516" t="s">
        <v>253</v>
      </c>
      <c r="L9" s="630" t="s">
        <v>254</v>
      </c>
    </row>
    <row r="10" spans="1:12" ht="13" thickBot="1" x14ac:dyDescent="0.3">
      <c r="A10" s="514"/>
      <c r="B10" s="517"/>
      <c r="C10" s="520"/>
      <c r="D10" s="520"/>
      <c r="E10" s="201" t="s">
        <v>255</v>
      </c>
      <c r="F10" s="201" t="s">
        <v>255</v>
      </c>
      <c r="G10" s="201" t="s">
        <v>255</v>
      </c>
      <c r="H10" s="201" t="s">
        <v>255</v>
      </c>
      <c r="I10" s="201" t="s">
        <v>255</v>
      </c>
      <c r="J10" s="201" t="s">
        <v>255</v>
      </c>
      <c r="K10" s="517"/>
      <c r="L10" s="631"/>
    </row>
    <row r="11" spans="1:12" s="204" customFormat="1" x14ac:dyDescent="0.25">
      <c r="A11" s="203">
        <v>1</v>
      </c>
      <c r="B11" s="344" t="s">
        <v>523</v>
      </c>
      <c r="C11" s="231" t="s">
        <v>249</v>
      </c>
      <c r="D11" s="346">
        <v>1</v>
      </c>
      <c r="E11" s="347">
        <v>499.9</v>
      </c>
      <c r="F11" s="347">
        <v>437</v>
      </c>
      <c r="G11" s="347">
        <v>699.9</v>
      </c>
      <c r="H11" s="347">
        <v>419.9</v>
      </c>
      <c r="I11" s="347"/>
      <c r="J11" s="347"/>
      <c r="K11" s="215">
        <f>AVERAGE(E11:J11)</f>
        <v>514.17499999999995</v>
      </c>
      <c r="L11" s="216">
        <f>K11*D11</f>
        <v>514.17499999999995</v>
      </c>
    </row>
    <row r="12" spans="1:12" s="204" customFormat="1" x14ac:dyDescent="0.25">
      <c r="A12" s="205">
        <v>2</v>
      </c>
      <c r="B12" s="344" t="s">
        <v>524</v>
      </c>
      <c r="C12" s="206" t="s">
        <v>249</v>
      </c>
      <c r="D12" s="346">
        <v>1</v>
      </c>
      <c r="E12" s="347">
        <v>306.24</v>
      </c>
      <c r="F12" s="347">
        <v>406</v>
      </c>
      <c r="G12" s="347">
        <v>452.62</v>
      </c>
      <c r="H12" s="347">
        <v>451.73</v>
      </c>
      <c r="I12" s="347"/>
      <c r="J12" s="347"/>
      <c r="K12" s="215">
        <f t="shared" ref="K12" si="0">AVERAGE(E12:J12)</f>
        <v>404.14750000000004</v>
      </c>
      <c r="L12" s="216">
        <f t="shared" ref="L12" si="1">K12*D12</f>
        <v>404.14750000000004</v>
      </c>
    </row>
    <row r="13" spans="1:12" s="204" customFormat="1" ht="13" x14ac:dyDescent="0.3">
      <c r="A13" s="205">
        <v>3</v>
      </c>
      <c r="B13" s="286"/>
      <c r="C13" s="286"/>
      <c r="D13" s="269"/>
      <c r="E13" s="283"/>
      <c r="F13" s="280"/>
      <c r="G13" s="283"/>
      <c r="H13" s="283"/>
      <c r="I13" s="283"/>
      <c r="J13" s="283"/>
      <c r="K13" s="281"/>
      <c r="L13" s="282"/>
    </row>
    <row r="14" spans="1:12" s="204" customFormat="1" ht="13" x14ac:dyDescent="0.3">
      <c r="A14" s="205">
        <v>4</v>
      </c>
      <c r="B14" s="286"/>
      <c r="C14" s="286"/>
      <c r="D14" s="269"/>
      <c r="E14" s="283"/>
      <c r="F14" s="280"/>
      <c r="G14" s="283"/>
      <c r="H14" s="283"/>
      <c r="I14" s="283"/>
      <c r="J14" s="283"/>
      <c r="K14" s="281"/>
      <c r="L14" s="282"/>
    </row>
    <row r="15" spans="1:12" s="204" customFormat="1" ht="13" x14ac:dyDescent="0.25">
      <c r="A15" s="205">
        <v>5</v>
      </c>
      <c r="B15" s="286"/>
      <c r="C15" s="286"/>
      <c r="D15" s="269"/>
      <c r="E15" s="283"/>
      <c r="F15" s="284"/>
      <c r="G15" s="283"/>
      <c r="H15" s="283"/>
      <c r="I15" s="283"/>
      <c r="J15" s="283"/>
      <c r="K15" s="281"/>
      <c r="L15" s="282"/>
    </row>
    <row r="16" spans="1:12" s="204" customFormat="1" ht="13" x14ac:dyDescent="0.25">
      <c r="A16" s="205">
        <v>6</v>
      </c>
      <c r="B16" s="286"/>
      <c r="C16" s="286"/>
      <c r="D16" s="269"/>
      <c r="E16" s="283"/>
      <c r="F16" s="285"/>
      <c r="G16" s="283"/>
      <c r="H16" s="283"/>
      <c r="I16" s="283"/>
      <c r="J16" s="283"/>
      <c r="K16" s="281"/>
      <c r="L16" s="282"/>
    </row>
    <row r="17" spans="1:12" s="204" customFormat="1" ht="13" x14ac:dyDescent="0.25">
      <c r="A17" s="205">
        <v>7</v>
      </c>
      <c r="B17" s="286"/>
      <c r="C17" s="289"/>
      <c r="D17" s="288"/>
      <c r="E17" s="283"/>
      <c r="F17" s="283"/>
      <c r="G17" s="283"/>
      <c r="H17" s="283"/>
      <c r="I17" s="283"/>
      <c r="J17" s="283"/>
      <c r="K17" s="281"/>
      <c r="L17" s="282"/>
    </row>
    <row r="18" spans="1:12" s="204" customFormat="1" ht="13" x14ac:dyDescent="0.25">
      <c r="A18" s="205"/>
      <c r="B18" s="286"/>
      <c r="C18" s="289"/>
      <c r="D18" s="288"/>
      <c r="E18" s="283"/>
      <c r="F18" s="283"/>
      <c r="G18" s="283"/>
      <c r="H18" s="283"/>
      <c r="I18" s="283"/>
      <c r="J18" s="283"/>
      <c r="K18" s="281"/>
      <c r="L18" s="282"/>
    </row>
    <row r="19" spans="1:12" s="204" customFormat="1" ht="13" x14ac:dyDescent="0.25">
      <c r="A19" s="205"/>
      <c r="B19" s="286"/>
      <c r="C19" s="289"/>
      <c r="D19" s="288"/>
      <c r="E19" s="283"/>
      <c r="F19" s="283"/>
      <c r="G19" s="283"/>
      <c r="H19" s="283"/>
      <c r="I19" s="283"/>
      <c r="J19" s="283"/>
      <c r="K19" s="281"/>
      <c r="L19" s="282"/>
    </row>
    <row r="20" spans="1:12" s="204" customFormat="1" ht="13" x14ac:dyDescent="0.25">
      <c r="A20" s="205"/>
      <c r="B20" s="286"/>
      <c r="C20" s="289"/>
      <c r="D20" s="288"/>
      <c r="E20" s="283"/>
      <c r="F20" s="283"/>
      <c r="G20" s="283"/>
      <c r="H20" s="283"/>
      <c r="I20" s="283"/>
      <c r="J20" s="283"/>
      <c r="K20" s="281"/>
      <c r="L20" s="282"/>
    </row>
    <row r="21" spans="1:12" s="204" customFormat="1" ht="13" x14ac:dyDescent="0.25">
      <c r="A21" s="205"/>
      <c r="B21" s="290"/>
      <c r="C21" s="289"/>
      <c r="D21" s="288"/>
      <c r="E21" s="283"/>
      <c r="F21" s="283"/>
      <c r="G21" s="283"/>
      <c r="H21" s="283"/>
      <c r="I21" s="283"/>
      <c r="J21" s="283"/>
      <c r="K21" s="281"/>
      <c r="L21" s="282"/>
    </row>
    <row r="22" spans="1:12" s="204" customFormat="1" ht="13.5" thickBot="1" x14ac:dyDescent="0.3">
      <c r="A22" s="205"/>
      <c r="B22" s="290"/>
      <c r="C22" s="289"/>
      <c r="D22" s="288"/>
      <c r="E22" s="283"/>
      <c r="F22" s="283"/>
      <c r="G22" s="283"/>
      <c r="H22" s="283"/>
      <c r="I22" s="283"/>
      <c r="J22" s="283"/>
      <c r="K22" s="281"/>
      <c r="L22" s="282"/>
    </row>
    <row r="23" spans="1:12" ht="13.5" thickBot="1" x14ac:dyDescent="0.3">
      <c r="A23" s="481" t="s">
        <v>280</v>
      </c>
      <c r="B23" s="482"/>
      <c r="C23" s="482"/>
      <c r="D23" s="482"/>
      <c r="E23" s="482"/>
      <c r="F23" s="482"/>
      <c r="G23" s="482"/>
      <c r="H23" s="482"/>
      <c r="I23" s="482"/>
      <c r="J23" s="483"/>
      <c r="K23" s="625">
        <f>SUM(L11:L22)</f>
        <v>918.32249999999999</v>
      </c>
      <c r="L23" s="626"/>
    </row>
    <row r="24" spans="1:12" ht="13.5" thickBot="1" x14ac:dyDescent="0.3">
      <c r="A24" s="189"/>
      <c r="B24" s="189"/>
      <c r="C24" s="189"/>
      <c r="D24" s="189"/>
      <c r="E24" s="189"/>
      <c r="F24" s="189"/>
      <c r="G24" s="189"/>
      <c r="H24" s="189"/>
      <c r="I24" s="189"/>
      <c r="J24" s="189"/>
      <c r="K24" s="250"/>
      <c r="L24" s="250"/>
    </row>
    <row r="25" spans="1:12" ht="13.5" thickBot="1" x14ac:dyDescent="0.35">
      <c r="A25" s="481" t="s">
        <v>281</v>
      </c>
      <c r="B25" s="482"/>
      <c r="C25" s="482"/>
      <c r="D25" s="482"/>
      <c r="E25" s="482"/>
      <c r="F25" s="482"/>
      <c r="G25" s="482"/>
      <c r="H25" s="482"/>
      <c r="I25" s="482"/>
      <c r="J25" s="483"/>
      <c r="K25" s="486">
        <f>(K23*10%)/12/Resumo!I7</f>
        <v>7.5303198031980312</v>
      </c>
      <c r="L25" s="487"/>
    </row>
    <row r="26" spans="1:12" ht="13.5" thickBot="1" x14ac:dyDescent="0.3">
      <c r="A26" s="189"/>
      <c r="B26" s="189"/>
      <c r="C26" s="189"/>
      <c r="D26" s="189"/>
      <c r="E26" s="189"/>
      <c r="F26" s="189"/>
      <c r="G26" s="189"/>
      <c r="H26" s="189"/>
      <c r="I26" s="189"/>
      <c r="J26" s="189"/>
      <c r="K26" s="238"/>
      <c r="L26" s="238"/>
    </row>
    <row r="27" spans="1:12" ht="20.25" customHeight="1" x14ac:dyDescent="0.25">
      <c r="A27" s="539"/>
      <c r="B27" s="540"/>
      <c r="C27" s="545" t="s">
        <v>261</v>
      </c>
      <c r="D27" s="548"/>
      <c r="E27" s="549"/>
      <c r="F27" s="549"/>
      <c r="G27" s="549"/>
      <c r="H27" s="549"/>
      <c r="I27" s="549"/>
      <c r="J27" s="549"/>
      <c r="K27" s="549"/>
      <c r="L27" s="550"/>
    </row>
    <row r="28" spans="1:12" x14ac:dyDescent="0.25">
      <c r="A28" s="541"/>
      <c r="B28" s="542"/>
      <c r="C28" s="546"/>
      <c r="D28" s="551"/>
      <c r="E28" s="552"/>
      <c r="F28" s="552"/>
      <c r="G28" s="552"/>
      <c r="H28" s="552"/>
      <c r="I28" s="552"/>
      <c r="J28" s="552"/>
      <c r="K28" s="552"/>
      <c r="L28" s="553"/>
    </row>
    <row r="29" spans="1:12" ht="14.25" customHeight="1" x14ac:dyDescent="0.25">
      <c r="A29" s="541"/>
      <c r="B29" s="542"/>
      <c r="C29" s="546"/>
      <c r="D29" s="551"/>
      <c r="E29" s="552"/>
      <c r="F29" s="552"/>
      <c r="G29" s="552"/>
      <c r="H29" s="552"/>
      <c r="I29" s="552"/>
      <c r="J29" s="552"/>
      <c r="K29" s="552"/>
      <c r="L29" s="553"/>
    </row>
    <row r="30" spans="1:12" ht="13" thickBot="1" x14ac:dyDescent="0.3">
      <c r="A30" s="543"/>
      <c r="B30" s="544"/>
      <c r="C30" s="547"/>
      <c r="D30" s="554"/>
      <c r="E30" s="555"/>
      <c r="F30" s="555"/>
      <c r="G30" s="555"/>
      <c r="H30" s="555"/>
      <c r="I30" s="555"/>
      <c r="J30" s="555"/>
      <c r="K30" s="555"/>
      <c r="L30" s="556"/>
    </row>
    <row r="31" spans="1:12" ht="13" thickBot="1" x14ac:dyDescent="0.3"/>
    <row r="32" spans="1:12" x14ac:dyDescent="0.25">
      <c r="A32" s="624" t="s">
        <v>282</v>
      </c>
      <c r="B32" s="558"/>
      <c r="C32" s="558"/>
      <c r="D32" s="558"/>
      <c r="E32" s="558"/>
      <c r="F32" s="558"/>
      <c r="G32" s="558"/>
      <c r="H32" s="558"/>
      <c r="I32" s="558"/>
      <c r="J32" s="558"/>
      <c r="K32" s="558"/>
      <c r="L32" s="559"/>
    </row>
    <row r="33" spans="1:12" x14ac:dyDescent="0.25">
      <c r="A33" s="560"/>
      <c r="B33" s="480"/>
      <c r="C33" s="480"/>
      <c r="D33" s="480"/>
      <c r="E33" s="480"/>
      <c r="F33" s="480"/>
      <c r="G33" s="480"/>
      <c r="H33" s="480"/>
      <c r="I33" s="480"/>
      <c r="J33" s="480"/>
      <c r="K33" s="480"/>
      <c r="L33" s="561"/>
    </row>
    <row r="34" spans="1:12" x14ac:dyDescent="0.25">
      <c r="A34" s="560"/>
      <c r="B34" s="480"/>
      <c r="C34" s="480"/>
      <c r="D34" s="480"/>
      <c r="E34" s="480"/>
      <c r="F34" s="480"/>
      <c r="G34" s="480"/>
      <c r="H34" s="480"/>
      <c r="I34" s="480"/>
      <c r="J34" s="480"/>
      <c r="K34" s="480"/>
      <c r="L34" s="561"/>
    </row>
    <row r="35" spans="1:12" x14ac:dyDescent="0.25">
      <c r="A35" s="560"/>
      <c r="B35" s="480"/>
      <c r="C35" s="480"/>
      <c r="D35" s="480"/>
      <c r="E35" s="480"/>
      <c r="F35" s="480"/>
      <c r="G35" s="480"/>
      <c r="H35" s="480"/>
      <c r="I35" s="480"/>
      <c r="J35" s="480"/>
      <c r="K35" s="480"/>
      <c r="L35" s="561"/>
    </row>
    <row r="36" spans="1:12" ht="13" thickBot="1" x14ac:dyDescent="0.3">
      <c r="A36" s="562"/>
      <c r="B36" s="563"/>
      <c r="C36" s="563"/>
      <c r="D36" s="563"/>
      <c r="E36" s="563"/>
      <c r="F36" s="563"/>
      <c r="G36" s="563"/>
      <c r="H36" s="563"/>
      <c r="I36" s="563"/>
      <c r="J36" s="563"/>
      <c r="K36" s="563"/>
      <c r="L36" s="564"/>
    </row>
  </sheetData>
  <mergeCells count="35">
    <mergeCell ref="A32:L36"/>
    <mergeCell ref="A23:J23"/>
    <mergeCell ref="K23:L23"/>
    <mergeCell ref="A25:J25"/>
    <mergeCell ref="K25:L25"/>
    <mergeCell ref="A27:B30"/>
    <mergeCell ref="C27:C30"/>
    <mergeCell ref="D27:L30"/>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hyperlinks>
    <hyperlink ref="F2" r:id="rId1" xr:uid="{21ED518E-0C8D-4719-8439-68009D431178}"/>
    <hyperlink ref="F3" r:id="rId2" xr:uid="{1E2FE78B-04D5-44A5-961A-7183F75872FB}"/>
    <hyperlink ref="F4" r:id="rId3" xr:uid="{403F46F3-46DE-4544-A080-DC07934189DF}"/>
    <hyperlink ref="F5" r:id="rId4" xr:uid="{35977A45-E4F2-4176-9CDD-88C0E722DAA7}"/>
  </hyperlinks>
  <pageMargins left="0.511811024" right="0.511811024" top="0.78740157499999996" bottom="0.78740157499999996" header="0.31496062000000002" footer="0.31496062000000002"/>
  <pageSetup paperSize="9" orientation="landscape" verticalDpi="0" r:id="rId5"/>
  <drawing r:id="rId6"/>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81640625" customWidth="1"/>
  </cols>
  <sheetData>
    <row r="1" spans="1:4" x14ac:dyDescent="0.25">
      <c r="A1" t="s">
        <v>379</v>
      </c>
    </row>
    <row r="3" spans="1:4" ht="13" x14ac:dyDescent="0.3">
      <c r="A3" s="10" t="s">
        <v>380</v>
      </c>
      <c r="B3">
        <f>'Servente-Florianópolis'!I172/'Servente-Florianópolis'!I39</f>
        <v>4.695380737014121</v>
      </c>
    </row>
    <row r="5" spans="1:4" x14ac:dyDescent="0.25">
      <c r="A5" t="s">
        <v>381</v>
      </c>
    </row>
    <row r="7" spans="1:4" x14ac:dyDescent="0.25">
      <c r="A7" t="s">
        <v>382</v>
      </c>
    </row>
    <row r="9" spans="1:4" x14ac:dyDescent="0.25">
      <c r="A9" s="41">
        <v>2.2799999999999998</v>
      </c>
      <c r="B9" t="s">
        <v>383</v>
      </c>
      <c r="D9" s="162" t="s">
        <v>384</v>
      </c>
    </row>
    <row r="10" spans="1:4" x14ac:dyDescent="0.25">
      <c r="A10" s="41" t="s">
        <v>385</v>
      </c>
      <c r="B10" t="s">
        <v>386</v>
      </c>
      <c r="D10" t="s">
        <v>387</v>
      </c>
    </row>
    <row r="11" spans="1:4" x14ac:dyDescent="0.25">
      <c r="A11" s="41" t="s">
        <v>388</v>
      </c>
      <c r="B11" t="s">
        <v>389</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57" t="s">
        <v>390</v>
      </c>
      <c r="B1" s="458"/>
      <c r="C1" s="458"/>
      <c r="D1" s="458"/>
      <c r="E1" s="458"/>
      <c r="F1" s="458"/>
      <c r="G1" s="458"/>
      <c r="H1" s="458"/>
      <c r="I1" s="459"/>
    </row>
    <row r="2" spans="1:9" ht="13" x14ac:dyDescent="0.25">
      <c r="A2" s="38"/>
      <c r="B2" s="38"/>
      <c r="C2" s="38"/>
      <c r="D2" s="38"/>
      <c r="E2" s="38"/>
      <c r="F2" s="38"/>
      <c r="G2" s="38"/>
      <c r="H2" s="38"/>
      <c r="I2" s="38"/>
    </row>
    <row r="3" spans="1:9" ht="13" x14ac:dyDescent="0.25">
      <c r="A3" s="38" t="s">
        <v>391</v>
      </c>
      <c r="B3" s="38"/>
      <c r="C3" s="38"/>
      <c r="D3" s="38"/>
      <c r="E3" s="38"/>
      <c r="F3" s="38"/>
      <c r="G3" s="38"/>
      <c r="H3" s="38"/>
      <c r="I3" s="38"/>
    </row>
    <row r="4" spans="1:9" ht="15" customHeight="1" x14ac:dyDescent="0.25">
      <c r="A4" s="676" t="s">
        <v>392</v>
      </c>
      <c r="B4" s="676"/>
      <c r="C4" s="676"/>
      <c r="D4" s="676"/>
      <c r="E4" s="676"/>
      <c r="F4" s="676"/>
      <c r="G4" s="676"/>
      <c r="H4" s="676"/>
      <c r="I4" s="676"/>
    </row>
    <row r="5" spans="1:9" ht="15" customHeight="1" x14ac:dyDescent="0.25">
      <c r="A5" s="676" t="s">
        <v>393</v>
      </c>
      <c r="B5" s="676"/>
      <c r="C5" s="676"/>
      <c r="D5" s="676"/>
      <c r="E5" s="676"/>
      <c r="F5" s="676"/>
      <c r="G5" s="676"/>
      <c r="H5" s="676"/>
      <c r="I5" s="676"/>
    </row>
    <row r="6" spans="1:9" ht="15" customHeight="1" x14ac:dyDescent="0.25">
      <c r="A6" s="676" t="s">
        <v>394</v>
      </c>
      <c r="B6" s="676"/>
      <c r="C6" s="676"/>
      <c r="D6" s="676"/>
      <c r="E6" s="676"/>
      <c r="F6" s="676"/>
      <c r="G6" s="676"/>
      <c r="H6" s="676"/>
      <c r="I6" s="676"/>
    </row>
    <row r="7" spans="1:9" ht="15" customHeight="1" x14ac:dyDescent="0.25">
      <c r="A7" s="676"/>
      <c r="B7" s="676"/>
      <c r="C7" s="676"/>
      <c r="D7" s="676"/>
      <c r="E7" s="676"/>
      <c r="F7" s="676"/>
      <c r="G7" s="676"/>
      <c r="H7" s="676"/>
      <c r="I7" s="676"/>
    </row>
    <row r="8" spans="1:9" ht="27" customHeight="1" x14ac:dyDescent="0.25">
      <c r="A8" s="676" t="s">
        <v>395</v>
      </c>
      <c r="B8" s="676"/>
      <c r="C8" s="676"/>
      <c r="D8" s="676"/>
      <c r="E8" s="676"/>
      <c r="F8" s="676"/>
      <c r="G8" s="676"/>
      <c r="H8" s="676"/>
      <c r="I8" s="676"/>
    </row>
    <row r="9" spans="1:9" ht="15" customHeight="1" x14ac:dyDescent="0.25">
      <c r="A9" s="682" t="s">
        <v>396</v>
      </c>
      <c r="B9" s="682"/>
      <c r="C9" s="682"/>
      <c r="D9" s="682"/>
      <c r="E9" s="682"/>
      <c r="F9" s="682"/>
      <c r="G9" s="682"/>
      <c r="H9" s="682"/>
      <c r="I9" s="682"/>
    </row>
    <row r="10" spans="1:9" ht="15" customHeight="1" x14ac:dyDescent="0.25">
      <c r="A10" s="682"/>
      <c r="B10" s="682"/>
      <c r="C10" s="682"/>
      <c r="D10" s="682"/>
      <c r="E10" s="682"/>
      <c r="F10" s="682"/>
      <c r="G10" s="682"/>
      <c r="H10" s="682"/>
      <c r="I10" s="682"/>
    </row>
    <row r="11" spans="1:9" ht="30" customHeight="1" x14ac:dyDescent="0.25">
      <c r="A11" s="676" t="s">
        <v>397</v>
      </c>
      <c r="B11" s="676"/>
      <c r="C11" s="676"/>
      <c r="D11" s="676"/>
      <c r="E11" s="676"/>
      <c r="F11" s="676"/>
      <c r="G11" s="676"/>
      <c r="H11" s="676"/>
      <c r="I11" s="676"/>
    </row>
    <row r="12" spans="1:9" ht="30" customHeight="1" x14ac:dyDescent="0.25">
      <c r="A12" s="676" t="s">
        <v>398</v>
      </c>
      <c r="B12" s="676"/>
      <c r="C12" s="676"/>
      <c r="D12" s="676"/>
      <c r="E12" s="676"/>
      <c r="F12" s="676"/>
      <c r="G12" s="676"/>
      <c r="H12" s="676"/>
      <c r="I12" s="676"/>
    </row>
    <row r="13" spans="1:9" ht="30" customHeight="1" x14ac:dyDescent="0.25">
      <c r="A13" s="676" t="s">
        <v>399</v>
      </c>
      <c r="B13" s="676"/>
      <c r="C13" s="676"/>
      <c r="D13" s="676"/>
      <c r="E13" s="676"/>
      <c r="F13" s="676"/>
      <c r="G13" s="676"/>
      <c r="H13" s="676"/>
      <c r="I13" s="676"/>
    </row>
    <row r="14" spans="1:9" ht="30" customHeight="1" x14ac:dyDescent="0.25">
      <c r="A14" s="676" t="s">
        <v>400</v>
      </c>
      <c r="B14" s="676"/>
      <c r="C14" s="676"/>
      <c r="D14" s="676"/>
      <c r="E14" s="676"/>
      <c r="F14" s="676"/>
      <c r="G14" s="676"/>
      <c r="H14" s="676"/>
      <c r="I14" s="676"/>
    </row>
    <row r="15" spans="1:9" ht="30" customHeight="1" x14ac:dyDescent="0.25">
      <c r="A15" s="677" t="s">
        <v>401</v>
      </c>
      <c r="B15" s="677"/>
      <c r="C15" s="677"/>
      <c r="D15" s="677"/>
      <c r="E15" s="677"/>
      <c r="F15" s="677"/>
      <c r="G15" s="677"/>
      <c r="H15" s="677"/>
      <c r="I15" s="677"/>
    </row>
    <row r="16" spans="1:9" ht="12.75" customHeight="1" thickBot="1" x14ac:dyDescent="0.3">
      <c r="A16" s="677"/>
      <c r="B16" s="677"/>
      <c r="C16" s="677"/>
      <c r="D16" s="677"/>
      <c r="E16" s="677"/>
      <c r="F16" s="677"/>
      <c r="G16" s="677"/>
      <c r="H16" s="677"/>
      <c r="I16" s="677"/>
    </row>
    <row r="17" spans="1:9" ht="13.5" thickBot="1" x14ac:dyDescent="0.3">
      <c r="A17" s="683" t="s">
        <v>402</v>
      </c>
      <c r="B17" s="684"/>
      <c r="C17" s="684"/>
      <c r="D17" s="684"/>
      <c r="E17" s="684"/>
      <c r="F17" s="684"/>
      <c r="G17" s="684"/>
      <c r="H17" s="684"/>
      <c r="I17" s="685"/>
    </row>
    <row r="19" spans="1:9" ht="13" x14ac:dyDescent="0.3">
      <c r="A19" s="451" t="s">
        <v>104</v>
      </c>
      <c r="B19" s="451"/>
      <c r="C19" s="451"/>
      <c r="D19" s="451"/>
      <c r="E19" s="451"/>
      <c r="F19" s="451"/>
      <c r="G19" s="451"/>
      <c r="H19" s="451"/>
      <c r="I19" s="451"/>
    </row>
    <row r="20" spans="1:9" ht="13" x14ac:dyDescent="0.3">
      <c r="A20" s="47" t="s">
        <v>105</v>
      </c>
      <c r="B20" s="446" t="s">
        <v>106</v>
      </c>
      <c r="C20" s="447"/>
      <c r="D20" s="447"/>
      <c r="E20" s="447"/>
      <c r="F20" s="447"/>
      <c r="G20" s="447"/>
      <c r="H20" s="448"/>
      <c r="I20" s="8" t="s">
        <v>90</v>
      </c>
    </row>
    <row r="21" spans="1:9" ht="24.75" customHeight="1" x14ac:dyDescent="0.25">
      <c r="A21" s="47" t="s">
        <v>50</v>
      </c>
      <c r="B21" s="678" t="s">
        <v>403</v>
      </c>
      <c r="C21" s="476"/>
      <c r="D21" s="476"/>
      <c r="E21" s="476"/>
      <c r="F21" s="476"/>
      <c r="G21" s="476"/>
      <c r="H21" s="477"/>
      <c r="I21" s="163">
        <f>1/12</f>
        <v>8.3333333333333329E-2</v>
      </c>
    </row>
    <row r="22" spans="1:9" ht="24.75" customHeight="1" x14ac:dyDescent="0.3">
      <c r="A22" s="8" t="s">
        <v>51</v>
      </c>
      <c r="B22" s="678" t="s">
        <v>404</v>
      </c>
      <c r="C22" s="679"/>
      <c r="D22" s="679"/>
      <c r="E22" s="679"/>
      <c r="F22" s="679"/>
      <c r="G22" s="679"/>
      <c r="H22" s="680"/>
      <c r="I22" s="24">
        <v>0.121</v>
      </c>
    </row>
    <row r="23" spans="1:9" ht="13" x14ac:dyDescent="0.3">
      <c r="A23" s="445" t="s">
        <v>109</v>
      </c>
      <c r="B23" s="445"/>
      <c r="C23" s="445"/>
      <c r="D23" s="445"/>
      <c r="E23" s="445"/>
      <c r="F23" s="445"/>
      <c r="G23" s="445"/>
      <c r="H23" s="42"/>
      <c r="I23" s="42">
        <f>TRUNC(SUM(I21:I22),4)</f>
        <v>0.20430000000000001</v>
      </c>
    </row>
    <row r="24" spans="1:9" ht="37.5" customHeight="1" x14ac:dyDescent="0.25">
      <c r="A24" s="47" t="s">
        <v>52</v>
      </c>
      <c r="B24" s="678" t="s">
        <v>405</v>
      </c>
      <c r="C24" s="679"/>
      <c r="D24" s="679"/>
      <c r="E24" s="679"/>
      <c r="F24" s="679"/>
      <c r="G24" s="679"/>
      <c r="H24" s="680"/>
      <c r="I24" s="163">
        <v>7.8200000000000006E-2</v>
      </c>
    </row>
    <row r="25" spans="1:9" ht="13" x14ac:dyDescent="0.3">
      <c r="A25" s="445" t="s">
        <v>111</v>
      </c>
      <c r="B25" s="445"/>
      <c r="C25" s="445"/>
      <c r="D25" s="445"/>
      <c r="E25" s="445"/>
      <c r="F25" s="445"/>
      <c r="G25" s="445"/>
      <c r="H25" s="42"/>
      <c r="I25" s="42">
        <f>TRUNC(SUM(I23:I24),4)</f>
        <v>0.28249999999999997</v>
      </c>
    </row>
    <row r="26" spans="1:9" ht="13" x14ac:dyDescent="0.3">
      <c r="A26" s="171" t="s">
        <v>406</v>
      </c>
      <c r="B26" s="8"/>
      <c r="C26" s="8"/>
      <c r="D26" s="8"/>
      <c r="E26" s="8"/>
      <c r="F26" s="8"/>
      <c r="G26" s="8"/>
      <c r="H26" s="170"/>
      <c r="I26" s="170"/>
    </row>
    <row r="27" spans="1:9" s="10" customFormat="1" ht="13" x14ac:dyDescent="0.3">
      <c r="A27" s="37"/>
    </row>
    <row r="28" spans="1:9" s="10" customFormat="1" ht="13" x14ac:dyDescent="0.3">
      <c r="A28" s="37"/>
    </row>
    <row r="29" spans="1:9" ht="13" x14ac:dyDescent="0.3">
      <c r="A29" s="3"/>
      <c r="B29" s="3"/>
      <c r="C29" s="3"/>
      <c r="D29" s="3"/>
      <c r="E29" s="3"/>
      <c r="F29" s="3"/>
      <c r="G29" s="3"/>
      <c r="H29" s="3"/>
      <c r="I29" s="4"/>
    </row>
    <row r="30" spans="1:9" s="10" customFormat="1" ht="13" x14ac:dyDescent="0.3">
      <c r="A30" s="451" t="s">
        <v>153</v>
      </c>
      <c r="B30" s="451"/>
      <c r="C30" s="451"/>
      <c r="D30" s="451"/>
      <c r="E30" s="451"/>
      <c r="F30" s="451"/>
      <c r="G30" s="451"/>
      <c r="H30" s="451"/>
      <c r="I30" s="451"/>
    </row>
    <row r="31" spans="1:9" ht="13" x14ac:dyDescent="0.3">
      <c r="A31" s="8">
        <v>3</v>
      </c>
      <c r="B31" s="405" t="s">
        <v>154</v>
      </c>
      <c r="C31" s="405"/>
      <c r="D31" s="405"/>
      <c r="E31" s="405"/>
      <c r="F31" s="405"/>
      <c r="G31" s="405"/>
      <c r="H31" s="8" t="s">
        <v>90</v>
      </c>
      <c r="I31" s="8" t="s">
        <v>49</v>
      </c>
    </row>
    <row r="32" spans="1:9" ht="13" x14ac:dyDescent="0.3">
      <c r="A32" s="8" t="s">
        <v>50</v>
      </c>
      <c r="B32" s="406" t="s">
        <v>155</v>
      </c>
      <c r="C32" s="406"/>
      <c r="D32" s="406"/>
      <c r="E32" s="406"/>
      <c r="F32" s="406"/>
      <c r="G32" s="406"/>
      <c r="H32" s="1">
        <v>4.1999999999999997E-3</v>
      </c>
      <c r="I32" s="25"/>
    </row>
    <row r="33" spans="1:11" ht="13" x14ac:dyDescent="0.25">
      <c r="A33" s="47" t="s">
        <v>51</v>
      </c>
      <c r="B33" s="449" t="s">
        <v>156</v>
      </c>
      <c r="C33" s="449"/>
      <c r="D33" s="449"/>
      <c r="E33" s="449"/>
      <c r="F33" s="449"/>
      <c r="G33" s="449"/>
      <c r="H33" s="163">
        <v>0.08</v>
      </c>
      <c r="I33" s="164"/>
    </row>
    <row r="34" spans="1:11" ht="39" customHeight="1" x14ac:dyDescent="0.25">
      <c r="A34" s="47" t="s">
        <v>52</v>
      </c>
      <c r="B34" s="449" t="s">
        <v>407</v>
      </c>
      <c r="C34" s="449"/>
      <c r="D34" s="449"/>
      <c r="E34" s="449"/>
      <c r="F34" s="449"/>
      <c r="G34" s="449"/>
      <c r="H34" s="163">
        <v>2E-3</v>
      </c>
      <c r="I34" s="164"/>
      <c r="K34" s="87"/>
    </row>
    <row r="35" spans="1:11" ht="13" x14ac:dyDescent="0.3">
      <c r="A35" s="8" t="s">
        <v>63</v>
      </c>
      <c r="B35" s="406" t="s">
        <v>158</v>
      </c>
      <c r="C35" s="406"/>
      <c r="D35" s="406"/>
      <c r="E35" s="406"/>
      <c r="F35" s="406"/>
      <c r="G35" s="406"/>
      <c r="H35" s="1">
        <v>1.9400000000000001E-2</v>
      </c>
      <c r="I35" s="25"/>
    </row>
    <row r="36" spans="1:11" ht="13" x14ac:dyDescent="0.3">
      <c r="A36" s="8" t="s">
        <v>97</v>
      </c>
      <c r="B36" s="466" t="s">
        <v>159</v>
      </c>
      <c r="C36" s="466"/>
      <c r="D36" s="466"/>
      <c r="E36" s="466"/>
      <c r="F36" s="466"/>
      <c r="G36" s="466"/>
      <c r="H36" s="24">
        <v>0.36799999999999999</v>
      </c>
      <c r="I36" s="25"/>
    </row>
    <row r="37" spans="1:11" ht="37.5" customHeight="1" x14ac:dyDescent="0.25">
      <c r="A37" s="47" t="s">
        <v>99</v>
      </c>
      <c r="B37" s="449" t="s">
        <v>408</v>
      </c>
      <c r="C37" s="449"/>
      <c r="D37" s="449"/>
      <c r="E37" s="449"/>
      <c r="F37" s="449"/>
      <c r="G37" s="449"/>
      <c r="H37" s="163">
        <v>3.7999999999999999E-2</v>
      </c>
      <c r="I37" s="164"/>
    </row>
    <row r="38" spans="1:11" ht="13" x14ac:dyDescent="0.3">
      <c r="A38" s="450" t="s">
        <v>161</v>
      </c>
      <c r="B38" s="450"/>
      <c r="C38" s="450"/>
      <c r="D38" s="450"/>
      <c r="E38" s="450"/>
      <c r="F38" s="450"/>
      <c r="G38" s="450"/>
      <c r="H38" s="42"/>
      <c r="I38" s="129"/>
    </row>
    <row r="39" spans="1:11" ht="13" x14ac:dyDescent="0.3">
      <c r="A39" s="3"/>
      <c r="B39" s="3"/>
      <c r="C39" s="3"/>
      <c r="D39" s="3"/>
      <c r="E39" s="3"/>
      <c r="F39" s="3"/>
      <c r="G39" s="3"/>
      <c r="H39" s="44"/>
      <c r="I39" s="4"/>
    </row>
    <row r="40" spans="1:11" ht="13" x14ac:dyDescent="0.3">
      <c r="A40" s="665" t="s">
        <v>409</v>
      </c>
      <c r="B40" s="10" t="s">
        <v>410</v>
      </c>
      <c r="C40" s="3"/>
      <c r="D40" s="3"/>
      <c r="E40" s="3"/>
      <c r="F40" s="3"/>
      <c r="G40" s="3"/>
      <c r="H40" s="44"/>
      <c r="I40" s="4"/>
    </row>
    <row r="41" spans="1:11" ht="13" x14ac:dyDescent="0.3">
      <c r="A41" s="665"/>
      <c r="B41" s="172" t="s">
        <v>411</v>
      </c>
      <c r="C41" s="3"/>
      <c r="D41" s="3"/>
      <c r="E41" s="3"/>
      <c r="F41" s="3"/>
      <c r="G41" s="3"/>
      <c r="H41" s="44"/>
      <c r="I41" s="4"/>
    </row>
    <row r="42" spans="1:11" ht="13" x14ac:dyDescent="0.3">
      <c r="A42" s="665"/>
      <c r="B42" t="s">
        <v>412</v>
      </c>
      <c r="C42" s="3"/>
      <c r="D42" s="3"/>
      <c r="E42" s="3"/>
      <c r="F42" s="3"/>
      <c r="G42" s="3"/>
      <c r="H42" s="44"/>
      <c r="I42" s="4"/>
    </row>
    <row r="43" spans="1:11" ht="13" x14ac:dyDescent="0.3">
      <c r="A43" s="665"/>
      <c r="B43" s="172" t="s">
        <v>413</v>
      </c>
      <c r="C43" s="3"/>
      <c r="D43" s="3"/>
      <c r="E43" s="3"/>
      <c r="F43" s="3"/>
      <c r="G43" s="3"/>
      <c r="H43" s="44"/>
      <c r="I43" s="4"/>
    </row>
    <row r="44" spans="1:11" ht="13" x14ac:dyDescent="0.3">
      <c r="A44" s="665"/>
      <c r="B44" s="172" t="s">
        <v>414</v>
      </c>
      <c r="C44" s="3"/>
      <c r="D44" s="3"/>
      <c r="E44" s="3"/>
      <c r="F44" s="3"/>
      <c r="G44" s="3"/>
      <c r="H44" s="44"/>
      <c r="I44" s="4"/>
    </row>
    <row r="45" spans="1:11" ht="13" x14ac:dyDescent="0.3">
      <c r="A45" s="665"/>
      <c r="B45" s="172" t="s">
        <v>415</v>
      </c>
      <c r="C45" s="3"/>
      <c r="D45" s="3"/>
      <c r="E45" s="3"/>
      <c r="F45" s="3"/>
      <c r="G45" s="3"/>
      <c r="H45" s="44"/>
      <c r="I45" s="4"/>
    </row>
    <row r="46" spans="1:11" ht="13" x14ac:dyDescent="0.3">
      <c r="A46" s="665"/>
      <c r="B46" s="173" t="s">
        <v>416</v>
      </c>
      <c r="C46" s="3"/>
      <c r="D46" s="3"/>
      <c r="E46" s="3"/>
      <c r="F46" s="3"/>
      <c r="G46" s="3"/>
      <c r="H46" s="44"/>
      <c r="I46" s="4"/>
    </row>
    <row r="47" spans="1:11" ht="13" x14ac:dyDescent="0.3">
      <c r="A47" s="3"/>
      <c r="C47" s="3"/>
      <c r="D47" s="3"/>
      <c r="E47" s="3"/>
      <c r="F47" s="3"/>
      <c r="G47" s="3"/>
      <c r="H47" s="44"/>
      <c r="I47" s="4"/>
    </row>
    <row r="48" spans="1:11" ht="13" x14ac:dyDescent="0.3">
      <c r="A48" s="665" t="s">
        <v>417</v>
      </c>
      <c r="B48" s="172" t="s">
        <v>418</v>
      </c>
      <c r="C48" s="3"/>
      <c r="D48" s="3"/>
      <c r="E48" s="3"/>
      <c r="F48" s="3"/>
      <c r="G48" s="3"/>
      <c r="H48" s="44"/>
      <c r="I48" s="4"/>
    </row>
    <row r="49" spans="1:10" ht="13" x14ac:dyDescent="0.3">
      <c r="A49" s="665"/>
      <c r="B49" s="172" t="s">
        <v>419</v>
      </c>
      <c r="C49" s="3"/>
      <c r="D49" s="3"/>
      <c r="E49" s="3"/>
      <c r="F49" s="3"/>
      <c r="G49" s="3"/>
      <c r="H49" s="44"/>
      <c r="I49" s="4"/>
    </row>
    <row r="50" spans="1:10" ht="13" x14ac:dyDescent="0.3">
      <c r="A50" s="3"/>
      <c r="B50" s="173"/>
      <c r="C50" s="3"/>
      <c r="D50" s="3"/>
      <c r="E50" s="3"/>
      <c r="F50" s="3"/>
      <c r="G50" s="3"/>
      <c r="H50" s="44"/>
      <c r="I50" s="4"/>
    </row>
    <row r="51" spans="1:10" ht="27" customHeight="1" x14ac:dyDescent="0.25">
      <c r="A51" s="665" t="s">
        <v>420</v>
      </c>
      <c r="B51" s="681" t="s">
        <v>421</v>
      </c>
      <c r="C51" s="681"/>
      <c r="D51" s="681"/>
      <c r="E51" s="681"/>
      <c r="F51" s="681"/>
      <c r="G51" s="681"/>
      <c r="H51" s="681"/>
      <c r="I51" s="681"/>
    </row>
    <row r="52" spans="1:10" ht="13" x14ac:dyDescent="0.3">
      <c r="A52" s="665"/>
      <c r="B52" s="172" t="s">
        <v>422</v>
      </c>
      <c r="C52" s="3"/>
      <c r="D52" s="3"/>
      <c r="E52" s="3"/>
      <c r="F52" s="3"/>
      <c r="G52" s="3"/>
      <c r="H52" s="44"/>
      <c r="I52" s="4"/>
    </row>
    <row r="53" spans="1:10" ht="13" x14ac:dyDescent="0.3">
      <c r="A53" s="3"/>
      <c r="B53" s="173"/>
      <c r="C53" s="3"/>
      <c r="D53" s="3"/>
      <c r="E53" s="3"/>
      <c r="F53" s="3"/>
      <c r="G53" s="3"/>
      <c r="H53" s="44"/>
      <c r="I53" s="4"/>
    </row>
    <row r="54" spans="1:10" ht="13" x14ac:dyDescent="0.3">
      <c r="A54" s="3" t="s">
        <v>423</v>
      </c>
      <c r="B54" s="86" t="s">
        <v>310</v>
      </c>
      <c r="C54" s="3"/>
      <c r="D54" s="3"/>
      <c r="E54" s="3"/>
      <c r="F54" s="3"/>
      <c r="G54" s="3"/>
      <c r="H54" s="44"/>
      <c r="I54" s="4"/>
    </row>
    <row r="56" spans="1:10" ht="12.75" customHeight="1" x14ac:dyDescent="0.25">
      <c r="A56" s="480" t="s">
        <v>311</v>
      </c>
      <c r="B56" s="480"/>
      <c r="C56" s="480"/>
      <c r="D56" s="480"/>
      <c r="E56" s="480"/>
      <c r="F56" s="480"/>
      <c r="G56" s="480"/>
      <c r="H56" s="480"/>
      <c r="I56" s="480"/>
      <c r="J56" s="480"/>
    </row>
    <row r="57" spans="1:10" x14ac:dyDescent="0.25">
      <c r="A57" s="480"/>
      <c r="B57" s="480"/>
      <c r="C57" s="480"/>
      <c r="D57" s="480"/>
      <c r="E57" s="480"/>
      <c r="F57" s="480"/>
      <c r="G57" s="480"/>
      <c r="H57" s="480"/>
      <c r="I57" s="480"/>
      <c r="J57" s="480"/>
    </row>
    <row r="58" spans="1:10" x14ac:dyDescent="0.25">
      <c r="A58" s="480"/>
      <c r="B58" s="480"/>
      <c r="C58" s="480"/>
      <c r="D58" s="480"/>
      <c r="E58" s="480"/>
      <c r="F58" s="480"/>
      <c r="G58" s="480"/>
      <c r="H58" s="480"/>
      <c r="I58" s="480"/>
      <c r="J58" s="480"/>
    </row>
    <row r="59" spans="1:10" x14ac:dyDescent="0.25">
      <c r="A59" s="480"/>
      <c r="B59" s="480"/>
      <c r="C59" s="480"/>
      <c r="D59" s="480"/>
      <c r="E59" s="480"/>
      <c r="F59" s="480"/>
      <c r="G59" s="480"/>
      <c r="H59" s="480"/>
      <c r="I59" s="480"/>
      <c r="J59" s="480"/>
    </row>
    <row r="60" spans="1:10" x14ac:dyDescent="0.25">
      <c r="A60" s="480"/>
      <c r="B60" s="480"/>
      <c r="C60" s="480"/>
      <c r="D60" s="480"/>
      <c r="E60" s="480"/>
      <c r="F60" s="480"/>
      <c r="G60" s="480"/>
      <c r="H60" s="480"/>
      <c r="I60" s="480"/>
      <c r="J60" s="480"/>
    </row>
    <row r="61" spans="1:10" x14ac:dyDescent="0.25">
      <c r="A61" s="165"/>
      <c r="B61" s="165"/>
      <c r="C61" s="165"/>
      <c r="D61" s="165"/>
      <c r="E61" s="165"/>
      <c r="F61" s="165"/>
      <c r="G61" s="165"/>
      <c r="H61" s="165"/>
      <c r="I61" s="165"/>
      <c r="J61" s="165"/>
    </row>
    <row r="62" spans="1:10" ht="13" x14ac:dyDescent="0.3">
      <c r="A62" s="665" t="s">
        <v>424</v>
      </c>
      <c r="B62" s="172" t="s">
        <v>425</v>
      </c>
      <c r="C62" s="3"/>
      <c r="D62" s="3"/>
      <c r="E62" s="3"/>
      <c r="F62" s="3"/>
      <c r="G62" s="165"/>
      <c r="H62" s="165"/>
      <c r="I62" s="165"/>
      <c r="J62" s="165"/>
    </row>
    <row r="63" spans="1:10" ht="13" x14ac:dyDescent="0.3">
      <c r="A63" s="665"/>
      <c r="B63" s="172" t="s">
        <v>426</v>
      </c>
      <c r="C63" s="3"/>
      <c r="D63" s="3"/>
      <c r="E63" s="3"/>
      <c r="F63" s="3"/>
      <c r="G63" s="165"/>
      <c r="H63" s="165"/>
      <c r="I63" s="165"/>
      <c r="J63" s="165"/>
    </row>
    <row r="64" spans="1:10" x14ac:dyDescent="0.25">
      <c r="A64" s="165"/>
      <c r="B64" s="165"/>
      <c r="C64" s="165"/>
      <c r="D64" s="165"/>
      <c r="E64" s="165"/>
      <c r="F64" s="165"/>
      <c r="G64" s="165"/>
      <c r="H64" s="165"/>
      <c r="I64" s="165"/>
      <c r="J64" s="165"/>
    </row>
    <row r="65" spans="1:10" x14ac:dyDescent="0.25">
      <c r="A65" s="665" t="s">
        <v>427</v>
      </c>
      <c r="B65" s="681" t="s">
        <v>421</v>
      </c>
      <c r="C65" s="681"/>
      <c r="D65" s="681"/>
      <c r="E65" s="681"/>
      <c r="F65" s="681"/>
      <c r="G65" s="681"/>
      <c r="H65" s="681"/>
      <c r="I65" s="681"/>
      <c r="J65" s="165"/>
    </row>
    <row r="66" spans="1:10" ht="13" x14ac:dyDescent="0.3">
      <c r="A66" s="665"/>
      <c r="B66" s="172" t="s">
        <v>428</v>
      </c>
      <c r="C66" s="3"/>
      <c r="D66" s="3"/>
      <c r="E66" s="3"/>
      <c r="F66" s="3"/>
      <c r="G66" s="3"/>
      <c r="H66" s="44"/>
      <c r="I66" s="4"/>
      <c r="J66" s="165"/>
    </row>
    <row r="67" spans="1:10" x14ac:dyDescent="0.25">
      <c r="A67" s="165"/>
      <c r="B67" s="165"/>
      <c r="C67" s="165"/>
      <c r="D67" s="165"/>
      <c r="E67" s="165"/>
      <c r="F67" s="165"/>
      <c r="G67" s="165"/>
      <c r="H67" s="165"/>
      <c r="I67" s="165"/>
      <c r="J67" s="165"/>
    </row>
    <row r="68" spans="1:10" x14ac:dyDescent="0.25">
      <c r="A68" s="165"/>
      <c r="B68" s="165"/>
      <c r="C68" s="165"/>
      <c r="D68" s="165"/>
      <c r="E68" s="165"/>
      <c r="F68" s="165"/>
      <c r="G68" s="165"/>
      <c r="H68" s="165"/>
      <c r="I68" s="165"/>
      <c r="J68" s="165"/>
    </row>
    <row r="69" spans="1:10" ht="13" x14ac:dyDescent="0.3">
      <c r="A69" s="49" t="s">
        <v>165</v>
      </c>
      <c r="B69" s="445" t="s">
        <v>166</v>
      </c>
      <c r="C69" s="445"/>
      <c r="D69" s="445"/>
      <c r="E69" s="445"/>
      <c r="F69" s="445"/>
      <c r="G69" s="445"/>
      <c r="H69" s="34" t="s">
        <v>90</v>
      </c>
      <c r="I69" s="34" t="s">
        <v>49</v>
      </c>
      <c r="J69" s="165"/>
    </row>
    <row r="70" spans="1:10" ht="13" x14ac:dyDescent="0.3">
      <c r="A70" s="49" t="s">
        <v>50</v>
      </c>
      <c r="B70" s="406" t="s">
        <v>167</v>
      </c>
      <c r="C70" s="406"/>
      <c r="D70" s="406"/>
      <c r="E70" s="406"/>
      <c r="F70" s="406"/>
      <c r="G70" s="406"/>
      <c r="H70" s="43"/>
      <c r="I70" s="43"/>
      <c r="J70" s="165"/>
    </row>
    <row r="71" spans="1:10" ht="24" customHeight="1" x14ac:dyDescent="0.25">
      <c r="A71" s="56" t="s">
        <v>51</v>
      </c>
      <c r="B71" s="378" t="s">
        <v>429</v>
      </c>
      <c r="C71" s="378"/>
      <c r="D71" s="378"/>
      <c r="E71" s="378"/>
      <c r="F71" s="378"/>
      <c r="G71" s="378"/>
      <c r="H71" s="174">
        <v>1.67E-2</v>
      </c>
      <c r="I71" s="164">
        <f>H71*$I$45</f>
        <v>0</v>
      </c>
      <c r="J71" s="165"/>
    </row>
    <row r="72" spans="1:10" ht="36" customHeight="1" x14ac:dyDescent="0.25">
      <c r="A72" s="56" t="s">
        <v>52</v>
      </c>
      <c r="B72" s="690" t="s">
        <v>430</v>
      </c>
      <c r="C72" s="690"/>
      <c r="D72" s="690"/>
      <c r="E72" s="690"/>
      <c r="F72" s="690"/>
      <c r="G72" s="690"/>
      <c r="H72" s="174">
        <v>2.0000000000000001E-4</v>
      </c>
      <c r="I72" s="164">
        <f>H72*$I$45</f>
        <v>0</v>
      </c>
      <c r="J72" s="165"/>
    </row>
    <row r="73" spans="1:10" ht="42.75" customHeight="1" x14ac:dyDescent="0.25">
      <c r="A73" s="56" t="s">
        <v>63</v>
      </c>
      <c r="B73" s="690" t="s">
        <v>431</v>
      </c>
      <c r="C73" s="690"/>
      <c r="D73" s="690"/>
      <c r="E73" s="690"/>
      <c r="F73" s="690"/>
      <c r="G73" s="690"/>
      <c r="H73" s="163">
        <v>6.9999999999999999E-4</v>
      </c>
      <c r="I73" s="164">
        <f>H73*$I$45</f>
        <v>0</v>
      </c>
      <c r="J73" s="165"/>
    </row>
    <row r="74" spans="1:10" ht="35.25" customHeight="1" x14ac:dyDescent="0.25">
      <c r="A74" s="47" t="s">
        <v>97</v>
      </c>
      <c r="B74" s="690" t="s">
        <v>432</v>
      </c>
      <c r="C74" s="690"/>
      <c r="D74" s="690"/>
      <c r="E74" s="690"/>
      <c r="F74" s="690"/>
      <c r="G74" s="690"/>
      <c r="H74" s="174">
        <v>2.8999999999999998E-3</v>
      </c>
      <c r="I74" s="164">
        <f>H74*$I$45</f>
        <v>0</v>
      </c>
      <c r="J74" s="165"/>
    </row>
    <row r="75" spans="1:10" ht="13" x14ac:dyDescent="0.3">
      <c r="A75" s="8" t="s">
        <v>99</v>
      </c>
      <c r="B75" s="406" t="s">
        <v>173</v>
      </c>
      <c r="C75" s="406"/>
      <c r="D75" s="406"/>
      <c r="E75" s="406"/>
      <c r="F75" s="406"/>
      <c r="G75" s="406"/>
      <c r="H75" s="175"/>
      <c r="I75" s="25">
        <f t="shared" ref="I75" si="0">H75*$I$45</f>
        <v>0</v>
      </c>
      <c r="J75" s="165"/>
    </row>
    <row r="76" spans="1:10" ht="13" x14ac:dyDescent="0.3">
      <c r="A76" s="445" t="s">
        <v>174</v>
      </c>
      <c r="B76" s="445"/>
      <c r="C76" s="445"/>
      <c r="D76" s="445"/>
      <c r="E76" s="445"/>
      <c r="F76" s="445"/>
      <c r="G76" s="445"/>
      <c r="H76" s="42"/>
      <c r="I76" s="43">
        <f>SUM(I71:I75)</f>
        <v>0</v>
      </c>
      <c r="J76" s="165"/>
    </row>
    <row r="77" spans="1:10" ht="13" x14ac:dyDescent="0.3">
      <c r="A77" s="8" t="s">
        <v>126</v>
      </c>
      <c r="B77" s="406" t="s">
        <v>175</v>
      </c>
      <c r="C77" s="406"/>
      <c r="D77" s="406"/>
      <c r="E77" s="406"/>
      <c r="F77" s="406"/>
      <c r="G77" s="406"/>
      <c r="H77" s="1">
        <v>0.36799999999999999</v>
      </c>
      <c r="I77" s="25">
        <f>I76*H77</f>
        <v>0</v>
      </c>
      <c r="J77" s="165"/>
    </row>
    <row r="78" spans="1:10" ht="13" x14ac:dyDescent="0.3">
      <c r="A78" s="445" t="s">
        <v>176</v>
      </c>
      <c r="B78" s="445"/>
      <c r="C78" s="445"/>
      <c r="D78" s="445"/>
      <c r="E78" s="445"/>
      <c r="F78" s="445"/>
      <c r="G78" s="445"/>
      <c r="H78" s="42"/>
      <c r="I78" s="43">
        <f>SUM(I76:I77)</f>
        <v>0</v>
      </c>
    </row>
    <row r="79" spans="1:10" ht="13" x14ac:dyDescent="0.3">
      <c r="A79" s="8"/>
      <c r="B79" s="456"/>
      <c r="C79" s="456"/>
      <c r="D79" s="456"/>
      <c r="E79" s="456"/>
      <c r="F79" s="456"/>
      <c r="G79" s="456"/>
      <c r="H79" s="456"/>
      <c r="I79" s="25"/>
    </row>
    <row r="80" spans="1:10" ht="13" x14ac:dyDescent="0.3">
      <c r="A80" s="3"/>
      <c r="B80" s="37"/>
      <c r="C80" s="37"/>
      <c r="D80" s="37"/>
      <c r="E80" s="37"/>
      <c r="F80" s="37"/>
      <c r="G80" s="37"/>
      <c r="H80" s="37"/>
      <c r="I80" s="7"/>
    </row>
    <row r="81" spans="1:9" x14ac:dyDescent="0.25">
      <c r="A81" s="686" t="s">
        <v>433</v>
      </c>
      <c r="B81" s="686"/>
      <c r="C81" s="686"/>
      <c r="D81" s="686"/>
      <c r="E81" s="686"/>
      <c r="F81" s="686"/>
      <c r="G81" s="686"/>
      <c r="H81" s="686"/>
      <c r="I81" s="686"/>
    </row>
    <row r="82" spans="1:9" x14ac:dyDescent="0.25">
      <c r="A82" s="686"/>
      <c r="B82" s="686"/>
      <c r="C82" s="686"/>
      <c r="D82" s="686"/>
      <c r="E82" s="686"/>
      <c r="F82" s="686"/>
      <c r="G82" s="686"/>
      <c r="H82" s="686"/>
      <c r="I82" s="686"/>
    </row>
    <row r="83" spans="1:9" x14ac:dyDescent="0.25">
      <c r="A83" s="686"/>
      <c r="B83" s="686"/>
      <c r="C83" s="686"/>
      <c r="D83" s="686"/>
      <c r="E83" s="686"/>
      <c r="F83" s="686"/>
      <c r="G83" s="686"/>
      <c r="H83" s="686"/>
      <c r="I83" s="686"/>
    </row>
    <row r="84" spans="1:9" x14ac:dyDescent="0.25">
      <c r="A84" s="686"/>
      <c r="B84" s="686"/>
      <c r="C84" s="686"/>
      <c r="D84" s="686"/>
      <c r="E84" s="686"/>
      <c r="F84" s="686"/>
      <c r="G84" s="686"/>
      <c r="H84" s="686"/>
      <c r="I84" s="686"/>
    </row>
    <row r="85" spans="1:9" x14ac:dyDescent="0.25">
      <c r="A85" s="686"/>
      <c r="B85" s="686"/>
      <c r="C85" s="686"/>
      <c r="D85" s="686"/>
      <c r="E85" s="686"/>
      <c r="F85" s="686"/>
      <c r="G85" s="686"/>
      <c r="H85" s="686"/>
      <c r="I85" s="686"/>
    </row>
    <row r="86" spans="1:9" ht="13" x14ac:dyDescent="0.3">
      <c r="A86" s="252"/>
      <c r="B86" s="252"/>
      <c r="C86" s="252"/>
      <c r="D86" s="252"/>
      <c r="E86" s="252"/>
      <c r="F86" s="252"/>
      <c r="G86" s="252"/>
      <c r="H86" s="252"/>
      <c r="I86" s="252"/>
    </row>
    <row r="87" spans="1:9" ht="16" thickBot="1" x14ac:dyDescent="0.35">
      <c r="A87" s="251"/>
      <c r="D87" s="252"/>
      <c r="E87" s="252"/>
      <c r="F87" s="252"/>
      <c r="G87" s="252"/>
      <c r="H87" s="252"/>
      <c r="I87" s="252"/>
    </row>
    <row r="88" spans="1:9" ht="26.5" thickBot="1" x14ac:dyDescent="0.35">
      <c r="A88" s="183" t="s">
        <v>247</v>
      </c>
      <c r="B88" s="184" t="s">
        <v>434</v>
      </c>
      <c r="C88" s="184" t="s">
        <v>435</v>
      </c>
      <c r="D88" s="252"/>
      <c r="E88" s="252"/>
      <c r="F88" s="252"/>
      <c r="G88" s="252"/>
      <c r="H88" s="252"/>
      <c r="I88" s="252"/>
    </row>
    <row r="89" spans="1:9" ht="13.5" thickBot="1" x14ac:dyDescent="0.35">
      <c r="A89" s="185" t="s">
        <v>346</v>
      </c>
      <c r="B89" s="186">
        <v>8.3299999999999999E-2</v>
      </c>
      <c r="C89" s="186">
        <v>6.9410000000000001E-3</v>
      </c>
      <c r="D89" s="252"/>
      <c r="E89" s="252"/>
      <c r="F89" s="252"/>
      <c r="G89" s="252"/>
      <c r="H89" s="252"/>
      <c r="I89" s="252"/>
    </row>
    <row r="90" spans="1:9" ht="38" thickBot="1" x14ac:dyDescent="0.35">
      <c r="A90" s="185" t="s">
        <v>436</v>
      </c>
      <c r="B90" s="186">
        <v>2.7799999999999998E-2</v>
      </c>
      <c r="C90" s="186">
        <v>2.3159999999999999E-3</v>
      </c>
      <c r="D90" s="252"/>
      <c r="E90" s="252"/>
      <c r="F90" s="252"/>
      <c r="G90" s="252"/>
      <c r="H90" s="252"/>
      <c r="I90" s="252"/>
    </row>
    <row r="91" spans="1:9" ht="26.5" thickBot="1" x14ac:dyDescent="0.35">
      <c r="A91" s="187" t="s">
        <v>437</v>
      </c>
      <c r="B91" s="188">
        <v>0.1111</v>
      </c>
      <c r="C91" s="188">
        <v>9.2569999999999996E-3</v>
      </c>
      <c r="D91" s="252"/>
      <c r="E91" s="252"/>
      <c r="F91" s="252"/>
      <c r="G91" s="252"/>
      <c r="H91" s="252"/>
      <c r="I91" s="252"/>
    </row>
    <row r="92" spans="1:9" ht="84.75" customHeight="1" thickBot="1" x14ac:dyDescent="0.35">
      <c r="A92" s="187" t="s">
        <v>5</v>
      </c>
      <c r="B92" s="687">
        <v>0.12039999999999999</v>
      </c>
      <c r="C92" s="688"/>
      <c r="D92" s="252"/>
      <c r="E92" s="252"/>
      <c r="F92" s="252"/>
      <c r="G92" s="252"/>
      <c r="H92" s="252"/>
      <c r="I92" s="252"/>
    </row>
    <row r="93" spans="1:9" ht="69" customHeight="1" x14ac:dyDescent="0.3">
      <c r="A93" s="182"/>
      <c r="D93" s="252"/>
      <c r="E93" s="252"/>
      <c r="F93" s="252"/>
      <c r="G93" s="252"/>
      <c r="H93" s="252"/>
      <c r="I93" s="252"/>
    </row>
    <row r="94" spans="1:9" ht="15.5" x14ac:dyDescent="0.25">
      <c r="A94" s="689" t="s">
        <v>438</v>
      </c>
      <c r="B94" s="689"/>
      <c r="C94" s="689"/>
      <c r="D94" s="689"/>
      <c r="E94" s="689"/>
      <c r="F94" s="689"/>
      <c r="G94" s="689"/>
      <c r="H94" s="689"/>
      <c r="I94" s="689"/>
    </row>
    <row r="95" spans="1:9" ht="15.5" x14ac:dyDescent="0.25">
      <c r="A95" s="689" t="s">
        <v>439</v>
      </c>
      <c r="B95" s="689"/>
      <c r="C95" s="689"/>
      <c r="D95" s="689"/>
      <c r="E95" s="689"/>
      <c r="F95" s="689"/>
      <c r="G95" s="689"/>
      <c r="H95" s="689"/>
      <c r="I95" s="689"/>
    </row>
    <row r="96" spans="1:9" ht="13" x14ac:dyDescent="0.3">
      <c r="A96" s="3"/>
      <c r="B96" s="37"/>
      <c r="C96" s="37"/>
      <c r="D96" s="37"/>
      <c r="E96" s="37"/>
      <c r="F96" s="37"/>
      <c r="G96" s="37"/>
      <c r="H96" s="37"/>
      <c r="I96" s="7"/>
    </row>
    <row r="97" spans="1:9" ht="13" x14ac:dyDescent="0.3">
      <c r="A97" s="3"/>
      <c r="B97" s="37"/>
      <c r="C97" s="37"/>
      <c r="D97" s="37"/>
      <c r="E97" s="37"/>
      <c r="F97" s="37"/>
      <c r="G97" s="37"/>
      <c r="H97" s="37"/>
      <c r="I97" s="7"/>
    </row>
    <row r="98" spans="1:9" x14ac:dyDescent="0.25">
      <c r="A98" s="162" t="s">
        <v>440</v>
      </c>
    </row>
  </sheetData>
  <mergeCells count="52">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25:G25"/>
    <mergeCell ref="B36:G36"/>
    <mergeCell ref="B37:G37"/>
    <mergeCell ref="A9:I10"/>
    <mergeCell ref="A16:I16"/>
    <mergeCell ref="A19:I19"/>
    <mergeCell ref="B21:H21"/>
    <mergeCell ref="B24:H24"/>
    <mergeCell ref="A17:I17"/>
    <mergeCell ref="A12:I12"/>
    <mergeCell ref="B20:H20"/>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1:I1"/>
    <mergeCell ref="A13:I13"/>
    <mergeCell ref="A14:I14"/>
    <mergeCell ref="A15:I15"/>
    <mergeCell ref="A4:I4"/>
    <mergeCell ref="A5:I5"/>
    <mergeCell ref="A11:I11"/>
    <mergeCell ref="A6:I7"/>
    <mergeCell ref="A8:I8"/>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M178"/>
  <sheetViews>
    <sheetView tabSelected="1" topLeftCell="A4" zoomScale="115" zoomScaleNormal="115" workbookViewId="0">
      <selection activeCell="A16" sqref="A16"/>
    </sheetView>
  </sheetViews>
  <sheetFormatPr defaultRowHeight="12.5" x14ac:dyDescent="0.25"/>
  <cols>
    <col min="1" max="1" width="7.7265625" customWidth="1"/>
    <col min="2" max="2" width="15.26953125" customWidth="1"/>
    <col min="3" max="3" width="18.1796875" customWidth="1"/>
    <col min="4" max="4" width="20.54296875" customWidth="1"/>
    <col min="5" max="5" width="17.7265625" customWidth="1"/>
    <col min="6" max="6" width="12.81640625" customWidth="1"/>
    <col min="7" max="7" width="13.08984375" bestFit="1" customWidth="1"/>
    <col min="8" max="8" width="11.81640625" customWidth="1"/>
    <col min="9" max="9" width="17.54296875" customWidth="1"/>
    <col min="10" max="10" width="24.7265625" customWidth="1"/>
    <col min="11" max="11" width="17.26953125" customWidth="1"/>
    <col min="12" max="12" width="15.81640625" customWidth="1"/>
    <col min="13" max="13" width="9.54296875" bestFit="1" customWidth="1"/>
  </cols>
  <sheetData>
    <row r="1" spans="1:11" ht="21" customHeight="1" thickBot="1" x14ac:dyDescent="0.3">
      <c r="A1" s="398" t="s">
        <v>12</v>
      </c>
      <c r="B1" s="398"/>
      <c r="C1" s="398"/>
      <c r="D1" s="398"/>
      <c r="E1" s="398"/>
      <c r="F1" s="398"/>
      <c r="G1" s="398"/>
      <c r="H1" s="398"/>
      <c r="I1" s="398"/>
    </row>
    <row r="2" spans="1:11" ht="21" customHeight="1" thickBot="1" x14ac:dyDescent="0.3">
      <c r="A2" s="399" t="s">
        <v>447</v>
      </c>
      <c r="B2" s="400"/>
      <c r="C2" s="400"/>
      <c r="D2" s="400"/>
      <c r="E2" s="400"/>
      <c r="F2" s="400"/>
      <c r="G2" s="400"/>
      <c r="H2" s="400"/>
      <c r="I2" s="401"/>
    </row>
    <row r="3" spans="1:11" ht="21" customHeight="1" thickBot="1" x14ac:dyDescent="0.3">
      <c r="A3" s="402"/>
      <c r="B3" s="403"/>
      <c r="C3" s="403"/>
      <c r="D3" s="403"/>
      <c r="E3" s="403"/>
      <c r="F3" s="403"/>
      <c r="G3" s="403"/>
      <c r="H3" s="403"/>
      <c r="I3" s="404"/>
    </row>
    <row r="4" spans="1:11" ht="31.5" customHeight="1" x14ac:dyDescent="0.25">
      <c r="A4" s="380" t="s">
        <v>457</v>
      </c>
      <c r="B4" s="381"/>
      <c r="C4" s="381"/>
      <c r="D4" s="381"/>
      <c r="E4" s="381"/>
      <c r="F4" s="381"/>
      <c r="G4" s="381"/>
      <c r="H4" s="381"/>
      <c r="I4" s="382"/>
    </row>
    <row r="5" spans="1:11" ht="50" customHeight="1" x14ac:dyDescent="0.25">
      <c r="A5" s="388" t="s">
        <v>37</v>
      </c>
      <c r="B5" s="389"/>
      <c r="C5" s="389"/>
      <c r="D5" s="384" t="s">
        <v>441</v>
      </c>
      <c r="E5" s="389"/>
      <c r="F5" s="389"/>
      <c r="G5" s="390" t="s">
        <v>39</v>
      </c>
      <c r="H5" s="391"/>
      <c r="I5" s="329" t="s">
        <v>45</v>
      </c>
    </row>
    <row r="6" spans="1:11" s="50" customFormat="1" ht="50" customHeight="1" x14ac:dyDescent="0.25">
      <c r="A6" s="377" t="s">
        <v>458</v>
      </c>
      <c r="B6" s="378"/>
      <c r="C6" s="378"/>
      <c r="D6" s="379">
        <f>'Servente-Florianópolis'!D223</f>
        <v>800</v>
      </c>
      <c r="E6" s="379"/>
      <c r="F6" s="379"/>
      <c r="G6" s="392">
        <f>'Servente-Florianópolis'!H223</f>
        <v>1774</v>
      </c>
      <c r="H6" s="393"/>
      <c r="I6" s="330">
        <f>G6/D6</f>
        <v>2.2174999999999998</v>
      </c>
      <c r="J6" s="308"/>
      <c r="K6" s="321"/>
    </row>
    <row r="7" spans="1:11" ht="50" customHeight="1" x14ac:dyDescent="0.25">
      <c r="A7" s="377" t="s">
        <v>459</v>
      </c>
      <c r="B7" s="378"/>
      <c r="C7" s="378"/>
      <c r="D7" s="379">
        <f>'Servente-Criciuma'!D223</f>
        <v>800</v>
      </c>
      <c r="E7" s="379"/>
      <c r="F7" s="379"/>
      <c r="G7" s="392">
        <f>'Servente-Criciuma'!H223</f>
        <v>813</v>
      </c>
      <c r="H7" s="393"/>
      <c r="I7" s="330">
        <f>G7/D7</f>
        <v>1.0162500000000001</v>
      </c>
      <c r="J7" s="308"/>
    </row>
    <row r="8" spans="1:11" ht="13.5" thickBot="1" x14ac:dyDescent="0.35">
      <c r="A8" s="394" t="s">
        <v>21</v>
      </c>
      <c r="B8" s="395"/>
      <c r="C8" s="395"/>
      <c r="D8" s="395"/>
      <c r="E8" s="395"/>
      <c r="F8" s="395"/>
      <c r="G8" s="395"/>
      <c r="H8" s="396"/>
      <c r="I8" s="331">
        <f>ROUND(SUM(I6:I7),2)</f>
        <v>3.23</v>
      </c>
    </row>
    <row r="9" spans="1:11" ht="22.5" customHeight="1" thickBot="1" x14ac:dyDescent="0.3">
      <c r="A9" s="397"/>
      <c r="B9" s="397"/>
      <c r="C9" s="397"/>
      <c r="D9" s="397"/>
      <c r="E9" s="397"/>
      <c r="F9" s="397"/>
      <c r="G9" s="397"/>
      <c r="H9" s="397"/>
      <c r="I9" s="397"/>
      <c r="K9" s="21"/>
    </row>
    <row r="10" spans="1:11" ht="37" customHeight="1" x14ac:dyDescent="0.25">
      <c r="A10" s="385" t="s">
        <v>46</v>
      </c>
      <c r="B10" s="386"/>
      <c r="C10" s="386"/>
      <c r="D10" s="386"/>
      <c r="E10" s="386"/>
      <c r="F10" s="386"/>
      <c r="G10" s="386"/>
      <c r="H10" s="386"/>
      <c r="I10" s="387"/>
      <c r="K10" s="21"/>
    </row>
    <row r="11" spans="1:11" ht="50" customHeight="1" x14ac:dyDescent="0.25">
      <c r="A11" s="383" t="s">
        <v>37</v>
      </c>
      <c r="B11" s="384"/>
      <c r="C11" s="384"/>
      <c r="D11" s="56" t="s">
        <v>39</v>
      </c>
      <c r="E11" s="56" t="s">
        <v>38</v>
      </c>
      <c r="F11" s="56" t="s">
        <v>41</v>
      </c>
      <c r="G11" s="56" t="s">
        <v>47</v>
      </c>
      <c r="H11" s="56" t="s">
        <v>48</v>
      </c>
      <c r="I11" s="329" t="s">
        <v>446</v>
      </c>
    </row>
    <row r="12" spans="1:11" s="41" customFormat="1" ht="50" customHeight="1" x14ac:dyDescent="0.25">
      <c r="A12" s="377" t="s">
        <v>458</v>
      </c>
      <c r="B12" s="378"/>
      <c r="C12" s="378"/>
      <c r="D12" s="325">
        <f>'Servente-Florianópolis'!H223</f>
        <v>1774</v>
      </c>
      <c r="E12" s="326">
        <f>'Servente-Florianópolis'!E223</f>
        <v>8.456615476399282</v>
      </c>
      <c r="F12" s="322">
        <f t="shared" ref="F12" si="0">ROUND(D12*E12,2)</f>
        <v>15002.04</v>
      </c>
      <c r="G12" s="327">
        <v>24</v>
      </c>
      <c r="H12" s="328">
        <f t="shared" ref="H12" si="1">D12*G12</f>
        <v>42576</v>
      </c>
      <c r="I12" s="332">
        <f>ROUND(F12*G12,2)</f>
        <v>360048.96</v>
      </c>
      <c r="K12" s="323"/>
    </row>
    <row r="13" spans="1:11" ht="50" customHeight="1" x14ac:dyDescent="0.25">
      <c r="A13" s="377" t="s">
        <v>459</v>
      </c>
      <c r="B13" s="378"/>
      <c r="C13" s="378"/>
      <c r="D13" s="325">
        <f>'Servente-Criciuma'!H223</f>
        <v>813</v>
      </c>
      <c r="E13" s="326">
        <f>'Servente-Criciuma'!E223</f>
        <v>8.2983440639401849</v>
      </c>
      <c r="F13" s="322">
        <f t="shared" ref="F13" si="2">ROUND(D13*E13,2)</f>
        <v>6746.55</v>
      </c>
      <c r="G13" s="327">
        <f>G12</f>
        <v>24</v>
      </c>
      <c r="H13" s="328">
        <f t="shared" ref="H13" si="3">D13*G13</f>
        <v>19512</v>
      </c>
      <c r="I13" s="332">
        <f>ROUND(F13*G13,2)</f>
        <v>161917.20000000001</v>
      </c>
      <c r="K13" s="21"/>
    </row>
    <row r="14" spans="1:11" ht="30" customHeight="1" thickBot="1" x14ac:dyDescent="0.3">
      <c r="A14" s="374" t="s">
        <v>21</v>
      </c>
      <c r="B14" s="375"/>
      <c r="C14" s="376"/>
      <c r="D14" s="334"/>
      <c r="E14" s="334"/>
      <c r="F14" s="335">
        <f>SUM(F12:F13)</f>
        <v>21748.59</v>
      </c>
      <c r="G14" s="334"/>
      <c r="H14" s="336">
        <f>SUM(H12:H13)</f>
        <v>62088</v>
      </c>
      <c r="I14" s="337">
        <f>SUM(I12:I13)</f>
        <v>521966.16000000003</v>
      </c>
    </row>
    <row r="15" spans="1:11" x14ac:dyDescent="0.25">
      <c r="F15" s="21"/>
      <c r="I15" s="21"/>
    </row>
    <row r="19" spans="11:11" x14ac:dyDescent="0.25">
      <c r="K19" s="7"/>
    </row>
    <row r="27" spans="11:11" ht="25.5" customHeight="1" x14ac:dyDescent="0.25">
      <c r="K27" s="7"/>
    </row>
    <row r="37" spans="10:11" x14ac:dyDescent="0.25">
      <c r="J37" s="32"/>
      <c r="K37" s="166"/>
    </row>
    <row r="38" spans="10:11" x14ac:dyDescent="0.25">
      <c r="J38" s="32"/>
      <c r="K38" s="166"/>
    </row>
    <row r="39" spans="10:11" x14ac:dyDescent="0.25">
      <c r="J39" s="32"/>
    </row>
    <row r="40" spans="10:11" x14ac:dyDescent="0.25">
      <c r="J40" s="32"/>
    </row>
    <row r="41" spans="10:11" x14ac:dyDescent="0.25">
      <c r="J41" s="32"/>
    </row>
    <row r="42" spans="10:11" x14ac:dyDescent="0.25">
      <c r="J42" s="32"/>
    </row>
    <row r="62" spans="11:11" x14ac:dyDescent="0.25">
      <c r="K62" s="166"/>
    </row>
    <row r="68" spans="10:13" x14ac:dyDescent="0.25">
      <c r="J68" s="32"/>
    </row>
    <row r="69" spans="10:13" x14ac:dyDescent="0.25">
      <c r="J69" s="32"/>
    </row>
    <row r="71" spans="10:13" x14ac:dyDescent="0.25">
      <c r="J71" s="32"/>
      <c r="K71" s="7"/>
    </row>
    <row r="72" spans="10:13" x14ac:dyDescent="0.25">
      <c r="J72" s="32"/>
      <c r="K72" s="7"/>
    </row>
    <row r="73" spans="10:13" x14ac:dyDescent="0.25">
      <c r="J73" s="32"/>
      <c r="K73" s="7"/>
    </row>
    <row r="74" spans="10:13" x14ac:dyDescent="0.25">
      <c r="K74" s="7"/>
      <c r="M74" s="7"/>
    </row>
    <row r="79" spans="10:13" ht="13" x14ac:dyDescent="0.3">
      <c r="K79" s="9"/>
    </row>
    <row r="83" spans="11:11" ht="13" x14ac:dyDescent="0.3">
      <c r="K83" s="9"/>
    </row>
    <row r="84" spans="11:11" ht="13" x14ac:dyDescent="0.3">
      <c r="K84" s="9"/>
    </row>
    <row r="86" spans="11:11" x14ac:dyDescent="0.25">
      <c r="K86" s="7"/>
    </row>
    <row r="101" ht="55.5" customHeight="1" x14ac:dyDescent="0.25"/>
    <row r="102" ht="24" customHeight="1" x14ac:dyDescent="0.25"/>
    <row r="111" ht="25.5" customHeight="1" x14ac:dyDescent="0.25"/>
    <row r="120" ht="24.65" customHeight="1" x14ac:dyDescent="0.25"/>
    <row r="129" spans="1:9" ht="27.65" customHeight="1" x14ac:dyDescent="0.25"/>
    <row r="143" spans="1:9" s="210" customFormat="1" ht="59.25" customHeight="1" x14ac:dyDescent="0.25">
      <c r="A143"/>
      <c r="B143"/>
      <c r="C143"/>
      <c r="D143"/>
      <c r="E143"/>
      <c r="F143"/>
      <c r="G143"/>
      <c r="H143"/>
      <c r="I143"/>
    </row>
    <row r="152" ht="40" customHeight="1" x14ac:dyDescent="0.25"/>
    <row r="159" ht="42" customHeight="1" x14ac:dyDescent="0.25"/>
    <row r="167" spans="1:9" ht="44.25" customHeight="1" x14ac:dyDescent="0.25"/>
    <row r="168" spans="1:9" ht="44.25" customHeight="1" x14ac:dyDescent="0.25"/>
    <row r="170" spans="1:9" s="253" customFormat="1" x14ac:dyDescent="0.25">
      <c r="A170"/>
      <c r="B170"/>
      <c r="C170"/>
      <c r="D170"/>
      <c r="E170"/>
      <c r="F170"/>
      <c r="G170"/>
      <c r="H170"/>
      <c r="I170"/>
    </row>
    <row r="171" spans="1:9" s="253" customFormat="1" x14ac:dyDescent="0.25">
      <c r="A171"/>
      <c r="B171"/>
      <c r="C171"/>
      <c r="D171"/>
      <c r="E171"/>
      <c r="F171"/>
      <c r="G171"/>
      <c r="H171"/>
      <c r="I171"/>
    </row>
    <row r="172" spans="1:9" s="253" customFormat="1" x14ac:dyDescent="0.25">
      <c r="A172"/>
      <c r="B172"/>
      <c r="C172"/>
      <c r="D172"/>
      <c r="E172"/>
      <c r="F172"/>
      <c r="G172"/>
      <c r="H172"/>
      <c r="I172"/>
    </row>
    <row r="173" spans="1:9" s="253" customFormat="1" x14ac:dyDescent="0.25">
      <c r="A173"/>
      <c r="B173"/>
      <c r="C173"/>
      <c r="D173"/>
      <c r="E173"/>
      <c r="F173"/>
      <c r="G173"/>
      <c r="H173"/>
      <c r="I173"/>
    </row>
    <row r="174" spans="1:9" s="253" customFormat="1" x14ac:dyDescent="0.25">
      <c r="A174"/>
      <c r="B174"/>
      <c r="C174"/>
      <c r="D174"/>
      <c r="E174"/>
      <c r="F174"/>
      <c r="G174"/>
      <c r="H174"/>
      <c r="I174"/>
    </row>
    <row r="175" spans="1:9" s="253" customFormat="1" x14ac:dyDescent="0.25">
      <c r="A175"/>
      <c r="B175"/>
      <c r="C175"/>
      <c r="D175"/>
      <c r="E175"/>
      <c r="F175"/>
      <c r="G175"/>
      <c r="H175"/>
      <c r="I175"/>
    </row>
    <row r="176" spans="1:9" s="253" customFormat="1" x14ac:dyDescent="0.25">
      <c r="A176"/>
      <c r="B176"/>
      <c r="C176"/>
      <c r="D176"/>
      <c r="E176"/>
      <c r="F176"/>
      <c r="G176"/>
      <c r="H176"/>
      <c r="I176"/>
    </row>
    <row r="177" spans="1:11" s="10" customFormat="1" ht="13" x14ac:dyDescent="0.3">
      <c r="A177"/>
      <c r="B177"/>
      <c r="C177"/>
      <c r="D177"/>
      <c r="E177"/>
      <c r="F177"/>
      <c r="G177"/>
      <c r="H177"/>
      <c r="I177"/>
      <c r="K177" s="257"/>
    </row>
    <row r="178" spans="1:11" x14ac:dyDescent="0.25">
      <c r="K178" s="21"/>
    </row>
  </sheetData>
  <mergeCells count="20">
    <mergeCell ref="A1:I1"/>
    <mergeCell ref="A2:I2"/>
    <mergeCell ref="A7:C7"/>
    <mergeCell ref="D7:F7"/>
    <mergeCell ref="A3:I3"/>
    <mergeCell ref="A14:C14"/>
    <mergeCell ref="A6:C6"/>
    <mergeCell ref="D6:F6"/>
    <mergeCell ref="A4:I4"/>
    <mergeCell ref="A11:C11"/>
    <mergeCell ref="A12:C12"/>
    <mergeCell ref="A13:C13"/>
    <mergeCell ref="A10:I10"/>
    <mergeCell ref="A5:C5"/>
    <mergeCell ref="D5:F5"/>
    <mergeCell ref="G5:H5"/>
    <mergeCell ref="G6:H6"/>
    <mergeCell ref="G7:H7"/>
    <mergeCell ref="A8:H8"/>
    <mergeCell ref="A9:I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29"/>
  <sheetViews>
    <sheetView topLeftCell="A160" zoomScaleNormal="100" workbookViewId="0">
      <selection activeCell="A175" sqref="A175:XFD217"/>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17.26953125" customWidth="1"/>
    <col min="12" max="12" width="15.81640625" customWidth="1"/>
    <col min="13" max="13" width="9.54296875" bestFit="1" customWidth="1"/>
  </cols>
  <sheetData>
    <row r="1" spans="1:9" ht="13.5" thickBot="1" x14ac:dyDescent="0.35">
      <c r="A1" s="457" t="s">
        <v>53</v>
      </c>
      <c r="B1" s="458"/>
      <c r="C1" s="458"/>
      <c r="D1" s="458"/>
      <c r="E1" s="458"/>
      <c r="F1" s="458"/>
      <c r="G1" s="458"/>
      <c r="H1" s="458"/>
      <c r="I1" s="459"/>
    </row>
    <row r="2" spans="1:9" x14ac:dyDescent="0.25">
      <c r="A2" s="309"/>
      <c r="B2" s="309"/>
      <c r="C2" s="309"/>
      <c r="D2" s="309"/>
      <c r="E2" s="309"/>
      <c r="F2" s="309"/>
      <c r="G2" s="309"/>
      <c r="H2" s="309"/>
      <c r="I2" s="309"/>
    </row>
    <row r="3" spans="1:9" ht="15" customHeight="1" x14ac:dyDescent="0.25">
      <c r="A3" s="464" t="s">
        <v>54</v>
      </c>
      <c r="B3" s="464"/>
      <c r="C3" s="464"/>
      <c r="D3" s="464"/>
      <c r="E3" s="464"/>
      <c r="F3" s="464"/>
      <c r="G3" s="309"/>
      <c r="H3" s="309"/>
      <c r="I3" s="309"/>
    </row>
    <row r="4" spans="1:9" ht="15" customHeight="1" x14ac:dyDescent="0.25">
      <c r="A4" s="464" t="s">
        <v>55</v>
      </c>
      <c r="B4" s="464"/>
      <c r="C4" s="464"/>
      <c r="D4" s="464"/>
      <c r="E4" s="464"/>
      <c r="F4" s="464"/>
      <c r="G4" s="309"/>
      <c r="H4" s="309"/>
      <c r="I4" s="309"/>
    </row>
    <row r="5" spans="1:9" ht="13" x14ac:dyDescent="0.3">
      <c r="A5" s="10"/>
      <c r="B5" s="10"/>
      <c r="C5" s="10"/>
      <c r="D5" s="10"/>
      <c r="E5" s="10"/>
      <c r="F5" s="10"/>
      <c r="G5" s="10"/>
      <c r="H5" s="10"/>
      <c r="I5" s="10"/>
    </row>
    <row r="6" spans="1:9" ht="13" x14ac:dyDescent="0.3">
      <c r="A6" s="464" t="s">
        <v>56</v>
      </c>
      <c r="B6" s="464"/>
      <c r="C6" s="464"/>
      <c r="D6" s="464"/>
      <c r="E6" s="464"/>
      <c r="F6" s="464"/>
      <c r="G6" s="10"/>
      <c r="H6" s="10"/>
      <c r="I6" s="10"/>
    </row>
    <row r="7" spans="1:9" x14ac:dyDescent="0.25">
      <c r="A7" s="310"/>
      <c r="B7" s="310"/>
      <c r="C7" s="310"/>
      <c r="D7" s="310"/>
      <c r="E7" s="310"/>
      <c r="F7" s="310"/>
      <c r="G7" s="310"/>
      <c r="H7" s="310"/>
      <c r="I7" s="310"/>
    </row>
    <row r="8" spans="1:9" ht="13" x14ac:dyDescent="0.3">
      <c r="A8" s="445" t="s">
        <v>57</v>
      </c>
      <c r="B8" s="445"/>
      <c r="C8" s="445"/>
      <c r="D8" s="445"/>
      <c r="E8" s="445"/>
      <c r="F8" s="445"/>
      <c r="G8" s="445"/>
      <c r="H8" s="445"/>
      <c r="I8" s="445"/>
    </row>
    <row r="9" spans="1:9" x14ac:dyDescent="0.25">
      <c r="A9" s="311" t="s">
        <v>50</v>
      </c>
      <c r="B9" s="406" t="s">
        <v>58</v>
      </c>
      <c r="C9" s="444"/>
      <c r="D9" s="444"/>
      <c r="E9" s="444"/>
      <c r="F9" s="444"/>
      <c r="G9" s="444"/>
      <c r="H9" s="444"/>
      <c r="I9" s="131"/>
    </row>
    <row r="10" spans="1:9" x14ac:dyDescent="0.25">
      <c r="A10" s="311" t="s">
        <v>51</v>
      </c>
      <c r="B10" s="406" t="s">
        <v>59</v>
      </c>
      <c r="C10" s="444"/>
      <c r="D10" s="444"/>
      <c r="E10" s="444"/>
      <c r="F10" s="444"/>
      <c r="G10" s="444"/>
      <c r="H10" s="444"/>
      <c r="I10" s="190" t="s">
        <v>60</v>
      </c>
    </row>
    <row r="11" spans="1:9" x14ac:dyDescent="0.25">
      <c r="A11" s="311" t="s">
        <v>52</v>
      </c>
      <c r="B11" s="406" t="s">
        <v>61</v>
      </c>
      <c r="C11" s="406"/>
      <c r="D11" s="406"/>
      <c r="E11" s="406"/>
      <c r="F11" s="406"/>
      <c r="G11" s="406"/>
      <c r="H11" s="406"/>
      <c r="I11" s="190" t="s">
        <v>450</v>
      </c>
    </row>
    <row r="12" spans="1:9" x14ac:dyDescent="0.25">
      <c r="A12" s="311" t="s">
        <v>63</v>
      </c>
      <c r="B12" s="406" t="s">
        <v>64</v>
      </c>
      <c r="C12" s="444"/>
      <c r="D12" s="444"/>
      <c r="E12" s="444"/>
      <c r="F12" s="444"/>
      <c r="G12" s="444"/>
      <c r="H12" s="444"/>
      <c r="I12" s="191">
        <v>24</v>
      </c>
    </row>
    <row r="13" spans="1:9" x14ac:dyDescent="0.25">
      <c r="A13" s="309"/>
      <c r="B13" s="310"/>
      <c r="C13" s="310"/>
      <c r="D13" s="310"/>
      <c r="E13" s="310"/>
      <c r="F13" s="310"/>
      <c r="G13" s="310"/>
      <c r="H13" s="309"/>
      <c r="I13" s="309"/>
    </row>
    <row r="14" spans="1:9" ht="13" x14ac:dyDescent="0.3">
      <c r="A14" s="445" t="s">
        <v>65</v>
      </c>
      <c r="B14" s="445"/>
      <c r="C14" s="445"/>
      <c r="D14" s="445"/>
      <c r="E14" s="445"/>
      <c r="F14" s="445"/>
      <c r="G14" s="445"/>
      <c r="H14" s="445"/>
      <c r="I14" s="445"/>
    </row>
    <row r="15" spans="1:9" ht="13" x14ac:dyDescent="0.3">
      <c r="A15" s="405" t="s">
        <v>66</v>
      </c>
      <c r="B15" s="405"/>
      <c r="C15" s="405" t="s">
        <v>67</v>
      </c>
      <c r="D15" s="405"/>
      <c r="E15" s="405" t="s">
        <v>68</v>
      </c>
      <c r="F15" s="405"/>
      <c r="G15" s="405"/>
      <c r="H15" s="405"/>
      <c r="I15" s="405"/>
    </row>
    <row r="16" spans="1:9" ht="25.5" customHeight="1" x14ac:dyDescent="0.25">
      <c r="A16" s="460" t="s">
        <v>69</v>
      </c>
      <c r="B16" s="461"/>
      <c r="C16" s="414" t="s">
        <v>70</v>
      </c>
      <c r="D16" s="462"/>
      <c r="E16" s="413"/>
      <c r="F16" s="463"/>
      <c r="G16" s="463"/>
      <c r="H16" s="463"/>
      <c r="I16" s="463"/>
    </row>
    <row r="17" spans="1:9" ht="15" customHeight="1" x14ac:dyDescent="0.25">
      <c r="A17" s="39"/>
      <c r="B17" s="314"/>
      <c r="C17" s="40"/>
      <c r="D17" s="315"/>
      <c r="E17" s="41"/>
      <c r="F17" s="316"/>
      <c r="G17" s="316"/>
      <c r="H17" s="316"/>
      <c r="I17" s="316"/>
    </row>
    <row r="18" spans="1:9" ht="15" customHeight="1" x14ac:dyDescent="0.25">
      <c r="A18" s="37" t="s">
        <v>71</v>
      </c>
      <c r="B18" s="314"/>
      <c r="C18" s="40"/>
      <c r="D18" s="315"/>
      <c r="E18" s="41"/>
      <c r="F18" s="316"/>
      <c r="G18" s="316"/>
      <c r="H18" s="316"/>
      <c r="I18" s="316"/>
    </row>
    <row r="19" spans="1:9" ht="15" customHeight="1" x14ac:dyDescent="0.25">
      <c r="A19" s="37" t="s">
        <v>72</v>
      </c>
      <c r="B19" s="314"/>
      <c r="C19" s="40"/>
      <c r="D19" s="315"/>
      <c r="E19" s="41"/>
      <c r="F19" s="316"/>
      <c r="G19" s="316"/>
      <c r="H19" s="316"/>
      <c r="I19" s="316"/>
    </row>
    <row r="20" spans="1:9" ht="15" customHeight="1" x14ac:dyDescent="0.25">
      <c r="A20" s="37" t="s">
        <v>73</v>
      </c>
      <c r="B20" s="314"/>
      <c r="C20" s="40"/>
      <c r="D20" s="315"/>
      <c r="E20" s="41"/>
      <c r="F20" s="316"/>
      <c r="G20" s="316"/>
      <c r="H20" s="316"/>
      <c r="I20" s="316"/>
    </row>
    <row r="21" spans="1:9" ht="15" customHeight="1" x14ac:dyDescent="0.25">
      <c r="A21" s="37" t="s">
        <v>74</v>
      </c>
      <c r="B21" s="314"/>
      <c r="C21" s="40"/>
      <c r="D21" s="315"/>
      <c r="E21" s="41"/>
      <c r="F21" s="316"/>
      <c r="G21" s="316"/>
      <c r="H21" s="316"/>
      <c r="I21" s="316"/>
    </row>
    <row r="22" spans="1:9" ht="15" customHeight="1" x14ac:dyDescent="0.25">
      <c r="A22" s="55"/>
      <c r="B22" s="314"/>
      <c r="C22" s="40"/>
      <c r="D22" s="315"/>
      <c r="E22" s="41"/>
      <c r="F22" s="316"/>
      <c r="G22" s="316"/>
      <c r="H22" s="316"/>
      <c r="I22" s="316"/>
    </row>
    <row r="23" spans="1:9" ht="15" customHeight="1" x14ac:dyDescent="0.25">
      <c r="A23" s="38" t="s">
        <v>75</v>
      </c>
      <c r="B23" s="314"/>
      <c r="C23" s="40"/>
      <c r="D23" s="315"/>
      <c r="E23" s="41"/>
      <c r="F23" s="316"/>
      <c r="G23" s="316"/>
      <c r="H23" s="316"/>
      <c r="I23" s="316"/>
    </row>
    <row r="24" spans="1:9" ht="15" customHeight="1" x14ac:dyDescent="0.25">
      <c r="A24" s="39"/>
      <c r="B24" s="314"/>
      <c r="C24" s="40"/>
      <c r="D24" s="315"/>
      <c r="E24" s="41"/>
      <c r="F24" s="316"/>
      <c r="G24" s="316"/>
      <c r="H24" s="316"/>
      <c r="I24" s="316"/>
    </row>
    <row r="25" spans="1:9" ht="15" customHeight="1" x14ac:dyDescent="0.25">
      <c r="A25" s="38" t="s">
        <v>76</v>
      </c>
      <c r="B25" s="314"/>
      <c r="C25" s="40"/>
      <c r="D25" s="315"/>
      <c r="E25" s="41"/>
      <c r="F25" s="316"/>
      <c r="G25" s="316"/>
      <c r="H25" s="316"/>
      <c r="I25" s="316"/>
    </row>
    <row r="26" spans="1:9" ht="15" customHeight="1" x14ac:dyDescent="0.25">
      <c r="A26" s="37" t="s">
        <v>77</v>
      </c>
      <c r="B26" s="314"/>
      <c r="C26" s="40"/>
      <c r="D26" s="315"/>
      <c r="E26" s="41"/>
      <c r="F26" s="316"/>
      <c r="G26" s="316"/>
      <c r="H26" s="316"/>
      <c r="I26" s="316"/>
    </row>
    <row r="27" spans="1:9" ht="13" x14ac:dyDescent="0.3">
      <c r="A27" s="445" t="s">
        <v>78</v>
      </c>
      <c r="B27" s="445"/>
      <c r="C27" s="445"/>
      <c r="D27" s="445"/>
      <c r="E27" s="445"/>
      <c r="F27" s="445"/>
      <c r="G27" s="445"/>
      <c r="H27" s="445"/>
      <c r="I27" s="445"/>
    </row>
    <row r="28" spans="1:9" ht="25" x14ac:dyDescent="0.25">
      <c r="A28" s="313">
        <v>1</v>
      </c>
      <c r="B28" s="443" t="s">
        <v>79</v>
      </c>
      <c r="C28" s="443"/>
      <c r="D28" s="443"/>
      <c r="E28" s="443"/>
      <c r="F28" s="443"/>
      <c r="G28" s="443"/>
      <c r="H28" s="443"/>
      <c r="I28" s="312" t="str">
        <f>A16</f>
        <v>Limpeza e Conservação</v>
      </c>
    </row>
    <row r="29" spans="1:9" x14ac:dyDescent="0.25">
      <c r="A29" s="311">
        <v>2</v>
      </c>
      <c r="B29" s="406" t="s">
        <v>80</v>
      </c>
      <c r="C29" s="406"/>
      <c r="D29" s="406"/>
      <c r="E29" s="406"/>
      <c r="F29" s="406"/>
      <c r="G29" s="406"/>
      <c r="H29" s="406"/>
      <c r="I29" s="23" t="s">
        <v>81</v>
      </c>
    </row>
    <row r="30" spans="1:9" x14ac:dyDescent="0.25">
      <c r="A30" s="311">
        <v>3</v>
      </c>
      <c r="B30" s="444" t="s">
        <v>82</v>
      </c>
      <c r="C30" s="444"/>
      <c r="D30" s="444"/>
      <c r="E30" s="444"/>
      <c r="F30" s="444"/>
      <c r="G30" s="444"/>
      <c r="H30" s="444"/>
      <c r="I30" s="130">
        <v>1440.84</v>
      </c>
    </row>
    <row r="31" spans="1:9" ht="25" x14ac:dyDescent="0.25">
      <c r="A31" s="313">
        <v>4</v>
      </c>
      <c r="B31" s="443" t="s">
        <v>83</v>
      </c>
      <c r="C31" s="443"/>
      <c r="D31" s="443"/>
      <c r="E31" s="443"/>
      <c r="F31" s="443"/>
      <c r="G31" s="443"/>
      <c r="H31" s="443"/>
      <c r="I31" s="256" t="s">
        <v>84</v>
      </c>
    </row>
    <row r="32" spans="1:9" x14ac:dyDescent="0.25">
      <c r="A32" s="311">
        <v>5</v>
      </c>
      <c r="B32" s="406" t="s">
        <v>85</v>
      </c>
      <c r="C32" s="444"/>
      <c r="D32" s="444"/>
      <c r="E32" s="444"/>
      <c r="F32" s="444"/>
      <c r="G32" s="444"/>
      <c r="H32" s="444"/>
      <c r="I32" s="131">
        <v>44927</v>
      </c>
    </row>
    <row r="33" spans="1:10" x14ac:dyDescent="0.25">
      <c r="A33" s="309"/>
      <c r="B33" s="310"/>
      <c r="C33" s="310"/>
      <c r="D33" s="310"/>
      <c r="E33" s="310"/>
      <c r="F33" s="310"/>
      <c r="G33" s="310"/>
      <c r="H33" s="310"/>
      <c r="I33" s="317"/>
    </row>
    <row r="34" spans="1:10" ht="13" x14ac:dyDescent="0.25">
      <c r="A34" s="37" t="s">
        <v>86</v>
      </c>
      <c r="B34" s="310"/>
      <c r="C34" s="310"/>
      <c r="D34" s="310"/>
      <c r="E34" s="310"/>
      <c r="F34" s="310"/>
      <c r="G34" s="310"/>
      <c r="H34" s="310"/>
      <c r="I34" s="317"/>
    </row>
    <row r="35" spans="1:10" ht="13" x14ac:dyDescent="0.25">
      <c r="A35" s="37" t="s">
        <v>87</v>
      </c>
      <c r="B35" s="310"/>
      <c r="C35" s="310"/>
      <c r="D35" s="310"/>
      <c r="E35" s="310"/>
      <c r="F35" s="310"/>
      <c r="G35" s="310"/>
      <c r="H35" s="310"/>
      <c r="I35" s="317"/>
    </row>
    <row r="37" spans="1:10" ht="13" x14ac:dyDescent="0.3">
      <c r="A37" s="451" t="s">
        <v>88</v>
      </c>
      <c r="B37" s="451"/>
      <c r="C37" s="451"/>
      <c r="D37" s="451"/>
      <c r="E37" s="451"/>
      <c r="F37" s="451"/>
      <c r="G37" s="451"/>
      <c r="H37" s="451"/>
      <c r="I37" s="451"/>
    </row>
    <row r="38" spans="1:10" ht="13" x14ac:dyDescent="0.3">
      <c r="A38" s="8">
        <v>1</v>
      </c>
      <c r="B38" s="405" t="s">
        <v>89</v>
      </c>
      <c r="C38" s="405"/>
      <c r="D38" s="405"/>
      <c r="E38" s="405"/>
      <c r="F38" s="405"/>
      <c r="G38" s="405"/>
      <c r="H38" s="8" t="s">
        <v>90</v>
      </c>
      <c r="I38" s="8" t="s">
        <v>49</v>
      </c>
    </row>
    <row r="39" spans="1:10" ht="13" x14ac:dyDescent="0.3">
      <c r="A39" s="8" t="s">
        <v>50</v>
      </c>
      <c r="B39" s="406" t="s">
        <v>91</v>
      </c>
      <c r="C39" s="406"/>
      <c r="D39" s="406"/>
      <c r="E39" s="406"/>
      <c r="F39" s="406"/>
      <c r="G39" s="406"/>
      <c r="H39" s="22"/>
      <c r="I39" s="167">
        <f>I30</f>
        <v>1440.84</v>
      </c>
    </row>
    <row r="40" spans="1:10" ht="13" x14ac:dyDescent="0.3">
      <c r="A40" s="8" t="s">
        <v>51</v>
      </c>
      <c r="B40" s="406" t="s">
        <v>92</v>
      </c>
      <c r="C40" s="406"/>
      <c r="D40" s="406"/>
      <c r="E40" s="406"/>
      <c r="F40" s="406"/>
      <c r="G40" s="406"/>
      <c r="H40" s="2"/>
      <c r="I40" s="167">
        <f>I39*H40</f>
        <v>0</v>
      </c>
      <c r="J40" s="32" t="s">
        <v>93</v>
      </c>
    </row>
    <row r="41" spans="1:10" ht="13" x14ac:dyDescent="0.3">
      <c r="A41" s="8" t="s">
        <v>52</v>
      </c>
      <c r="B41" s="406" t="s">
        <v>94</v>
      </c>
      <c r="C41" s="406"/>
      <c r="D41" s="406"/>
      <c r="E41" s="406"/>
      <c r="F41" s="406"/>
      <c r="G41" s="406"/>
      <c r="H41" s="2">
        <v>0.2</v>
      </c>
      <c r="I41" s="167">
        <f>H41*I39</f>
        <v>288.16800000000001</v>
      </c>
    </row>
    <row r="42" spans="1:10" ht="13" x14ac:dyDescent="0.3">
      <c r="A42" s="8" t="s">
        <v>63</v>
      </c>
      <c r="B42" s="406" t="s">
        <v>95</v>
      </c>
      <c r="C42" s="406"/>
      <c r="D42" s="406"/>
      <c r="E42" s="406"/>
      <c r="F42" s="406"/>
      <c r="G42" s="406"/>
      <c r="H42" s="2"/>
      <c r="I42" s="167">
        <v>0</v>
      </c>
      <c r="J42" s="32" t="s">
        <v>96</v>
      </c>
    </row>
    <row r="43" spans="1:10" ht="13" x14ac:dyDescent="0.3">
      <c r="A43" s="8" t="s">
        <v>97</v>
      </c>
      <c r="B43" s="406" t="s">
        <v>98</v>
      </c>
      <c r="C43" s="406"/>
      <c r="D43" s="406"/>
      <c r="E43" s="406"/>
      <c r="F43" s="406"/>
      <c r="G43" s="406"/>
      <c r="H43" s="5"/>
      <c r="I43" s="167">
        <v>0</v>
      </c>
      <c r="J43" s="32" t="s">
        <v>96</v>
      </c>
    </row>
    <row r="44" spans="1:10" ht="13" x14ac:dyDescent="0.3">
      <c r="A44" s="8" t="s">
        <v>99</v>
      </c>
      <c r="B44" s="406" t="s">
        <v>100</v>
      </c>
      <c r="C44" s="406"/>
      <c r="D44" s="406"/>
      <c r="E44" s="406"/>
      <c r="F44" s="406"/>
      <c r="G44" s="406"/>
      <c r="H44" s="2"/>
      <c r="I44" s="167">
        <v>0</v>
      </c>
    </row>
    <row r="45" spans="1:10" ht="13" x14ac:dyDescent="0.3">
      <c r="A45" s="450" t="s">
        <v>101</v>
      </c>
      <c r="B45" s="445"/>
      <c r="C45" s="445"/>
      <c r="D45" s="445"/>
      <c r="E45" s="445"/>
      <c r="F45" s="445"/>
      <c r="G45" s="445"/>
      <c r="H45" s="445"/>
      <c r="I45" s="168">
        <f>SUM(I39:I44)</f>
        <v>1729.0079999999998</v>
      </c>
    </row>
    <row r="46" spans="1:10" s="10" customFormat="1" ht="13" x14ac:dyDescent="0.3"/>
    <row r="47" spans="1:10" s="10" customFormat="1" ht="13" x14ac:dyDescent="0.3">
      <c r="A47" s="37" t="s">
        <v>102</v>
      </c>
    </row>
    <row r="48" spans="1:10" s="10" customFormat="1" ht="13" x14ac:dyDescent="0.3">
      <c r="A48" s="37" t="s">
        <v>103</v>
      </c>
    </row>
    <row r="49" spans="1:11" ht="13" x14ac:dyDescent="0.3">
      <c r="A49" s="3"/>
      <c r="B49" s="3"/>
      <c r="C49" s="3"/>
      <c r="D49" s="3"/>
      <c r="E49" s="3"/>
      <c r="F49" s="3"/>
      <c r="G49" s="3"/>
      <c r="H49" s="3"/>
      <c r="I49" s="4"/>
    </row>
    <row r="50" spans="1:11" ht="13" x14ac:dyDescent="0.3">
      <c r="A50" s="451" t="s">
        <v>104</v>
      </c>
      <c r="B50" s="451"/>
      <c r="C50" s="451"/>
      <c r="D50" s="451"/>
      <c r="E50" s="451"/>
      <c r="F50" s="451"/>
      <c r="G50" s="451"/>
      <c r="H50" s="451"/>
      <c r="I50" s="451"/>
    </row>
    <row r="51" spans="1:11" ht="13" x14ac:dyDescent="0.3">
      <c r="A51" s="47" t="s">
        <v>105</v>
      </c>
      <c r="B51" s="446" t="s">
        <v>106</v>
      </c>
      <c r="C51" s="447"/>
      <c r="D51" s="447"/>
      <c r="E51" s="447"/>
      <c r="F51" s="447"/>
      <c r="G51" s="448"/>
      <c r="H51" s="8" t="s">
        <v>90</v>
      </c>
      <c r="I51" s="8" t="s">
        <v>49</v>
      </c>
    </row>
    <row r="52" spans="1:11" ht="13" x14ac:dyDescent="0.3">
      <c r="A52" s="8" t="s">
        <v>50</v>
      </c>
      <c r="B52" s="406" t="s">
        <v>107</v>
      </c>
      <c r="C52" s="406"/>
      <c r="D52" s="406"/>
      <c r="E52" s="406"/>
      <c r="F52" s="406"/>
      <c r="G52" s="406"/>
      <c r="H52" s="1">
        <f>1/12</f>
        <v>8.3333333333333329E-2</v>
      </c>
      <c r="I52" s="25">
        <f>$I$45*H52</f>
        <v>144.08399999999997</v>
      </c>
      <c r="K52" s="87"/>
    </row>
    <row r="53" spans="1:11" ht="13" x14ac:dyDescent="0.3">
      <c r="A53" s="8" t="s">
        <v>51</v>
      </c>
      <c r="B53" s="406" t="s">
        <v>108</v>
      </c>
      <c r="C53" s="406"/>
      <c r="D53" s="406"/>
      <c r="E53" s="406"/>
      <c r="F53" s="406"/>
      <c r="G53" s="406"/>
      <c r="H53" s="24">
        <v>0.121</v>
      </c>
      <c r="I53" s="25">
        <f>$I$45*H53</f>
        <v>209.20996799999998</v>
      </c>
    </row>
    <row r="54" spans="1:11" ht="13" x14ac:dyDescent="0.3">
      <c r="A54" s="445" t="s">
        <v>109</v>
      </c>
      <c r="B54" s="445"/>
      <c r="C54" s="445"/>
      <c r="D54" s="445"/>
      <c r="E54" s="445"/>
      <c r="F54" s="445"/>
      <c r="G54" s="445"/>
      <c r="H54" s="42">
        <f>TRUNC(SUM(H52:H53),4)</f>
        <v>0.20430000000000001</v>
      </c>
      <c r="I54" s="43">
        <f>SUM(I52:I53)</f>
        <v>353.29396799999995</v>
      </c>
    </row>
    <row r="55" spans="1:11" ht="22" customHeight="1" x14ac:dyDescent="0.25">
      <c r="A55" s="47" t="s">
        <v>52</v>
      </c>
      <c r="B55" s="449" t="s">
        <v>110</v>
      </c>
      <c r="C55" s="449"/>
      <c r="D55" s="449"/>
      <c r="E55" s="449"/>
      <c r="F55" s="449"/>
      <c r="G55" s="449"/>
      <c r="H55" s="163">
        <f>H54*H75</f>
        <v>7.518240000000001E-2</v>
      </c>
      <c r="I55" s="164">
        <f>$I$45*H55</f>
        <v>129.99097105920001</v>
      </c>
    </row>
    <row r="56" spans="1:11" ht="13" x14ac:dyDescent="0.3">
      <c r="A56" s="445" t="s">
        <v>111</v>
      </c>
      <c r="B56" s="445"/>
      <c r="C56" s="445"/>
      <c r="D56" s="445"/>
      <c r="E56" s="445"/>
      <c r="F56" s="445"/>
      <c r="G56" s="445"/>
      <c r="H56" s="42">
        <f>TRUNC(SUM(H54:H55),4)</f>
        <v>0.27939999999999998</v>
      </c>
      <c r="I56" s="43">
        <f>SUM(I54:I55)</f>
        <v>483.28493905919993</v>
      </c>
    </row>
    <row r="57" spans="1:11" ht="13" x14ac:dyDescent="0.3">
      <c r="A57" s="3"/>
      <c r="B57" s="3"/>
      <c r="C57" s="3"/>
      <c r="D57" s="3"/>
      <c r="E57" s="3"/>
      <c r="F57" s="3"/>
      <c r="G57" s="3"/>
      <c r="H57" s="44"/>
      <c r="I57" s="4"/>
    </row>
    <row r="58" spans="1:11" ht="13" x14ac:dyDescent="0.3">
      <c r="A58" s="37" t="s">
        <v>112</v>
      </c>
      <c r="B58" s="3"/>
      <c r="C58" s="3"/>
      <c r="D58" s="3"/>
      <c r="E58" s="3"/>
      <c r="F58" s="3"/>
      <c r="G58" s="3"/>
      <c r="H58" s="44"/>
      <c r="I58" s="4"/>
    </row>
    <row r="59" spans="1:11" ht="13" x14ac:dyDescent="0.3">
      <c r="A59" s="37" t="s">
        <v>113</v>
      </c>
      <c r="B59" s="3"/>
      <c r="C59" s="3"/>
      <c r="D59" s="3"/>
      <c r="E59" s="3"/>
      <c r="F59" s="3"/>
      <c r="G59" s="3"/>
      <c r="H59" s="44"/>
      <c r="I59" s="4"/>
    </row>
    <row r="60" spans="1:11" ht="13" x14ac:dyDescent="0.3">
      <c r="A60" s="37" t="s">
        <v>114</v>
      </c>
      <c r="B60" s="3"/>
      <c r="C60" s="3"/>
      <c r="D60" s="3"/>
      <c r="E60" s="3"/>
      <c r="F60" s="3"/>
      <c r="G60" s="3"/>
      <c r="H60" s="44"/>
      <c r="I60" s="4"/>
    </row>
    <row r="61" spans="1:11" ht="13" x14ac:dyDescent="0.3">
      <c r="A61" s="37" t="s">
        <v>115</v>
      </c>
      <c r="B61" s="10"/>
      <c r="C61" s="10"/>
      <c r="D61" s="10"/>
      <c r="E61" s="10"/>
      <c r="F61" s="10"/>
      <c r="G61" s="10"/>
      <c r="H61" s="10"/>
      <c r="I61" s="10"/>
    </row>
    <row r="62" spans="1:11" ht="13" x14ac:dyDescent="0.3">
      <c r="A62" s="37" t="s">
        <v>116</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117</v>
      </c>
      <c r="B66" s="416" t="s">
        <v>118</v>
      </c>
      <c r="C66" s="417"/>
      <c r="D66" s="417"/>
      <c r="E66" s="417"/>
      <c r="F66" s="417"/>
      <c r="G66" s="418"/>
      <c r="H66" s="34" t="s">
        <v>90</v>
      </c>
      <c r="I66" s="34" t="s">
        <v>49</v>
      </c>
      <c r="K66" s="32"/>
      <c r="L66" s="31"/>
    </row>
    <row r="67" spans="1:12" ht="13" x14ac:dyDescent="0.3">
      <c r="A67" s="8" t="s">
        <v>50</v>
      </c>
      <c r="B67" s="406" t="s">
        <v>119</v>
      </c>
      <c r="C67" s="406"/>
      <c r="D67" s="406"/>
      <c r="E67" s="406"/>
      <c r="F67" s="406"/>
      <c r="G67" s="406"/>
      <c r="H67" s="1">
        <v>0.2</v>
      </c>
      <c r="I67" s="25">
        <f t="shared" ref="I67:I74" si="0">H67*($I$45)</f>
        <v>345.80160000000001</v>
      </c>
      <c r="K67" s="33"/>
      <c r="L67" s="31"/>
    </row>
    <row r="68" spans="1:12" ht="13" x14ac:dyDescent="0.3">
      <c r="A68" s="8" t="s">
        <v>51</v>
      </c>
      <c r="B68" s="406" t="s">
        <v>120</v>
      </c>
      <c r="C68" s="406"/>
      <c r="D68" s="406"/>
      <c r="E68" s="406"/>
      <c r="F68" s="406"/>
      <c r="G68" s="406"/>
      <c r="H68" s="1">
        <v>2.5000000000000001E-2</v>
      </c>
      <c r="I68" s="25">
        <f t="shared" si="0"/>
        <v>43.225200000000001</v>
      </c>
      <c r="K68" s="32"/>
    </row>
    <row r="69" spans="1:12" ht="13" x14ac:dyDescent="0.3">
      <c r="A69" s="8" t="s">
        <v>52</v>
      </c>
      <c r="B69" s="406" t="s">
        <v>121</v>
      </c>
      <c r="C69" s="406"/>
      <c r="D69" s="406"/>
      <c r="E69" s="406"/>
      <c r="F69" s="406"/>
      <c r="G69" s="406"/>
      <c r="H69" s="1">
        <v>0.03</v>
      </c>
      <c r="I69" s="25">
        <f t="shared" si="0"/>
        <v>51.870239999999995</v>
      </c>
      <c r="J69" s="32" t="s">
        <v>122</v>
      </c>
      <c r="K69" s="32"/>
    </row>
    <row r="70" spans="1:12" ht="13" x14ac:dyDescent="0.3">
      <c r="A70" s="8" t="s">
        <v>63</v>
      </c>
      <c r="B70" s="406" t="s">
        <v>123</v>
      </c>
      <c r="C70" s="406"/>
      <c r="D70" s="406"/>
      <c r="E70" s="406"/>
      <c r="F70" s="406"/>
      <c r="G70" s="406"/>
      <c r="H70" s="1">
        <v>1.4999999999999999E-2</v>
      </c>
      <c r="I70" s="25">
        <f t="shared" si="0"/>
        <v>25.935119999999998</v>
      </c>
    </row>
    <row r="71" spans="1:12" ht="13" x14ac:dyDescent="0.3">
      <c r="A71" s="8" t="s">
        <v>97</v>
      </c>
      <c r="B71" s="406" t="s">
        <v>124</v>
      </c>
      <c r="C71" s="406"/>
      <c r="D71" s="406"/>
      <c r="E71" s="406"/>
      <c r="F71" s="406"/>
      <c r="G71" s="406"/>
      <c r="H71" s="1">
        <v>0.01</v>
      </c>
      <c r="I71" s="25">
        <f t="shared" si="0"/>
        <v>17.29008</v>
      </c>
    </row>
    <row r="72" spans="1:12" ht="13" x14ac:dyDescent="0.3">
      <c r="A72" s="8" t="s">
        <v>99</v>
      </c>
      <c r="B72" s="406" t="s">
        <v>125</v>
      </c>
      <c r="C72" s="406"/>
      <c r="D72" s="406"/>
      <c r="E72" s="406"/>
      <c r="F72" s="406"/>
      <c r="G72" s="406"/>
      <c r="H72" s="1">
        <v>6.0000000000000001E-3</v>
      </c>
      <c r="I72" s="25">
        <f t="shared" si="0"/>
        <v>10.374047999999998</v>
      </c>
    </row>
    <row r="73" spans="1:12" ht="13" x14ac:dyDescent="0.3">
      <c r="A73" s="8" t="s">
        <v>126</v>
      </c>
      <c r="B73" s="406" t="s">
        <v>127</v>
      </c>
      <c r="C73" s="406"/>
      <c r="D73" s="406"/>
      <c r="E73" s="406"/>
      <c r="F73" s="406"/>
      <c r="G73" s="406"/>
      <c r="H73" s="1">
        <v>2E-3</v>
      </c>
      <c r="I73" s="25">
        <f t="shared" si="0"/>
        <v>3.4580159999999998</v>
      </c>
    </row>
    <row r="74" spans="1:12" ht="13" x14ac:dyDescent="0.3">
      <c r="A74" s="8" t="s">
        <v>128</v>
      </c>
      <c r="B74" s="406" t="s">
        <v>129</v>
      </c>
      <c r="C74" s="406"/>
      <c r="D74" s="406"/>
      <c r="E74" s="406"/>
      <c r="F74" s="406"/>
      <c r="G74" s="406"/>
      <c r="H74" s="1">
        <v>0.08</v>
      </c>
      <c r="I74" s="25">
        <f t="shared" si="0"/>
        <v>138.32064</v>
      </c>
    </row>
    <row r="75" spans="1:12" ht="13" x14ac:dyDescent="0.3">
      <c r="A75" s="445" t="s">
        <v>11</v>
      </c>
      <c r="B75" s="445"/>
      <c r="C75" s="445"/>
      <c r="D75" s="445"/>
      <c r="E75" s="445"/>
      <c r="F75" s="445"/>
      <c r="G75" s="445"/>
      <c r="H75" s="42">
        <f>SUM(H67:H74)</f>
        <v>0.36800000000000005</v>
      </c>
      <c r="I75" s="43">
        <f>SUM(I67:I74)</f>
        <v>636.27494399999989</v>
      </c>
      <c r="K75" s="21"/>
    </row>
    <row r="76" spans="1:12" ht="13" x14ac:dyDescent="0.3">
      <c r="A76" s="3"/>
      <c r="B76" s="3"/>
      <c r="C76" s="3"/>
      <c r="D76" s="3"/>
      <c r="E76" s="3"/>
      <c r="F76" s="3"/>
      <c r="G76" s="3"/>
      <c r="H76" s="44"/>
      <c r="I76" s="4"/>
      <c r="K76" s="21"/>
    </row>
    <row r="77" spans="1:12" ht="13" x14ac:dyDescent="0.3">
      <c r="A77" s="37" t="s">
        <v>130</v>
      </c>
      <c r="B77" s="3"/>
      <c r="C77" s="3"/>
      <c r="D77" s="3"/>
      <c r="E77" s="3"/>
      <c r="F77" s="3"/>
      <c r="G77" s="3"/>
      <c r="H77" s="44"/>
      <c r="I77" s="4"/>
      <c r="K77" s="21"/>
    </row>
    <row r="78" spans="1:12" ht="13" x14ac:dyDescent="0.3">
      <c r="A78" s="37" t="s">
        <v>131</v>
      </c>
      <c r="B78" s="3"/>
      <c r="C78" s="3"/>
      <c r="D78" s="3"/>
      <c r="E78" s="3"/>
      <c r="F78" s="3"/>
      <c r="G78" s="3"/>
      <c r="H78" s="44"/>
      <c r="I78" s="4"/>
      <c r="K78" s="21"/>
    </row>
    <row r="79" spans="1:12" ht="13" x14ac:dyDescent="0.3">
      <c r="A79" s="37" t="s">
        <v>132</v>
      </c>
      <c r="B79" s="3"/>
      <c r="C79" s="3"/>
      <c r="D79" s="3"/>
      <c r="E79" s="3"/>
      <c r="F79" s="3"/>
      <c r="G79" s="3"/>
      <c r="H79" s="44"/>
      <c r="I79" s="4"/>
      <c r="K79" s="21"/>
    </row>
    <row r="80" spans="1:12" ht="13" x14ac:dyDescent="0.3">
      <c r="A80" s="37" t="s">
        <v>133</v>
      </c>
      <c r="B80" s="3"/>
      <c r="C80" s="3"/>
      <c r="D80" s="3"/>
      <c r="E80" s="3"/>
      <c r="F80" s="3"/>
      <c r="G80" s="3"/>
      <c r="H80" s="44"/>
      <c r="I80" s="4"/>
      <c r="K80" s="21"/>
    </row>
    <row r="81" spans="1:11" ht="13" x14ac:dyDescent="0.3">
      <c r="A81" s="37" t="s">
        <v>134</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135</v>
      </c>
      <c r="B83" s="453" t="s">
        <v>136</v>
      </c>
      <c r="C83" s="454"/>
      <c r="D83" s="454"/>
      <c r="E83" s="454"/>
      <c r="F83" s="454"/>
      <c r="G83" s="455"/>
      <c r="H83" s="42"/>
      <c r="I83" s="34" t="s">
        <v>49</v>
      </c>
    </row>
    <row r="84" spans="1:11" ht="13" x14ac:dyDescent="0.3">
      <c r="A84" s="8" t="s">
        <v>50</v>
      </c>
      <c r="B84" s="452" t="s">
        <v>137</v>
      </c>
      <c r="C84" s="452"/>
      <c r="D84" s="452"/>
      <c r="E84" s="452"/>
      <c r="F84" s="452"/>
      <c r="G84" s="452"/>
      <c r="H84" s="23" t="s">
        <v>138</v>
      </c>
      <c r="I84" s="27">
        <f>'Mód2.3 '!E12</f>
        <v>132.6696</v>
      </c>
    </row>
    <row r="85" spans="1:11" ht="13" x14ac:dyDescent="0.3">
      <c r="A85" s="8" t="s">
        <v>51</v>
      </c>
      <c r="B85" s="452" t="s">
        <v>139</v>
      </c>
      <c r="C85" s="452"/>
      <c r="D85" s="452"/>
      <c r="E85" s="452"/>
      <c r="F85" s="452"/>
      <c r="G85" s="452"/>
      <c r="H85" s="23" t="s">
        <v>138</v>
      </c>
      <c r="I85" s="27">
        <f>'Mód2.3 '!E25</f>
        <v>573.26060000000007</v>
      </c>
    </row>
    <row r="86" spans="1:11" ht="13" x14ac:dyDescent="0.3">
      <c r="A86" s="8" t="s">
        <v>52</v>
      </c>
      <c r="B86" s="452" t="s">
        <v>454</v>
      </c>
      <c r="C86" s="452"/>
      <c r="D86" s="452"/>
      <c r="E86" s="452"/>
      <c r="F86" s="452"/>
      <c r="G86" s="452"/>
      <c r="H86" s="23" t="s">
        <v>138</v>
      </c>
      <c r="I86" s="27">
        <f>'Mód2.3 '!E33</f>
        <v>121.03055999999999</v>
      </c>
    </row>
    <row r="87" spans="1:11" ht="25.5" customHeight="1" x14ac:dyDescent="0.25">
      <c r="A87" s="47" t="s">
        <v>63</v>
      </c>
      <c r="B87" s="465" t="s">
        <v>456</v>
      </c>
      <c r="C87" s="465"/>
      <c r="D87" s="465"/>
      <c r="E87" s="465"/>
      <c r="F87" s="465"/>
      <c r="G87" s="465"/>
      <c r="H87" s="36" t="s">
        <v>138</v>
      </c>
      <c r="I87" s="169">
        <f>'Mód2.3 '!E42</f>
        <v>11</v>
      </c>
    </row>
    <row r="88" spans="1:11" ht="13" x14ac:dyDescent="0.3">
      <c r="A88" s="8" t="s">
        <v>97</v>
      </c>
      <c r="B88" s="452" t="s">
        <v>140</v>
      </c>
      <c r="C88" s="452"/>
      <c r="D88" s="452"/>
      <c r="E88" s="452"/>
      <c r="F88" s="452"/>
      <c r="G88" s="452"/>
      <c r="H88" s="23" t="s">
        <v>138</v>
      </c>
      <c r="I88" s="27">
        <f>'Mód2.3 '!E52</f>
        <v>0</v>
      </c>
    </row>
    <row r="89" spans="1:11" ht="13" x14ac:dyDescent="0.3">
      <c r="A89" s="8" t="s">
        <v>99</v>
      </c>
      <c r="B89" s="452" t="s">
        <v>141</v>
      </c>
      <c r="C89" s="452"/>
      <c r="D89" s="452"/>
      <c r="E89" s="452"/>
      <c r="F89" s="452"/>
      <c r="G89" s="452"/>
      <c r="H89" s="23" t="s">
        <v>138</v>
      </c>
      <c r="I89" s="27">
        <f>'Mód2.3 '!E60</f>
        <v>0</v>
      </c>
    </row>
    <row r="90" spans="1:11" ht="13" x14ac:dyDescent="0.3">
      <c r="A90" s="445" t="s">
        <v>142</v>
      </c>
      <c r="B90" s="445"/>
      <c r="C90" s="445"/>
      <c r="D90" s="445"/>
      <c r="E90" s="445"/>
      <c r="F90" s="445"/>
      <c r="G90" s="445"/>
      <c r="H90" s="445"/>
      <c r="I90" s="43">
        <f>SUM(I84:I89)</f>
        <v>837.96076000000005</v>
      </c>
    </row>
    <row r="91" spans="1:11" ht="13" x14ac:dyDescent="0.3">
      <c r="A91" s="3"/>
      <c r="B91" s="3"/>
      <c r="C91" s="3"/>
      <c r="D91" s="3"/>
      <c r="E91" s="3"/>
      <c r="F91" s="3"/>
      <c r="G91" s="3"/>
      <c r="H91" s="3"/>
      <c r="I91" s="4"/>
    </row>
    <row r="92" spans="1:11" ht="13" x14ac:dyDescent="0.3">
      <c r="A92" s="37" t="s">
        <v>143</v>
      </c>
      <c r="B92" s="3"/>
      <c r="C92" s="3"/>
      <c r="D92" s="3"/>
      <c r="E92" s="3"/>
      <c r="F92" s="3"/>
      <c r="G92" s="3"/>
      <c r="H92" s="3"/>
      <c r="I92" s="4"/>
    </row>
    <row r="93" spans="1:11" ht="13" x14ac:dyDescent="0.3">
      <c r="A93" s="37" t="s">
        <v>144</v>
      </c>
      <c r="B93" s="3"/>
      <c r="C93" s="3"/>
      <c r="D93" s="3"/>
      <c r="E93" s="3"/>
      <c r="F93" s="3"/>
      <c r="G93" s="3"/>
      <c r="H93" s="3"/>
      <c r="I93" s="4"/>
    </row>
    <row r="94" spans="1:11" ht="13" x14ac:dyDescent="0.3">
      <c r="A94" s="37" t="s">
        <v>145</v>
      </c>
      <c r="B94" s="3"/>
      <c r="C94" s="3"/>
      <c r="D94" s="3"/>
      <c r="E94" s="3"/>
      <c r="F94" s="3"/>
      <c r="G94" s="3"/>
      <c r="H94" s="3"/>
      <c r="I94" s="4"/>
    </row>
    <row r="95" spans="1:11" ht="13" x14ac:dyDescent="0.3">
      <c r="A95" s="37" t="s">
        <v>146</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147</v>
      </c>
      <c r="C97" s="48"/>
      <c r="D97" s="48"/>
      <c r="E97" s="48"/>
      <c r="F97" s="48"/>
      <c r="G97" s="48"/>
      <c r="H97" s="48"/>
      <c r="I97" s="48"/>
    </row>
    <row r="98" spans="1:11" ht="13" x14ac:dyDescent="0.3">
      <c r="A98" s="405" t="s">
        <v>148</v>
      </c>
      <c r="B98" s="405"/>
      <c r="C98" s="405"/>
      <c r="D98" s="405"/>
      <c r="E98" s="405"/>
      <c r="F98" s="405"/>
      <c r="G98" s="405"/>
      <c r="H98" s="405"/>
      <c r="I98" s="8" t="s">
        <v>49</v>
      </c>
    </row>
    <row r="99" spans="1:11" ht="13" x14ac:dyDescent="0.3">
      <c r="A99" s="8" t="s">
        <v>105</v>
      </c>
      <c r="B99" s="456" t="s">
        <v>149</v>
      </c>
      <c r="C99" s="456"/>
      <c r="D99" s="456"/>
      <c r="E99" s="456"/>
      <c r="F99" s="456"/>
      <c r="G99" s="456"/>
      <c r="H99" s="456"/>
      <c r="I99" s="25">
        <f>I56</f>
        <v>483.28493905919993</v>
      </c>
    </row>
    <row r="100" spans="1:11" ht="13" x14ac:dyDescent="0.3">
      <c r="A100" s="8" t="s">
        <v>117</v>
      </c>
      <c r="B100" s="456" t="s">
        <v>150</v>
      </c>
      <c r="C100" s="456"/>
      <c r="D100" s="456"/>
      <c r="E100" s="456"/>
      <c r="F100" s="456"/>
      <c r="G100" s="456"/>
      <c r="H100" s="456"/>
      <c r="I100" s="25">
        <f>I75</f>
        <v>636.27494399999989</v>
      </c>
    </row>
    <row r="101" spans="1:11" ht="13" x14ac:dyDescent="0.3">
      <c r="A101" s="8" t="s">
        <v>135</v>
      </c>
      <c r="B101" s="456" t="s">
        <v>151</v>
      </c>
      <c r="C101" s="456"/>
      <c r="D101" s="456"/>
      <c r="E101" s="456"/>
      <c r="F101" s="456"/>
      <c r="G101" s="456"/>
      <c r="H101" s="456"/>
      <c r="I101" s="25">
        <f>I90</f>
        <v>837.96076000000005</v>
      </c>
    </row>
    <row r="102" spans="1:11" ht="13" x14ac:dyDescent="0.3">
      <c r="A102" s="450" t="s">
        <v>152</v>
      </c>
      <c r="B102" s="450"/>
      <c r="C102" s="450"/>
      <c r="D102" s="450"/>
      <c r="E102" s="450"/>
      <c r="F102" s="450"/>
      <c r="G102" s="450"/>
      <c r="H102" s="450"/>
      <c r="I102" s="129">
        <f>SUM(I99:I101)</f>
        <v>1957.5206430591998</v>
      </c>
      <c r="K102" s="7"/>
    </row>
    <row r="103" spans="1:11" ht="13" x14ac:dyDescent="0.3">
      <c r="A103" s="469"/>
      <c r="B103" s="470"/>
      <c r="C103" s="470"/>
      <c r="D103" s="470"/>
      <c r="E103" s="470"/>
      <c r="F103" s="470"/>
      <c r="G103" s="470"/>
      <c r="H103" s="470"/>
      <c r="I103" s="470"/>
    </row>
    <row r="104" spans="1:11" ht="13" x14ac:dyDescent="0.3">
      <c r="A104" s="451" t="s">
        <v>153</v>
      </c>
      <c r="B104" s="451"/>
      <c r="C104" s="451"/>
      <c r="D104" s="451"/>
      <c r="E104" s="451"/>
      <c r="F104" s="451"/>
      <c r="G104" s="451"/>
      <c r="H104" s="451"/>
      <c r="I104" s="451"/>
    </row>
    <row r="105" spans="1:11" ht="13" x14ac:dyDescent="0.3">
      <c r="A105" s="8">
        <v>3</v>
      </c>
      <c r="B105" s="405" t="s">
        <v>154</v>
      </c>
      <c r="C105" s="405"/>
      <c r="D105" s="405"/>
      <c r="E105" s="405"/>
      <c r="F105" s="405"/>
      <c r="G105" s="405"/>
      <c r="H105" s="8" t="s">
        <v>90</v>
      </c>
      <c r="I105" s="8" t="s">
        <v>49</v>
      </c>
    </row>
    <row r="106" spans="1:11" ht="13" x14ac:dyDescent="0.3">
      <c r="A106" s="8" t="s">
        <v>50</v>
      </c>
      <c r="B106" s="406" t="s">
        <v>155</v>
      </c>
      <c r="C106" s="406"/>
      <c r="D106" s="406"/>
      <c r="E106" s="406"/>
      <c r="F106" s="406"/>
      <c r="G106" s="406"/>
      <c r="H106" s="1">
        <v>4.1999999999999997E-3</v>
      </c>
      <c r="I106" s="25">
        <f>H106*I45</f>
        <v>7.2618335999999983</v>
      </c>
    </row>
    <row r="107" spans="1:11" ht="13" x14ac:dyDescent="0.25">
      <c r="A107" s="47" t="s">
        <v>51</v>
      </c>
      <c r="B107" s="449" t="s">
        <v>156</v>
      </c>
      <c r="C107" s="449"/>
      <c r="D107" s="449"/>
      <c r="E107" s="449"/>
      <c r="F107" s="449"/>
      <c r="G107" s="449"/>
      <c r="H107" s="163">
        <f>H74</f>
        <v>0.08</v>
      </c>
      <c r="I107" s="164">
        <f>I106*H107</f>
        <v>0.58094668799999993</v>
      </c>
    </row>
    <row r="108" spans="1:11" ht="24.75" customHeight="1" x14ac:dyDescent="0.25">
      <c r="A108" s="47" t="s">
        <v>52</v>
      </c>
      <c r="B108" s="449" t="s">
        <v>157</v>
      </c>
      <c r="C108" s="449"/>
      <c r="D108" s="449"/>
      <c r="E108" s="449"/>
      <c r="F108" s="449"/>
      <c r="G108" s="449"/>
      <c r="H108" s="163">
        <v>2E-3</v>
      </c>
      <c r="I108" s="164">
        <f>H108*I45</f>
        <v>3.4580159999999998</v>
      </c>
    </row>
    <row r="109" spans="1:11" ht="13" x14ac:dyDescent="0.3">
      <c r="A109" s="8" t="s">
        <v>63</v>
      </c>
      <c r="B109" s="406" t="s">
        <v>158</v>
      </c>
      <c r="C109" s="406"/>
      <c r="D109" s="406"/>
      <c r="E109" s="406"/>
      <c r="F109" s="406"/>
      <c r="G109" s="406"/>
      <c r="H109" s="1">
        <v>1.9400000000000001E-2</v>
      </c>
      <c r="I109" s="25">
        <f>H109*I45</f>
        <v>33.542755199999995</v>
      </c>
    </row>
    <row r="110" spans="1:11" ht="13" x14ac:dyDescent="0.3">
      <c r="A110" s="8" t="s">
        <v>97</v>
      </c>
      <c r="B110" s="466" t="s">
        <v>159</v>
      </c>
      <c r="C110" s="466"/>
      <c r="D110" s="466"/>
      <c r="E110" s="466"/>
      <c r="F110" s="466"/>
      <c r="G110" s="466"/>
      <c r="H110" s="24">
        <f>H75</f>
        <v>0.36800000000000005</v>
      </c>
      <c r="I110" s="25">
        <f>I109*H110</f>
        <v>12.343733913599999</v>
      </c>
    </row>
    <row r="111" spans="1:11" ht="25.5" customHeight="1" x14ac:dyDescent="0.25">
      <c r="A111" s="47" t="s">
        <v>99</v>
      </c>
      <c r="B111" s="449" t="s">
        <v>160</v>
      </c>
      <c r="C111" s="449"/>
      <c r="D111" s="449"/>
      <c r="E111" s="449"/>
      <c r="F111" s="449"/>
      <c r="G111" s="449"/>
      <c r="H111" s="163">
        <v>3.7999999999999999E-2</v>
      </c>
      <c r="I111" s="164">
        <f>H111*I45</f>
        <v>65.702303999999998</v>
      </c>
      <c r="K111" s="7"/>
    </row>
    <row r="112" spans="1:11" ht="13" x14ac:dyDescent="0.3">
      <c r="A112" s="450" t="s">
        <v>161</v>
      </c>
      <c r="B112" s="450"/>
      <c r="C112" s="450"/>
      <c r="D112" s="450"/>
      <c r="E112" s="450"/>
      <c r="F112" s="450"/>
      <c r="G112" s="450"/>
      <c r="H112" s="42"/>
      <c r="I112" s="129">
        <f>SUM(I106:I111)</f>
        <v>122.88958940159998</v>
      </c>
    </row>
    <row r="113" spans="1:11" ht="13" x14ac:dyDescent="0.3">
      <c r="A113" s="467"/>
      <c r="B113" s="468"/>
      <c r="C113" s="468"/>
      <c r="D113" s="468"/>
      <c r="E113" s="468"/>
      <c r="F113" s="468"/>
      <c r="G113" s="468"/>
      <c r="H113" s="468"/>
      <c r="I113" s="468"/>
    </row>
    <row r="114" spans="1:11" ht="13" x14ac:dyDescent="0.3">
      <c r="A114" s="451" t="s">
        <v>162</v>
      </c>
      <c r="B114" s="451"/>
      <c r="C114" s="451"/>
      <c r="D114" s="451"/>
      <c r="E114" s="451"/>
      <c r="F114" s="451"/>
      <c r="G114" s="451"/>
      <c r="H114" s="451"/>
      <c r="I114" s="451"/>
    </row>
    <row r="115" spans="1:11" ht="13" x14ac:dyDescent="0.3">
      <c r="A115" s="3"/>
      <c r="B115" s="3"/>
      <c r="C115" s="3"/>
      <c r="D115" s="3"/>
      <c r="E115" s="3"/>
      <c r="F115" s="3"/>
      <c r="G115" s="3"/>
      <c r="H115" s="3"/>
      <c r="I115" s="3"/>
    </row>
    <row r="116" spans="1:11" ht="13" x14ac:dyDescent="0.3">
      <c r="A116" s="37" t="s">
        <v>163</v>
      </c>
      <c r="B116" s="3"/>
      <c r="C116" s="3"/>
      <c r="D116" s="3"/>
      <c r="E116" s="3"/>
      <c r="F116" s="3"/>
      <c r="G116" s="3"/>
      <c r="H116" s="3"/>
      <c r="I116" s="3"/>
    </row>
    <row r="117" spans="1:11" ht="13" x14ac:dyDescent="0.3">
      <c r="A117" s="37" t="s">
        <v>164</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165</v>
      </c>
      <c r="B119" s="445" t="s">
        <v>166</v>
      </c>
      <c r="C119" s="445"/>
      <c r="D119" s="445"/>
      <c r="E119" s="445"/>
      <c r="F119" s="445"/>
      <c r="G119" s="445"/>
      <c r="H119" s="34" t="s">
        <v>90</v>
      </c>
      <c r="I119" s="34" t="s">
        <v>49</v>
      </c>
    </row>
    <row r="120" spans="1:11" ht="13" x14ac:dyDescent="0.3">
      <c r="A120" s="49" t="s">
        <v>50</v>
      </c>
      <c r="B120" s="406" t="s">
        <v>167</v>
      </c>
      <c r="C120" s="406"/>
      <c r="D120" s="406"/>
      <c r="E120" s="406"/>
      <c r="F120" s="406"/>
      <c r="G120" s="406"/>
      <c r="H120" s="43"/>
      <c r="I120" s="43"/>
    </row>
    <row r="121" spans="1:11" ht="13" x14ac:dyDescent="0.3">
      <c r="A121" s="8" t="s">
        <v>51</v>
      </c>
      <c r="B121" s="406" t="s">
        <v>168</v>
      </c>
      <c r="C121" s="406"/>
      <c r="D121" s="406"/>
      <c r="E121" s="406"/>
      <c r="F121" s="406"/>
      <c r="G121" s="406"/>
      <c r="H121" s="175">
        <v>1.67E-2</v>
      </c>
      <c r="I121" s="25">
        <f>H121*$I$45</f>
        <v>28.874433599999996</v>
      </c>
      <c r="J121" s="32" t="s">
        <v>169</v>
      </c>
      <c r="K121" s="166"/>
    </row>
    <row r="122" spans="1:11" ht="13" x14ac:dyDescent="0.3">
      <c r="A122" s="8" t="s">
        <v>52</v>
      </c>
      <c r="B122" s="406" t="s">
        <v>170</v>
      </c>
      <c r="C122" s="406"/>
      <c r="D122" s="406"/>
      <c r="E122" s="406"/>
      <c r="F122" s="406"/>
      <c r="G122" s="406"/>
      <c r="H122" s="175">
        <v>2.0000000000000001E-4</v>
      </c>
      <c r="I122" s="25">
        <f>H122*$I$45</f>
        <v>0.34580159999999999</v>
      </c>
      <c r="J122" s="32" t="s">
        <v>169</v>
      </c>
      <c r="K122" s="166"/>
    </row>
    <row r="123" spans="1:11" ht="13.5" x14ac:dyDescent="0.25">
      <c r="A123" s="47" t="s">
        <v>63</v>
      </c>
      <c r="B123" s="449" t="s">
        <v>171</v>
      </c>
      <c r="C123" s="449"/>
      <c r="D123" s="449"/>
      <c r="E123" s="449"/>
      <c r="F123" s="449"/>
      <c r="G123" s="449"/>
      <c r="H123" s="163">
        <v>6.9999999999999999E-4</v>
      </c>
      <c r="I123" s="164">
        <f>H123*$I$45</f>
        <v>1.2103055999999999</v>
      </c>
      <c r="J123" s="32" t="s">
        <v>169</v>
      </c>
    </row>
    <row r="124" spans="1:11" ht="13" x14ac:dyDescent="0.3">
      <c r="A124" s="8" t="s">
        <v>97</v>
      </c>
      <c r="B124" s="406" t="s">
        <v>172</v>
      </c>
      <c r="C124" s="406"/>
      <c r="D124" s="406"/>
      <c r="E124" s="406"/>
      <c r="F124" s="406"/>
      <c r="G124" s="406"/>
      <c r="H124" s="175">
        <v>2.8999999999999998E-3</v>
      </c>
      <c r="I124" s="25">
        <f>H124*$I$45</f>
        <v>5.0141231999999993</v>
      </c>
      <c r="J124" s="32" t="s">
        <v>169</v>
      </c>
    </row>
    <row r="125" spans="1:11" ht="13" x14ac:dyDescent="0.3">
      <c r="A125" s="8" t="s">
        <v>99</v>
      </c>
      <c r="B125" s="406" t="s">
        <v>173</v>
      </c>
      <c r="C125" s="406"/>
      <c r="D125" s="406"/>
      <c r="E125" s="406"/>
      <c r="F125" s="406"/>
      <c r="G125" s="406"/>
      <c r="H125" s="175"/>
      <c r="I125" s="25">
        <f t="shared" ref="I125" si="1">H125*$I$45</f>
        <v>0</v>
      </c>
      <c r="J125" s="32" t="s">
        <v>169</v>
      </c>
    </row>
    <row r="126" spans="1:11" ht="13" x14ac:dyDescent="0.3">
      <c r="A126" s="445" t="s">
        <v>174</v>
      </c>
      <c r="B126" s="445"/>
      <c r="C126" s="445"/>
      <c r="D126" s="445"/>
      <c r="E126" s="445"/>
      <c r="F126" s="445"/>
      <c r="G126" s="445"/>
      <c r="H126" s="42"/>
      <c r="I126" s="43">
        <f>SUM(I121:I125)</f>
        <v>35.444663999999996</v>
      </c>
      <c r="J126" s="32"/>
    </row>
    <row r="127" spans="1:11" ht="13" x14ac:dyDescent="0.3">
      <c r="A127" s="8" t="s">
        <v>99</v>
      </c>
      <c r="B127" s="406" t="s">
        <v>175</v>
      </c>
      <c r="C127" s="406"/>
      <c r="D127" s="406"/>
      <c r="E127" s="406"/>
      <c r="F127" s="406"/>
      <c r="G127" s="406"/>
      <c r="H127" s="1">
        <f>H75</f>
        <v>0.36800000000000005</v>
      </c>
      <c r="I127" s="25">
        <f>I126*H127</f>
        <v>13.043636352</v>
      </c>
    </row>
    <row r="128" spans="1:11" ht="13" x14ac:dyDescent="0.3">
      <c r="A128" s="445" t="s">
        <v>176</v>
      </c>
      <c r="B128" s="445"/>
      <c r="C128" s="445"/>
      <c r="D128" s="445"/>
      <c r="E128" s="445"/>
      <c r="F128" s="445"/>
      <c r="G128" s="445"/>
      <c r="H128" s="42"/>
      <c r="I128" s="43">
        <f>SUM(I126:I127)</f>
        <v>48.488300351999996</v>
      </c>
    </row>
    <row r="129" spans="1:9" ht="13" x14ac:dyDescent="0.3">
      <c r="A129" s="3"/>
      <c r="B129" s="3"/>
      <c r="C129" s="3"/>
      <c r="D129" s="3"/>
      <c r="E129" s="3"/>
      <c r="F129" s="3"/>
      <c r="G129" s="3"/>
      <c r="H129" s="3"/>
      <c r="I129" s="3"/>
    </row>
    <row r="130" spans="1:9" ht="13" x14ac:dyDescent="0.3">
      <c r="A130" s="49" t="s">
        <v>177</v>
      </c>
      <c r="B130" s="453" t="s">
        <v>178</v>
      </c>
      <c r="C130" s="454"/>
      <c r="D130" s="454"/>
      <c r="E130" s="454"/>
      <c r="F130" s="454"/>
      <c r="G130" s="455"/>
      <c r="H130" s="34" t="s">
        <v>90</v>
      </c>
      <c r="I130" s="34" t="s">
        <v>49</v>
      </c>
    </row>
    <row r="131" spans="1:9" ht="13" x14ac:dyDescent="0.3">
      <c r="A131" s="8" t="s">
        <v>50</v>
      </c>
      <c r="B131" s="475" t="s">
        <v>179</v>
      </c>
      <c r="C131" s="476"/>
      <c r="D131" s="476"/>
      <c r="E131" s="476"/>
      <c r="F131" s="476"/>
      <c r="G131" s="477"/>
      <c r="H131" s="175">
        <v>0</v>
      </c>
      <c r="I131" s="25">
        <v>0</v>
      </c>
    </row>
    <row r="132" spans="1:9" ht="13" x14ac:dyDescent="0.3">
      <c r="A132" s="453" t="s">
        <v>180</v>
      </c>
      <c r="B132" s="454"/>
      <c r="C132" s="454"/>
      <c r="D132" s="454"/>
      <c r="E132" s="454"/>
      <c r="F132" s="454"/>
      <c r="G132" s="455"/>
      <c r="H132" s="42">
        <f>TRUNC(SUM(H131),4)</f>
        <v>0</v>
      </c>
      <c r="I132" s="43">
        <f>SUM(I131)</f>
        <v>0</v>
      </c>
    </row>
    <row r="133" spans="1:9" ht="13" x14ac:dyDescent="0.3">
      <c r="A133" s="51"/>
      <c r="B133" s="45"/>
      <c r="C133" s="45"/>
      <c r="D133" s="45"/>
      <c r="E133" s="45"/>
      <c r="F133" s="45"/>
      <c r="G133" s="45"/>
      <c r="H133" s="45"/>
      <c r="I133" s="45"/>
    </row>
    <row r="134" spans="1:9" ht="13" x14ac:dyDescent="0.3">
      <c r="A134" s="445" t="s">
        <v>181</v>
      </c>
      <c r="B134" s="445"/>
      <c r="C134" s="445"/>
      <c r="D134" s="445"/>
      <c r="E134" s="445"/>
      <c r="F134" s="445"/>
      <c r="G134" s="445"/>
      <c r="H134" s="445"/>
      <c r="I134" s="445"/>
    </row>
    <row r="135" spans="1:9" ht="13" x14ac:dyDescent="0.3">
      <c r="A135" s="47">
        <v>4</v>
      </c>
      <c r="B135" s="423" t="s">
        <v>182</v>
      </c>
      <c r="C135" s="424"/>
      <c r="D135" s="424"/>
      <c r="E135" s="424"/>
      <c r="F135" s="424"/>
      <c r="G135" s="425"/>
      <c r="H135" s="46"/>
      <c r="I135" s="8" t="s">
        <v>49</v>
      </c>
    </row>
    <row r="136" spans="1:9" ht="13" x14ac:dyDescent="0.3">
      <c r="A136" s="8" t="s">
        <v>165</v>
      </c>
      <c r="B136" s="472" t="s">
        <v>183</v>
      </c>
      <c r="C136" s="473"/>
      <c r="D136" s="473"/>
      <c r="E136" s="473"/>
      <c r="F136" s="473"/>
      <c r="G136" s="474"/>
      <c r="H136" s="22"/>
      <c r="I136" s="25">
        <f>I128</f>
        <v>48.488300351999996</v>
      </c>
    </row>
    <row r="137" spans="1:9" ht="13" x14ac:dyDescent="0.3">
      <c r="A137" s="8" t="s">
        <v>177</v>
      </c>
      <c r="B137" s="472" t="s">
        <v>184</v>
      </c>
      <c r="C137" s="473"/>
      <c r="D137" s="473"/>
      <c r="E137" s="473"/>
      <c r="F137" s="473"/>
      <c r="G137" s="474"/>
      <c r="H137" s="22"/>
      <c r="I137" s="25">
        <f>I132</f>
        <v>0</v>
      </c>
    </row>
    <row r="138" spans="1:9" ht="13" x14ac:dyDescent="0.3">
      <c r="A138" s="450" t="s">
        <v>185</v>
      </c>
      <c r="B138" s="450"/>
      <c r="C138" s="450"/>
      <c r="D138" s="450"/>
      <c r="E138" s="450"/>
      <c r="F138" s="450"/>
      <c r="G138" s="450"/>
      <c r="H138" s="450"/>
      <c r="I138" s="129">
        <f>SUM(I136:I137)</f>
        <v>48.488300351999996</v>
      </c>
    </row>
    <row r="139" spans="1:9" ht="13" x14ac:dyDescent="0.3">
      <c r="A139" s="469"/>
      <c r="B139" s="470"/>
      <c r="C139" s="470"/>
      <c r="D139" s="470"/>
      <c r="E139" s="470"/>
      <c r="F139" s="470"/>
      <c r="G139" s="470"/>
      <c r="H139" s="470"/>
      <c r="I139" s="470"/>
    </row>
    <row r="140" spans="1:9" ht="13" x14ac:dyDescent="0.3">
      <c r="A140" s="451" t="s">
        <v>186</v>
      </c>
      <c r="B140" s="451"/>
      <c r="C140" s="451"/>
      <c r="D140" s="451"/>
      <c r="E140" s="451"/>
      <c r="F140" s="451"/>
      <c r="G140" s="451"/>
      <c r="H140" s="451"/>
      <c r="I140" s="451"/>
    </row>
    <row r="141" spans="1:9" ht="13" x14ac:dyDescent="0.3">
      <c r="A141" s="8">
        <v>5</v>
      </c>
      <c r="B141" s="405" t="s">
        <v>187</v>
      </c>
      <c r="C141" s="405"/>
      <c r="D141" s="405"/>
      <c r="E141" s="405"/>
      <c r="F141" s="405"/>
      <c r="G141" s="405"/>
      <c r="H141" s="8"/>
      <c r="I141" s="8" t="s">
        <v>49</v>
      </c>
    </row>
    <row r="142" spans="1:9" ht="13" x14ac:dyDescent="0.3">
      <c r="A142" s="8" t="s">
        <v>50</v>
      </c>
      <c r="B142" s="452" t="s">
        <v>188</v>
      </c>
      <c r="C142" s="452"/>
      <c r="D142" s="452"/>
      <c r="E142" s="452"/>
      <c r="F142" s="452"/>
      <c r="G142" s="452"/>
      <c r="H142" s="23" t="s">
        <v>138</v>
      </c>
      <c r="I142" s="25">
        <f>'Uniform&amp;EPIs '!K26</f>
        <v>55.727777777777781</v>
      </c>
    </row>
    <row r="143" spans="1:9" ht="13" x14ac:dyDescent="0.3">
      <c r="A143" s="8" t="s">
        <v>51</v>
      </c>
      <c r="B143" s="452" t="s">
        <v>189</v>
      </c>
      <c r="C143" s="452"/>
      <c r="D143" s="452"/>
      <c r="E143" s="452"/>
      <c r="F143" s="452"/>
      <c r="G143" s="452"/>
      <c r="H143" s="23" t="s">
        <v>138</v>
      </c>
      <c r="I143" s="25">
        <f>'Materiais Florianópolis'!K83</f>
        <v>1105.6317173994742</v>
      </c>
    </row>
    <row r="144" spans="1:9" ht="13" x14ac:dyDescent="0.3">
      <c r="A144" s="28" t="s">
        <v>52</v>
      </c>
      <c r="B144" s="452" t="s">
        <v>190</v>
      </c>
      <c r="C144" s="452"/>
      <c r="D144" s="452"/>
      <c r="E144" s="452"/>
      <c r="F144" s="452"/>
      <c r="G144" s="452"/>
      <c r="H144" s="23" t="s">
        <v>138</v>
      </c>
      <c r="I144" s="25">
        <f>'Eqp Florianópolis'!K26</f>
        <v>3.4510428410372045</v>
      </c>
    </row>
    <row r="145" spans="1:13" ht="13" x14ac:dyDescent="0.3">
      <c r="A145" s="28" t="s">
        <v>63</v>
      </c>
      <c r="B145" s="452" t="s">
        <v>100</v>
      </c>
      <c r="C145" s="452"/>
      <c r="D145" s="452"/>
      <c r="E145" s="452"/>
      <c r="F145" s="452"/>
      <c r="G145" s="452"/>
      <c r="H145" s="23" t="s">
        <v>138</v>
      </c>
      <c r="I145" s="25">
        <v>0</v>
      </c>
    </row>
    <row r="146" spans="1:13" ht="13" x14ac:dyDescent="0.3">
      <c r="A146" s="450" t="s">
        <v>191</v>
      </c>
      <c r="B146" s="450"/>
      <c r="C146" s="450"/>
      <c r="D146" s="450"/>
      <c r="E146" s="450"/>
      <c r="F146" s="450"/>
      <c r="G146" s="450"/>
      <c r="H146" s="42" t="s">
        <v>138</v>
      </c>
      <c r="I146" s="129">
        <f>SUM(I142:I145)</f>
        <v>1164.8105380182892</v>
      </c>
      <c r="K146" s="166"/>
    </row>
    <row r="147" spans="1:13" ht="13" x14ac:dyDescent="0.25">
      <c r="A147" s="53"/>
      <c r="B147" s="53"/>
      <c r="C147" s="53"/>
      <c r="D147" s="53"/>
      <c r="E147" s="53"/>
      <c r="F147" s="53"/>
      <c r="G147" s="53"/>
      <c r="H147" s="53"/>
      <c r="I147" s="53"/>
    </row>
    <row r="148" spans="1:13" ht="13" x14ac:dyDescent="0.3">
      <c r="A148" s="37" t="s">
        <v>192</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51" t="s">
        <v>193</v>
      </c>
      <c r="B150" s="451"/>
      <c r="C150" s="451"/>
      <c r="D150" s="451"/>
      <c r="E150" s="451"/>
      <c r="F150" s="451"/>
      <c r="G150" s="451"/>
      <c r="H150" s="451"/>
      <c r="I150" s="451"/>
    </row>
    <row r="151" spans="1:13" ht="13" x14ac:dyDescent="0.3">
      <c r="A151" s="8">
        <v>6</v>
      </c>
      <c r="B151" s="405" t="s">
        <v>194</v>
      </c>
      <c r="C151" s="405"/>
      <c r="D151" s="405"/>
      <c r="E151" s="405"/>
      <c r="F151" s="405"/>
      <c r="G151" s="405"/>
      <c r="H151" s="8" t="s">
        <v>90</v>
      </c>
      <c r="I151" s="8" t="s">
        <v>49</v>
      </c>
    </row>
    <row r="152" spans="1:13" ht="13" x14ac:dyDescent="0.3">
      <c r="A152" s="8" t="s">
        <v>50</v>
      </c>
      <c r="B152" s="406" t="s">
        <v>195</v>
      </c>
      <c r="C152" s="406"/>
      <c r="D152" s="406"/>
      <c r="E152" s="406"/>
      <c r="F152" s="406"/>
      <c r="G152" s="406"/>
      <c r="H152" s="29">
        <v>0.05</v>
      </c>
      <c r="I152" s="318">
        <f>H152*I170</f>
        <v>251.13585354155444</v>
      </c>
      <c r="J152" s="32" t="s">
        <v>196</v>
      </c>
    </row>
    <row r="153" spans="1:13" ht="13" x14ac:dyDescent="0.3">
      <c r="A153" s="8" t="s">
        <v>51</v>
      </c>
      <c r="B153" s="406" t="s">
        <v>197</v>
      </c>
      <c r="C153" s="406"/>
      <c r="D153" s="406"/>
      <c r="E153" s="406"/>
      <c r="F153" s="406"/>
      <c r="G153" s="406"/>
      <c r="H153" s="29">
        <v>0.1</v>
      </c>
      <c r="I153" s="318">
        <f>H153*(I152+I170)</f>
        <v>527.38529243726441</v>
      </c>
      <c r="J153" s="32" t="s">
        <v>196</v>
      </c>
    </row>
    <row r="154" spans="1:13" ht="13" x14ac:dyDescent="0.3">
      <c r="A154" s="8" t="s">
        <v>52</v>
      </c>
      <c r="B154" s="471" t="s">
        <v>198</v>
      </c>
      <c r="C154" s="471"/>
      <c r="D154" s="471"/>
      <c r="E154" s="471"/>
      <c r="F154" s="471"/>
      <c r="G154" s="471"/>
      <c r="H154" s="2"/>
      <c r="I154" s="30"/>
    </row>
    <row r="155" spans="1:13" ht="13" x14ac:dyDescent="0.3">
      <c r="A155" s="8" t="s">
        <v>199</v>
      </c>
      <c r="B155" s="406" t="s">
        <v>200</v>
      </c>
      <c r="C155" s="406"/>
      <c r="D155" s="406"/>
      <c r="E155" s="406"/>
      <c r="F155" s="406"/>
      <c r="G155" s="406"/>
      <c r="H155" s="6">
        <v>1.6500000000000001E-2</v>
      </c>
      <c r="I155" s="318">
        <f>H155*$I$172</f>
        <v>111.62732428847053</v>
      </c>
      <c r="J155" s="32" t="s">
        <v>201</v>
      </c>
      <c r="K155" s="7"/>
    </row>
    <row r="156" spans="1:13" ht="13" x14ac:dyDescent="0.3">
      <c r="A156" s="8" t="s">
        <v>202</v>
      </c>
      <c r="B156" s="406" t="s">
        <v>203</v>
      </c>
      <c r="C156" s="406"/>
      <c r="D156" s="406"/>
      <c r="E156" s="406"/>
      <c r="F156" s="406"/>
      <c r="G156" s="406"/>
      <c r="H156" s="6">
        <v>7.5999999999999998E-2</v>
      </c>
      <c r="I156" s="318">
        <f t="shared" ref="I156:I157" si="2">H156*$I$172</f>
        <v>514.16222096507636</v>
      </c>
      <c r="J156" s="32" t="s">
        <v>201</v>
      </c>
      <c r="K156" s="7"/>
    </row>
    <row r="157" spans="1:13" ht="13" x14ac:dyDescent="0.3">
      <c r="A157" s="8" t="s">
        <v>204</v>
      </c>
      <c r="B157" s="406" t="s">
        <v>205</v>
      </c>
      <c r="C157" s="406"/>
      <c r="D157" s="406"/>
      <c r="E157" s="406"/>
      <c r="F157" s="406"/>
      <c r="G157" s="406"/>
      <c r="H157" s="6">
        <v>0.05</v>
      </c>
      <c r="I157" s="318">
        <f t="shared" si="2"/>
        <v>338.26461905597131</v>
      </c>
      <c r="J157" s="32" t="s">
        <v>201</v>
      </c>
      <c r="K157" s="7"/>
    </row>
    <row r="158" spans="1:13" ht="13" x14ac:dyDescent="0.3">
      <c r="A158" s="450" t="s">
        <v>206</v>
      </c>
      <c r="B158" s="450"/>
      <c r="C158" s="450"/>
      <c r="D158" s="450"/>
      <c r="E158" s="450"/>
      <c r="F158" s="450"/>
      <c r="G158" s="450"/>
      <c r="H158" s="54">
        <f>SUM(H152:H157)</f>
        <v>0.29250000000000004</v>
      </c>
      <c r="I158" s="129">
        <f>SUM(I152:I157)</f>
        <v>1742.5753102883368</v>
      </c>
      <c r="K158" s="7"/>
      <c r="M158" s="7"/>
    </row>
    <row r="159" spans="1:13" x14ac:dyDescent="0.25">
      <c r="A159" s="309"/>
      <c r="B159" s="319"/>
      <c r="C159" s="319"/>
      <c r="D159" s="319"/>
      <c r="E159" s="319"/>
      <c r="F159" s="319"/>
      <c r="G159" s="319"/>
      <c r="H159" s="319"/>
      <c r="I159" s="319"/>
    </row>
    <row r="160" spans="1:13" ht="13" x14ac:dyDescent="0.25">
      <c r="A160" s="37" t="s">
        <v>207</v>
      </c>
      <c r="B160" s="319"/>
      <c r="C160" s="319"/>
      <c r="D160" s="319"/>
      <c r="E160" s="319"/>
      <c r="F160" s="319"/>
      <c r="G160" s="319"/>
      <c r="H160" s="319"/>
      <c r="I160" s="319"/>
    </row>
    <row r="161" spans="1:11" ht="13" x14ac:dyDescent="0.25">
      <c r="A161" s="37" t="s">
        <v>208</v>
      </c>
      <c r="B161" s="319"/>
      <c r="C161" s="319"/>
      <c r="D161" s="319"/>
      <c r="E161" s="319"/>
      <c r="F161" s="319"/>
      <c r="G161" s="319"/>
      <c r="H161" s="319"/>
      <c r="I161" s="319"/>
    </row>
    <row r="162" spans="1:11" ht="13" x14ac:dyDescent="0.3">
      <c r="A162" s="309"/>
      <c r="B162" s="309"/>
      <c r="C162" s="309"/>
      <c r="D162" s="309"/>
      <c r="E162" s="309"/>
      <c r="F162" s="309"/>
      <c r="G162" s="309"/>
      <c r="H162" s="309"/>
      <c r="I162" s="4"/>
    </row>
    <row r="163" spans="1:11" ht="13" x14ac:dyDescent="0.3">
      <c r="A163" s="445" t="s">
        <v>209</v>
      </c>
      <c r="B163" s="445"/>
      <c r="C163" s="445"/>
      <c r="D163" s="445"/>
      <c r="E163" s="445"/>
      <c r="F163" s="445"/>
      <c r="G163" s="445"/>
      <c r="H163" s="445"/>
      <c r="I163" s="445"/>
      <c r="K163" s="9"/>
    </row>
    <row r="164" spans="1:11" ht="13" x14ac:dyDescent="0.3">
      <c r="A164" s="405" t="s">
        <v>210</v>
      </c>
      <c r="B164" s="405"/>
      <c r="C164" s="405"/>
      <c r="D164" s="405"/>
      <c r="E164" s="405"/>
      <c r="F164" s="405"/>
      <c r="G164" s="405"/>
      <c r="H164" s="405"/>
      <c r="I164" s="8" t="s">
        <v>49</v>
      </c>
    </row>
    <row r="165" spans="1:11" x14ac:dyDescent="0.25">
      <c r="A165" s="311" t="s">
        <v>50</v>
      </c>
      <c r="B165" s="444" t="str">
        <f>A37</f>
        <v>MÓDULO 1 - COMPOSIÇÃO DA REMUNERAÇÃO</v>
      </c>
      <c r="C165" s="444"/>
      <c r="D165" s="444"/>
      <c r="E165" s="444"/>
      <c r="F165" s="444"/>
      <c r="G165" s="444"/>
      <c r="H165" s="444"/>
      <c r="I165" s="318">
        <f>I45</f>
        <v>1729.0079999999998</v>
      </c>
    </row>
    <row r="166" spans="1:11" x14ac:dyDescent="0.25">
      <c r="A166" s="311" t="s">
        <v>51</v>
      </c>
      <c r="B166" s="444" t="str">
        <f>A50</f>
        <v>MÓDULO 2 – ENCARGOS E BENEFÍCIOS ANUAIS, MENSAIS E DIÁRIOS</v>
      </c>
      <c r="C166" s="444"/>
      <c r="D166" s="444"/>
      <c r="E166" s="444"/>
      <c r="F166" s="444"/>
      <c r="G166" s="444"/>
      <c r="H166" s="444"/>
      <c r="I166" s="318">
        <f>I102</f>
        <v>1957.5206430591998</v>
      </c>
    </row>
    <row r="167" spans="1:11" ht="13" x14ac:dyDescent="0.3">
      <c r="A167" s="311" t="s">
        <v>52</v>
      </c>
      <c r="B167" s="444" t="str">
        <f>A104</f>
        <v>MÓDULO 3 – PROVISÃO PARA RESCISÃO</v>
      </c>
      <c r="C167" s="444"/>
      <c r="D167" s="444"/>
      <c r="E167" s="444"/>
      <c r="F167" s="444"/>
      <c r="G167" s="444"/>
      <c r="H167" s="444"/>
      <c r="I167" s="318">
        <f>I112</f>
        <v>122.88958940159998</v>
      </c>
      <c r="K167" s="9"/>
    </row>
    <row r="168" spans="1:11" ht="13" x14ac:dyDescent="0.3">
      <c r="A168" s="23" t="s">
        <v>63</v>
      </c>
      <c r="B168" s="444" t="str">
        <f>A114</f>
        <v>MÓDULO 4 – CUSTO DE REPOSIÇÃO DO PROFISSIONAL AUSENTE</v>
      </c>
      <c r="C168" s="444"/>
      <c r="D168" s="444"/>
      <c r="E168" s="444"/>
      <c r="F168" s="444"/>
      <c r="G168" s="444"/>
      <c r="H168" s="444"/>
      <c r="I168" s="318">
        <f>I138</f>
        <v>48.488300351999996</v>
      </c>
      <c r="K168" s="9"/>
    </row>
    <row r="169" spans="1:11" x14ac:dyDescent="0.25">
      <c r="A169" s="23" t="s">
        <v>97</v>
      </c>
      <c r="B169" s="444" t="str">
        <f>A140</f>
        <v>MÓDULO 5 – INSUMOS DIVERSOS</v>
      </c>
      <c r="C169" s="444"/>
      <c r="D169" s="444"/>
      <c r="E169" s="444"/>
      <c r="F169" s="444"/>
      <c r="G169" s="444"/>
      <c r="H169" s="444"/>
      <c r="I169" s="318">
        <f>I146</f>
        <v>1164.8105380182892</v>
      </c>
    </row>
    <row r="170" spans="1:11" ht="13" x14ac:dyDescent="0.3">
      <c r="A170" s="8"/>
      <c r="B170" s="405" t="s">
        <v>211</v>
      </c>
      <c r="C170" s="405"/>
      <c r="D170" s="405"/>
      <c r="E170" s="405"/>
      <c r="F170" s="405"/>
      <c r="G170" s="405"/>
      <c r="H170" s="405"/>
      <c r="I170" s="26">
        <f>SUM(I165:I169)</f>
        <v>5022.7170708310887</v>
      </c>
      <c r="K170" s="7"/>
    </row>
    <row r="171" spans="1:11" x14ac:dyDescent="0.25">
      <c r="A171" s="23" t="s">
        <v>99</v>
      </c>
      <c r="B171" s="444" t="str">
        <f>A150</f>
        <v>MÓDULO 6 – CUSTOS INDIRETOS, TRIBUTOS E LUCRO</v>
      </c>
      <c r="C171" s="444"/>
      <c r="D171" s="444"/>
      <c r="E171" s="444"/>
      <c r="F171" s="444"/>
      <c r="G171" s="444"/>
      <c r="H171" s="444"/>
      <c r="I171" s="25">
        <f>I158</f>
        <v>1742.5753102883368</v>
      </c>
    </row>
    <row r="172" spans="1:11" ht="13" x14ac:dyDescent="0.3">
      <c r="A172" s="450" t="s">
        <v>212</v>
      </c>
      <c r="B172" s="450"/>
      <c r="C172" s="450"/>
      <c r="D172" s="450"/>
      <c r="E172" s="450"/>
      <c r="F172" s="450"/>
      <c r="G172" s="450"/>
      <c r="H172" s="450"/>
      <c r="I172" s="129">
        <f>SUM(I45,I102,I112,I138,I146,I152,I153)/(1-SUM(H155:H157))</f>
        <v>6765.292381119426</v>
      </c>
    </row>
    <row r="173" spans="1:11" ht="13" x14ac:dyDescent="0.3">
      <c r="A173" s="3"/>
      <c r="B173" s="3"/>
      <c r="C173" s="3"/>
      <c r="D173" s="3"/>
      <c r="E173" s="3"/>
      <c r="F173" s="3"/>
      <c r="G173" s="3"/>
      <c r="H173" s="3"/>
      <c r="I173" s="4"/>
    </row>
    <row r="175" spans="1:11" ht="13" hidden="1" outlineLevel="1" x14ac:dyDescent="0.25">
      <c r="A175" s="416" t="s">
        <v>13</v>
      </c>
      <c r="B175" s="417"/>
      <c r="C175" s="417"/>
      <c r="D175" s="417"/>
      <c r="E175" s="417"/>
      <c r="F175" s="417"/>
      <c r="G175" s="417"/>
      <c r="H175" s="417"/>
      <c r="I175" s="418"/>
    </row>
    <row r="176" spans="1:11" ht="13" hidden="1" outlineLevel="1" x14ac:dyDescent="0.3">
      <c r="A176" s="419"/>
      <c r="B176" s="420"/>
      <c r="C176" s="420"/>
      <c r="D176" s="420"/>
      <c r="E176" s="420"/>
      <c r="F176" s="420"/>
      <c r="G176" s="420"/>
      <c r="H176" s="420"/>
      <c r="I176" s="421"/>
    </row>
    <row r="177" spans="1:9" hidden="1" outlineLevel="1" x14ac:dyDescent="0.25">
      <c r="A177" s="407" t="s">
        <v>14</v>
      </c>
      <c r="B177" s="408"/>
      <c r="C177" s="408"/>
      <c r="D177" s="408"/>
      <c r="E177" s="408"/>
      <c r="F177" s="408"/>
      <c r="G177" s="408"/>
      <c r="H177" s="408"/>
      <c r="I177" s="409"/>
    </row>
    <row r="178" spans="1:9" hidden="1" outlineLevel="1" x14ac:dyDescent="0.25">
      <c r="A178" s="410"/>
      <c r="B178" s="411"/>
      <c r="C178" s="411"/>
      <c r="D178" s="411"/>
      <c r="E178" s="411"/>
      <c r="F178" s="411"/>
      <c r="G178" s="411"/>
      <c r="H178" s="411"/>
      <c r="I178" s="412"/>
    </row>
    <row r="179" spans="1:9" hidden="1" outlineLevel="1" x14ac:dyDescent="0.25"/>
    <row r="180" spans="1:9" ht="39" hidden="1" outlineLevel="1" x14ac:dyDescent="0.3">
      <c r="A180" s="389" t="s">
        <v>15</v>
      </c>
      <c r="B180" s="389"/>
      <c r="C180" s="389"/>
      <c r="D180" s="422" t="s">
        <v>16</v>
      </c>
      <c r="E180" s="405"/>
      <c r="F180" s="405"/>
      <c r="G180" s="422" t="s">
        <v>17</v>
      </c>
      <c r="H180" s="405"/>
      <c r="I180" s="56" t="s">
        <v>18</v>
      </c>
    </row>
    <row r="181" spans="1:9" ht="29.5" hidden="1" customHeight="1" outlineLevel="1" x14ac:dyDescent="0.25">
      <c r="A181" s="413" t="s">
        <v>19</v>
      </c>
      <c r="B181" s="413"/>
      <c r="C181" s="413"/>
      <c r="D181" s="414" t="s">
        <v>20</v>
      </c>
      <c r="E181" s="413"/>
      <c r="F181" s="413"/>
      <c r="G181" s="415">
        <f>'Servente-Florianópolis'!I172</f>
        <v>6765.292381119426</v>
      </c>
      <c r="H181" s="413"/>
      <c r="I181" s="176">
        <f>(1/D223*G181)</f>
        <v>8.456615476399282</v>
      </c>
    </row>
    <row r="182" spans="1:9" ht="13" hidden="1" outlineLevel="1" x14ac:dyDescent="0.3">
      <c r="A182" s="405" t="s">
        <v>21</v>
      </c>
      <c r="B182" s="405"/>
      <c r="C182" s="405"/>
      <c r="D182" s="405"/>
      <c r="E182" s="405"/>
      <c r="F182" s="405"/>
      <c r="G182" s="405"/>
      <c r="H182" s="405"/>
      <c r="I182" s="177">
        <f>SUM(I181:I181)</f>
        <v>8.456615476399282</v>
      </c>
    </row>
    <row r="183" spans="1:9" hidden="1" outlineLevel="1" x14ac:dyDescent="0.25"/>
    <row r="184" spans="1:9" ht="13" hidden="1" outlineLevel="1" x14ac:dyDescent="0.3">
      <c r="A184" s="406" t="s">
        <v>22</v>
      </c>
      <c r="B184" s="406"/>
      <c r="C184" s="406"/>
      <c r="D184" s="406"/>
      <c r="E184" s="406"/>
      <c r="F184" s="406"/>
      <c r="G184" s="406"/>
      <c r="H184" s="406"/>
      <c r="I184" s="406"/>
    </row>
    <row r="185" spans="1:9" hidden="1" outlineLevel="1" x14ac:dyDescent="0.25"/>
    <row r="186" spans="1:9" hidden="1" outlineLevel="1" x14ac:dyDescent="0.25">
      <c r="A186" s="407" t="s">
        <v>23</v>
      </c>
      <c r="B186" s="408"/>
      <c r="C186" s="408"/>
      <c r="D186" s="408"/>
      <c r="E186" s="408"/>
      <c r="F186" s="408"/>
      <c r="G186" s="408"/>
      <c r="H186" s="408"/>
      <c r="I186" s="409"/>
    </row>
    <row r="187" spans="1:9" hidden="1" outlineLevel="1" x14ac:dyDescent="0.25">
      <c r="A187" s="410"/>
      <c r="B187" s="411"/>
      <c r="C187" s="411"/>
      <c r="D187" s="411"/>
      <c r="E187" s="411"/>
      <c r="F187" s="411"/>
      <c r="G187" s="411"/>
      <c r="H187" s="411"/>
      <c r="I187" s="412"/>
    </row>
    <row r="188" spans="1:9" hidden="1" outlineLevel="1" x14ac:dyDescent="0.25"/>
    <row r="189" spans="1:9" ht="39" hidden="1" outlineLevel="1" x14ac:dyDescent="0.3">
      <c r="A189" s="389" t="s">
        <v>15</v>
      </c>
      <c r="B189" s="389"/>
      <c r="C189" s="389"/>
      <c r="D189" s="422" t="s">
        <v>16</v>
      </c>
      <c r="E189" s="405"/>
      <c r="F189" s="405"/>
      <c r="G189" s="422" t="s">
        <v>17</v>
      </c>
      <c r="H189" s="405"/>
      <c r="I189" s="56" t="s">
        <v>18</v>
      </c>
    </row>
    <row r="190" spans="1:9" ht="30" hidden="1" customHeight="1" outlineLevel="1" x14ac:dyDescent="0.25">
      <c r="A190" s="413" t="s">
        <v>19</v>
      </c>
      <c r="B190" s="413"/>
      <c r="C190" s="413"/>
      <c r="D190" s="414" t="s">
        <v>24</v>
      </c>
      <c r="E190" s="413"/>
      <c r="F190" s="413"/>
      <c r="G190" s="415">
        <f>'Servente-Florianópolis'!I172</f>
        <v>6765.292381119426</v>
      </c>
      <c r="H190" s="413"/>
      <c r="I190" s="176">
        <f>(1/1800)*G190</f>
        <v>3.7584957672885699</v>
      </c>
    </row>
    <row r="191" spans="1:9" ht="13" hidden="1" outlineLevel="1" x14ac:dyDescent="0.3">
      <c r="A191" s="405" t="s">
        <v>21</v>
      </c>
      <c r="B191" s="405"/>
      <c r="C191" s="405"/>
      <c r="D191" s="405"/>
      <c r="E191" s="405"/>
      <c r="F191" s="405"/>
      <c r="G191" s="405"/>
      <c r="H191" s="405"/>
      <c r="I191" s="177">
        <f>SUM(I190:I190)</f>
        <v>3.7584957672885699</v>
      </c>
    </row>
    <row r="192" spans="1:9" hidden="1" outlineLevel="1" x14ac:dyDescent="0.25"/>
    <row r="193" spans="1:9" ht="13" hidden="1" outlineLevel="1" x14ac:dyDescent="0.3">
      <c r="A193" s="406" t="s">
        <v>26</v>
      </c>
      <c r="B193" s="406"/>
      <c r="C193" s="406"/>
      <c r="D193" s="406"/>
      <c r="E193" s="406"/>
      <c r="F193" s="406"/>
      <c r="G193" s="406"/>
      <c r="H193" s="406"/>
      <c r="I193" s="406"/>
    </row>
    <row r="194" spans="1:9" hidden="1" outlineLevel="1" x14ac:dyDescent="0.25"/>
    <row r="195" spans="1:9" hidden="1" outlineLevel="1" x14ac:dyDescent="0.25">
      <c r="A195" s="407" t="s">
        <v>27</v>
      </c>
      <c r="B195" s="408"/>
      <c r="C195" s="408"/>
      <c r="D195" s="408"/>
      <c r="E195" s="408"/>
      <c r="F195" s="408"/>
      <c r="G195" s="408"/>
      <c r="H195" s="408"/>
      <c r="I195" s="409"/>
    </row>
    <row r="196" spans="1:9" hidden="1" outlineLevel="1" x14ac:dyDescent="0.25">
      <c r="A196" s="410"/>
      <c r="B196" s="411"/>
      <c r="C196" s="411"/>
      <c r="D196" s="411"/>
      <c r="E196" s="411"/>
      <c r="F196" s="411"/>
      <c r="G196" s="411"/>
      <c r="H196" s="411"/>
      <c r="I196" s="412"/>
    </row>
    <row r="197" spans="1:9" hidden="1" outlineLevel="1" x14ac:dyDescent="0.25"/>
    <row r="198" spans="1:9" ht="39" hidden="1" outlineLevel="1" x14ac:dyDescent="0.3">
      <c r="A198" s="389" t="s">
        <v>15</v>
      </c>
      <c r="B198" s="389"/>
      <c r="C198" s="389"/>
      <c r="D198" s="422" t="s">
        <v>16</v>
      </c>
      <c r="E198" s="405"/>
      <c r="F198" s="405"/>
      <c r="G198" s="422" t="s">
        <v>17</v>
      </c>
      <c r="H198" s="405"/>
      <c r="I198" s="56" t="s">
        <v>18</v>
      </c>
    </row>
    <row r="199" spans="1:9" ht="30.5" hidden="1" customHeight="1" outlineLevel="1" x14ac:dyDescent="0.25">
      <c r="A199" s="413" t="s">
        <v>19</v>
      </c>
      <c r="B199" s="413"/>
      <c r="C199" s="413"/>
      <c r="D199" s="414" t="s">
        <v>28</v>
      </c>
      <c r="E199" s="413"/>
      <c r="F199" s="413"/>
      <c r="G199" s="415">
        <f>G181</f>
        <v>6765.292381119426</v>
      </c>
      <c r="H199" s="413"/>
      <c r="I199" s="176">
        <f>(1/300)*G199</f>
        <v>22.550974603731422</v>
      </c>
    </row>
    <row r="200" spans="1:9" ht="13" hidden="1" outlineLevel="1" x14ac:dyDescent="0.3">
      <c r="A200" s="405" t="s">
        <v>21</v>
      </c>
      <c r="B200" s="405"/>
      <c r="C200" s="405"/>
      <c r="D200" s="405"/>
      <c r="E200" s="405"/>
      <c r="F200" s="405"/>
      <c r="G200" s="405"/>
      <c r="H200" s="405"/>
      <c r="I200" s="177">
        <f>SUM(I199:I199)</f>
        <v>22.550974603731422</v>
      </c>
    </row>
    <row r="201" spans="1:9" hidden="1" outlineLevel="1" x14ac:dyDescent="0.25"/>
    <row r="202" spans="1:9" ht="13" hidden="1" outlineLevel="1" x14ac:dyDescent="0.3">
      <c r="A202" s="406" t="s">
        <v>29</v>
      </c>
      <c r="B202" s="406"/>
      <c r="C202" s="406"/>
      <c r="D202" s="406"/>
      <c r="E202" s="406"/>
      <c r="F202" s="406"/>
      <c r="G202" s="406"/>
      <c r="H202" s="406"/>
      <c r="I202" s="406"/>
    </row>
    <row r="203" spans="1:9" hidden="1" outlineLevel="1" x14ac:dyDescent="0.25"/>
    <row r="204" spans="1:9" hidden="1" outlineLevel="1" x14ac:dyDescent="0.25">
      <c r="A204" s="426" t="s">
        <v>30</v>
      </c>
      <c r="B204" s="427"/>
      <c r="C204" s="427"/>
      <c r="D204" s="427"/>
      <c r="E204" s="427"/>
      <c r="F204" s="427"/>
      <c r="G204" s="427"/>
      <c r="H204" s="427"/>
      <c r="I204" s="428"/>
    </row>
    <row r="205" spans="1:9" hidden="1" outlineLevel="1" x14ac:dyDescent="0.25">
      <c r="A205" s="429"/>
      <c r="B205" s="430"/>
      <c r="C205" s="430"/>
      <c r="D205" s="430"/>
      <c r="E205" s="430"/>
      <c r="F205" s="430"/>
      <c r="G205" s="430"/>
      <c r="H205" s="430"/>
      <c r="I205" s="431"/>
    </row>
    <row r="206" spans="1:9" hidden="1" outlineLevel="1" x14ac:dyDescent="0.25"/>
    <row r="207" spans="1:9" ht="39" hidden="1" outlineLevel="1" x14ac:dyDescent="0.3">
      <c r="A207" s="389" t="s">
        <v>15</v>
      </c>
      <c r="B207" s="389"/>
      <c r="C207" s="389"/>
      <c r="D207" s="422" t="s">
        <v>16</v>
      </c>
      <c r="E207" s="405"/>
      <c r="F207" s="405"/>
      <c r="G207" s="422" t="s">
        <v>17</v>
      </c>
      <c r="H207" s="405"/>
      <c r="I207" s="56" t="s">
        <v>18</v>
      </c>
    </row>
    <row r="208" spans="1:9" ht="29.5" hidden="1" customHeight="1" outlineLevel="1" x14ac:dyDescent="0.25">
      <c r="A208" s="413" t="s">
        <v>19</v>
      </c>
      <c r="B208" s="413"/>
      <c r="C208" s="413"/>
      <c r="D208" s="414" t="s">
        <v>31</v>
      </c>
      <c r="E208" s="413"/>
      <c r="F208" s="413"/>
      <c r="G208" s="415">
        <f>G199</f>
        <v>6765.292381119426</v>
      </c>
      <c r="H208" s="413"/>
      <c r="I208" s="176">
        <f>(1/130)*G208</f>
        <v>52.040710623995587</v>
      </c>
    </row>
    <row r="209" spans="1:10" ht="13" hidden="1" outlineLevel="1" x14ac:dyDescent="0.3">
      <c r="A209" s="405" t="s">
        <v>21</v>
      </c>
      <c r="B209" s="405"/>
      <c r="C209" s="405"/>
      <c r="D209" s="405"/>
      <c r="E209" s="405"/>
      <c r="F209" s="405"/>
      <c r="G209" s="405"/>
      <c r="H209" s="405"/>
      <c r="I209" s="177">
        <f>SUM(I208:I208)</f>
        <v>52.040710623995587</v>
      </c>
    </row>
    <row r="210" spans="1:10" hidden="1" outlineLevel="1" x14ac:dyDescent="0.25"/>
    <row r="211" spans="1:10" ht="13" hidden="1" outlineLevel="1" x14ac:dyDescent="0.3">
      <c r="A211" s="406" t="s">
        <v>32</v>
      </c>
      <c r="B211" s="406"/>
      <c r="C211" s="406"/>
      <c r="D211" s="406"/>
      <c r="E211" s="406"/>
      <c r="F211" s="406"/>
      <c r="G211" s="406"/>
      <c r="H211" s="406"/>
      <c r="I211" s="406"/>
    </row>
    <row r="212" spans="1:10" hidden="1" outlineLevel="1" x14ac:dyDescent="0.25"/>
    <row r="213" spans="1:10" hidden="1" outlineLevel="1" x14ac:dyDescent="0.25">
      <c r="A213" s="435" t="s">
        <v>33</v>
      </c>
      <c r="B213" s="436"/>
      <c r="C213" s="436"/>
      <c r="D213" s="436"/>
      <c r="E213" s="436"/>
      <c r="F213" s="436"/>
      <c r="G213" s="436"/>
      <c r="H213" s="436"/>
      <c r="I213" s="436"/>
    </row>
    <row r="214" spans="1:10" hidden="1" outlineLevel="1" x14ac:dyDescent="0.25"/>
    <row r="215" spans="1:10" hidden="1" outlineLevel="1" x14ac:dyDescent="0.25">
      <c r="A215" s="435" t="s">
        <v>34</v>
      </c>
      <c r="B215" s="436"/>
      <c r="C215" s="436"/>
      <c r="D215" s="436"/>
      <c r="E215" s="436"/>
      <c r="F215" s="436"/>
      <c r="G215" s="436"/>
      <c r="H215" s="436"/>
      <c r="I215" s="436"/>
    </row>
    <row r="216" spans="1:10" hidden="1" outlineLevel="1" x14ac:dyDescent="0.25"/>
    <row r="217" spans="1:10" hidden="1" outlineLevel="1" x14ac:dyDescent="0.25">
      <c r="A217" s="435" t="s">
        <v>35</v>
      </c>
      <c r="B217" s="436"/>
      <c r="C217" s="436"/>
      <c r="D217" s="436"/>
      <c r="E217" s="436"/>
      <c r="F217" s="436"/>
      <c r="G217" s="436"/>
      <c r="H217" s="436"/>
      <c r="I217" s="436"/>
    </row>
    <row r="218" spans="1:10" collapsed="1" x14ac:dyDescent="0.25"/>
    <row r="220" spans="1:10" ht="13" x14ac:dyDescent="0.25">
      <c r="A220" s="416" t="s">
        <v>36</v>
      </c>
      <c r="B220" s="417"/>
      <c r="C220" s="417"/>
      <c r="D220" s="417"/>
      <c r="E220" s="417"/>
      <c r="F220" s="417"/>
      <c r="G220" s="417"/>
      <c r="H220" s="417"/>
      <c r="I220" s="418"/>
    </row>
    <row r="222" spans="1:10" ht="52" x14ac:dyDescent="0.25">
      <c r="A222" s="423" t="s">
        <v>37</v>
      </c>
      <c r="B222" s="424"/>
      <c r="C222" s="425"/>
      <c r="D222" s="324" t="s">
        <v>442</v>
      </c>
      <c r="E222" s="390" t="s">
        <v>38</v>
      </c>
      <c r="F222" s="391"/>
      <c r="G222" s="56" t="s">
        <v>39</v>
      </c>
      <c r="H222" s="56" t="s">
        <v>40</v>
      </c>
      <c r="I222" s="56" t="s">
        <v>41</v>
      </c>
    </row>
    <row r="223" spans="1:10" ht="51.5" customHeight="1" x14ac:dyDescent="0.25">
      <c r="A223" s="378" t="s">
        <v>444</v>
      </c>
      <c r="B223" s="378"/>
      <c r="C223" s="378"/>
      <c r="D223" s="333">
        <v>800</v>
      </c>
      <c r="E223" s="437">
        <f>I182</f>
        <v>8.456615476399282</v>
      </c>
      <c r="F223" s="438"/>
      <c r="G223" s="320">
        <v>1774</v>
      </c>
      <c r="H223" s="320">
        <f>IF(G223&gt;800,G223,800)</f>
        <v>1774</v>
      </c>
      <c r="I223" s="178">
        <f>ROUND(H223*E223,2)</f>
        <v>15002.04</v>
      </c>
      <c r="J223" s="308" t="s">
        <v>445</v>
      </c>
    </row>
    <row r="224" spans="1:10" x14ac:dyDescent="0.25">
      <c r="A224" s="378" t="s">
        <v>443</v>
      </c>
      <c r="B224" s="378"/>
      <c r="C224" s="378"/>
      <c r="D224" s="320">
        <v>1800</v>
      </c>
      <c r="E224" s="437">
        <f>I191</f>
        <v>3.7584957672885699</v>
      </c>
      <c r="F224" s="438"/>
      <c r="G224" s="320">
        <v>0</v>
      </c>
      <c r="H224" s="320">
        <f>G224</f>
        <v>0</v>
      </c>
      <c r="I224" s="178">
        <f>ROUND(H224*E224,2)</f>
        <v>0</v>
      </c>
    </row>
    <row r="225" spans="1:9" x14ac:dyDescent="0.25">
      <c r="A225" s="435" t="s">
        <v>42</v>
      </c>
      <c r="B225" s="436"/>
      <c r="C225" s="436"/>
      <c r="D225" s="22">
        <v>300</v>
      </c>
      <c r="E225" s="439">
        <f>I200</f>
        <v>22.550974603731422</v>
      </c>
      <c r="F225" s="440"/>
      <c r="G225" s="254">
        <v>0</v>
      </c>
      <c r="H225" s="254">
        <f>G225</f>
        <v>0</v>
      </c>
      <c r="I225" s="178">
        <f>ROUND(H225*E225,2)</f>
        <v>0</v>
      </c>
    </row>
    <row r="226" spans="1:9" x14ac:dyDescent="0.25">
      <c r="A226" s="436" t="s">
        <v>43</v>
      </c>
      <c r="B226" s="436"/>
      <c r="C226" s="436"/>
      <c r="D226" s="22">
        <v>130</v>
      </c>
      <c r="E226" s="439">
        <f>I209</f>
        <v>52.040710623995587</v>
      </c>
      <c r="F226" s="440"/>
      <c r="G226" s="254">
        <v>0</v>
      </c>
      <c r="H226" s="254">
        <f>G226</f>
        <v>0</v>
      </c>
      <c r="I226" s="178">
        <f>ROUND(H226*E226,2)</f>
        <v>0</v>
      </c>
    </row>
    <row r="227" spans="1:9" x14ac:dyDescent="0.25">
      <c r="A227" s="436"/>
      <c r="B227" s="436"/>
      <c r="C227" s="436"/>
      <c r="D227" s="22"/>
      <c r="E227" s="441"/>
      <c r="F227" s="442"/>
      <c r="G227" s="254"/>
      <c r="H227" s="254"/>
      <c r="I227" s="178">
        <f>H227*D227</f>
        <v>0</v>
      </c>
    </row>
    <row r="228" spans="1:9" x14ac:dyDescent="0.25">
      <c r="A228" s="435"/>
      <c r="B228" s="436"/>
      <c r="C228" s="436"/>
      <c r="D228" s="22"/>
      <c r="E228" s="441"/>
      <c r="F228" s="442"/>
      <c r="G228" s="254"/>
      <c r="H228" s="254"/>
      <c r="I228" s="178">
        <f>H228*D228</f>
        <v>0</v>
      </c>
    </row>
    <row r="229" spans="1:9" ht="13" x14ac:dyDescent="0.3">
      <c r="A229" s="432" t="s">
        <v>44</v>
      </c>
      <c r="B229" s="433"/>
      <c r="C229" s="433"/>
      <c r="D229" s="433"/>
      <c r="E229" s="433"/>
      <c r="F229" s="434"/>
      <c r="G229" s="255">
        <f>SUM(G223:G228)</f>
        <v>1774</v>
      </c>
      <c r="H229" s="255">
        <f>SUM(H223:H228)</f>
        <v>1774</v>
      </c>
      <c r="I229" s="179">
        <f>SUM(I223:I228)</f>
        <v>15002.04</v>
      </c>
    </row>
  </sheetData>
  <mergeCells count="175">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 ref="A229:F229"/>
    <mergeCell ref="A225:C225"/>
    <mergeCell ref="A226:C226"/>
    <mergeCell ref="A227:C227"/>
    <mergeCell ref="A224:C224"/>
    <mergeCell ref="A209:H209"/>
    <mergeCell ref="A211:I211"/>
    <mergeCell ref="A213:I213"/>
    <mergeCell ref="A215:I215"/>
    <mergeCell ref="A217:I217"/>
    <mergeCell ref="A220:I220"/>
    <mergeCell ref="E222:F222"/>
    <mergeCell ref="E223:F223"/>
    <mergeCell ref="E224:F224"/>
    <mergeCell ref="E225:F225"/>
    <mergeCell ref="E226:F226"/>
    <mergeCell ref="E227:F227"/>
    <mergeCell ref="E228:F228"/>
    <mergeCell ref="A228:C228"/>
    <mergeCell ref="A208:C208"/>
    <mergeCell ref="D208:F208"/>
    <mergeCell ref="G208:H208"/>
    <mergeCell ref="A222:C222"/>
    <mergeCell ref="A223:C223"/>
    <mergeCell ref="A200:H200"/>
    <mergeCell ref="A202:I202"/>
    <mergeCell ref="A207:C207"/>
    <mergeCell ref="D207:F207"/>
    <mergeCell ref="G207:H207"/>
    <mergeCell ref="A204:I205"/>
    <mergeCell ref="A199:C199"/>
    <mergeCell ref="D199:F199"/>
    <mergeCell ref="G199:H199"/>
    <mergeCell ref="A191:H191"/>
    <mergeCell ref="A193:I193"/>
    <mergeCell ref="A189:C189"/>
    <mergeCell ref="D189:F189"/>
    <mergeCell ref="G189:H189"/>
    <mergeCell ref="A190:C190"/>
    <mergeCell ref="D190:F190"/>
    <mergeCell ref="G190:H190"/>
    <mergeCell ref="A195:I196"/>
    <mergeCell ref="A198:C198"/>
    <mergeCell ref="D198:F198"/>
    <mergeCell ref="G198:H198"/>
    <mergeCell ref="A182:H182"/>
    <mergeCell ref="A184:I184"/>
    <mergeCell ref="A186:I187"/>
    <mergeCell ref="A181:C181"/>
    <mergeCell ref="D181:F181"/>
    <mergeCell ref="G181:H181"/>
    <mergeCell ref="A175:I175"/>
    <mergeCell ref="A176:I176"/>
    <mergeCell ref="A177:I178"/>
    <mergeCell ref="A180:C180"/>
    <mergeCell ref="D180:F180"/>
    <mergeCell ref="G180:H180"/>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43890-4FBD-439C-A1BA-BADB7EA138F9}">
  <sheetPr>
    <tabColor rgb="FF92D050"/>
  </sheetPr>
  <dimension ref="A1:M229"/>
  <sheetViews>
    <sheetView topLeftCell="A160" zoomScaleNormal="100" workbookViewId="0">
      <selection activeCell="A175" sqref="A175:XFD217"/>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17.26953125" customWidth="1"/>
    <col min="12" max="12" width="15.81640625" customWidth="1"/>
    <col min="13" max="13" width="9.54296875" bestFit="1" customWidth="1"/>
  </cols>
  <sheetData>
    <row r="1" spans="1:9" ht="13.5" thickBot="1" x14ac:dyDescent="0.35">
      <c r="A1" s="457" t="s">
        <v>53</v>
      </c>
      <c r="B1" s="458"/>
      <c r="C1" s="458"/>
      <c r="D1" s="458"/>
      <c r="E1" s="458"/>
      <c r="F1" s="458"/>
      <c r="G1" s="458"/>
      <c r="H1" s="458"/>
      <c r="I1" s="459"/>
    </row>
    <row r="2" spans="1:9" x14ac:dyDescent="0.25">
      <c r="A2" s="309"/>
      <c r="B2" s="309"/>
      <c r="C2" s="309"/>
      <c r="D2" s="309"/>
      <c r="E2" s="309"/>
      <c r="F2" s="309"/>
      <c r="G2" s="309"/>
      <c r="H2" s="309"/>
      <c r="I2" s="309"/>
    </row>
    <row r="3" spans="1:9" ht="15" customHeight="1" x14ac:dyDescent="0.25">
      <c r="A3" s="464" t="s">
        <v>54</v>
      </c>
      <c r="B3" s="464"/>
      <c r="C3" s="464"/>
      <c r="D3" s="464"/>
      <c r="E3" s="464"/>
      <c r="F3" s="464"/>
      <c r="G3" s="309"/>
      <c r="H3" s="309"/>
      <c r="I3" s="309"/>
    </row>
    <row r="4" spans="1:9" ht="15" customHeight="1" x14ac:dyDescent="0.25">
      <c r="A4" s="464" t="s">
        <v>55</v>
      </c>
      <c r="B4" s="464"/>
      <c r="C4" s="464"/>
      <c r="D4" s="464"/>
      <c r="E4" s="464"/>
      <c r="F4" s="464"/>
      <c r="G4" s="309"/>
      <c r="H4" s="309"/>
      <c r="I4" s="309"/>
    </row>
    <row r="5" spans="1:9" ht="13" x14ac:dyDescent="0.3">
      <c r="A5" s="10"/>
      <c r="B5" s="10"/>
      <c r="C5" s="10"/>
      <c r="D5" s="10"/>
      <c r="E5" s="10"/>
      <c r="F5" s="10"/>
      <c r="G5" s="10"/>
      <c r="H5" s="10"/>
      <c r="I5" s="10"/>
    </row>
    <row r="6" spans="1:9" ht="13" x14ac:dyDescent="0.3">
      <c r="A6" s="464" t="s">
        <v>56</v>
      </c>
      <c r="B6" s="464"/>
      <c r="C6" s="464"/>
      <c r="D6" s="464"/>
      <c r="E6" s="464"/>
      <c r="F6" s="464"/>
      <c r="G6" s="10"/>
      <c r="H6" s="10"/>
      <c r="I6" s="10"/>
    </row>
    <row r="7" spans="1:9" x14ac:dyDescent="0.25">
      <c r="A7" s="310"/>
      <c r="B7" s="310"/>
      <c r="C7" s="310"/>
      <c r="D7" s="310"/>
      <c r="E7" s="310"/>
      <c r="F7" s="310"/>
      <c r="G7" s="310"/>
      <c r="H7" s="310"/>
      <c r="I7" s="310"/>
    </row>
    <row r="8" spans="1:9" ht="13" x14ac:dyDescent="0.3">
      <c r="A8" s="445" t="s">
        <v>57</v>
      </c>
      <c r="B8" s="445"/>
      <c r="C8" s="445"/>
      <c r="D8" s="445"/>
      <c r="E8" s="445"/>
      <c r="F8" s="445"/>
      <c r="G8" s="445"/>
      <c r="H8" s="445"/>
      <c r="I8" s="445"/>
    </row>
    <row r="9" spans="1:9" x14ac:dyDescent="0.25">
      <c r="A9" s="311" t="s">
        <v>50</v>
      </c>
      <c r="B9" s="406" t="s">
        <v>58</v>
      </c>
      <c r="C9" s="444"/>
      <c r="D9" s="444"/>
      <c r="E9" s="444"/>
      <c r="F9" s="444"/>
      <c r="G9" s="444"/>
      <c r="H9" s="444"/>
      <c r="I9" s="131"/>
    </row>
    <row r="10" spans="1:9" x14ac:dyDescent="0.25">
      <c r="A10" s="311" t="s">
        <v>51</v>
      </c>
      <c r="B10" s="406" t="s">
        <v>59</v>
      </c>
      <c r="C10" s="444"/>
      <c r="D10" s="444"/>
      <c r="E10" s="444"/>
      <c r="F10" s="444"/>
      <c r="G10" s="444"/>
      <c r="H10" s="444"/>
      <c r="I10" s="190" t="s">
        <v>60</v>
      </c>
    </row>
    <row r="11" spans="1:9" x14ac:dyDescent="0.25">
      <c r="A11" s="311" t="s">
        <v>52</v>
      </c>
      <c r="B11" s="406" t="s">
        <v>61</v>
      </c>
      <c r="C11" s="406"/>
      <c r="D11" s="406"/>
      <c r="E11" s="406"/>
      <c r="F11" s="406"/>
      <c r="G11" s="406"/>
      <c r="H11" s="406"/>
      <c r="I11" s="190" t="s">
        <v>62</v>
      </c>
    </row>
    <row r="12" spans="1:9" x14ac:dyDescent="0.25">
      <c r="A12" s="311" t="s">
        <v>63</v>
      </c>
      <c r="B12" s="406" t="s">
        <v>64</v>
      </c>
      <c r="C12" s="444"/>
      <c r="D12" s="444"/>
      <c r="E12" s="444"/>
      <c r="F12" s="444"/>
      <c r="G12" s="444"/>
      <c r="H12" s="444"/>
      <c r="I12" s="191">
        <v>24</v>
      </c>
    </row>
    <row r="13" spans="1:9" x14ac:dyDescent="0.25">
      <c r="A13" s="309"/>
      <c r="B13" s="310"/>
      <c r="C13" s="310"/>
      <c r="D13" s="310"/>
      <c r="E13" s="310"/>
      <c r="F13" s="310"/>
      <c r="G13" s="310"/>
      <c r="H13" s="309"/>
      <c r="I13" s="309"/>
    </row>
    <row r="14" spans="1:9" ht="13" x14ac:dyDescent="0.3">
      <c r="A14" s="445" t="s">
        <v>65</v>
      </c>
      <c r="B14" s="445"/>
      <c r="C14" s="445"/>
      <c r="D14" s="445"/>
      <c r="E14" s="445"/>
      <c r="F14" s="445"/>
      <c r="G14" s="445"/>
      <c r="H14" s="445"/>
      <c r="I14" s="445"/>
    </row>
    <row r="15" spans="1:9" ht="13" x14ac:dyDescent="0.3">
      <c r="A15" s="405" t="s">
        <v>66</v>
      </c>
      <c r="B15" s="405"/>
      <c r="C15" s="405" t="s">
        <v>67</v>
      </c>
      <c r="D15" s="405"/>
      <c r="E15" s="405" t="s">
        <v>68</v>
      </c>
      <c r="F15" s="405"/>
      <c r="G15" s="405"/>
      <c r="H15" s="405"/>
      <c r="I15" s="405"/>
    </row>
    <row r="16" spans="1:9" ht="25.5" customHeight="1" x14ac:dyDescent="0.25">
      <c r="A16" s="460" t="s">
        <v>69</v>
      </c>
      <c r="B16" s="461"/>
      <c r="C16" s="414" t="s">
        <v>70</v>
      </c>
      <c r="D16" s="462"/>
      <c r="E16" s="413"/>
      <c r="F16" s="463"/>
      <c r="G16" s="463"/>
      <c r="H16" s="463"/>
      <c r="I16" s="463"/>
    </row>
    <row r="17" spans="1:9" ht="15" customHeight="1" x14ac:dyDescent="0.25">
      <c r="A17" s="39"/>
      <c r="B17" s="314"/>
      <c r="C17" s="40"/>
      <c r="D17" s="315"/>
      <c r="E17" s="41"/>
      <c r="F17" s="316"/>
      <c r="G17" s="316"/>
      <c r="H17" s="316"/>
      <c r="I17" s="316"/>
    </row>
    <row r="18" spans="1:9" ht="15" customHeight="1" x14ac:dyDescent="0.25">
      <c r="A18" s="37" t="s">
        <v>71</v>
      </c>
      <c r="B18" s="314"/>
      <c r="C18" s="40"/>
      <c r="D18" s="315"/>
      <c r="E18" s="41"/>
      <c r="F18" s="316"/>
      <c r="G18" s="316"/>
      <c r="H18" s="316"/>
      <c r="I18" s="316"/>
    </row>
    <row r="19" spans="1:9" ht="15" customHeight="1" x14ac:dyDescent="0.25">
      <c r="A19" s="37" t="s">
        <v>72</v>
      </c>
      <c r="B19" s="314"/>
      <c r="C19" s="40"/>
      <c r="D19" s="315"/>
      <c r="E19" s="41"/>
      <c r="F19" s="316"/>
      <c r="G19" s="316"/>
      <c r="H19" s="316"/>
      <c r="I19" s="316"/>
    </row>
    <row r="20" spans="1:9" ht="15" customHeight="1" x14ac:dyDescent="0.25">
      <c r="A20" s="37" t="s">
        <v>73</v>
      </c>
      <c r="B20" s="314"/>
      <c r="C20" s="40"/>
      <c r="D20" s="315"/>
      <c r="E20" s="41"/>
      <c r="F20" s="316"/>
      <c r="G20" s="316"/>
      <c r="H20" s="316"/>
      <c r="I20" s="316"/>
    </row>
    <row r="21" spans="1:9" ht="15" customHeight="1" x14ac:dyDescent="0.25">
      <c r="A21" s="37" t="s">
        <v>74</v>
      </c>
      <c r="B21" s="314"/>
      <c r="C21" s="40"/>
      <c r="D21" s="315"/>
      <c r="E21" s="41"/>
      <c r="F21" s="316"/>
      <c r="G21" s="316"/>
      <c r="H21" s="316"/>
      <c r="I21" s="316"/>
    </row>
    <row r="22" spans="1:9" ht="15" customHeight="1" x14ac:dyDescent="0.25">
      <c r="A22" s="55"/>
      <c r="B22" s="314"/>
      <c r="C22" s="40"/>
      <c r="D22" s="315"/>
      <c r="E22" s="41"/>
      <c r="F22" s="316"/>
      <c r="G22" s="316"/>
      <c r="H22" s="316"/>
      <c r="I22" s="316"/>
    </row>
    <row r="23" spans="1:9" ht="15" customHeight="1" x14ac:dyDescent="0.25">
      <c r="A23" s="38" t="s">
        <v>75</v>
      </c>
      <c r="B23" s="314"/>
      <c r="C23" s="40"/>
      <c r="D23" s="315"/>
      <c r="E23" s="41"/>
      <c r="F23" s="316"/>
      <c r="G23" s="316"/>
      <c r="H23" s="316"/>
      <c r="I23" s="316"/>
    </row>
    <row r="24" spans="1:9" ht="15" customHeight="1" x14ac:dyDescent="0.25">
      <c r="A24" s="39"/>
      <c r="B24" s="314"/>
      <c r="C24" s="40"/>
      <c r="D24" s="315"/>
      <c r="E24" s="41"/>
      <c r="F24" s="316"/>
      <c r="G24" s="316"/>
      <c r="H24" s="316"/>
      <c r="I24" s="316"/>
    </row>
    <row r="25" spans="1:9" ht="15" customHeight="1" x14ac:dyDescent="0.25">
      <c r="A25" s="38" t="s">
        <v>76</v>
      </c>
      <c r="B25" s="314"/>
      <c r="C25" s="40"/>
      <c r="D25" s="315"/>
      <c r="E25" s="41"/>
      <c r="F25" s="316"/>
      <c r="G25" s="316"/>
      <c r="H25" s="316"/>
      <c r="I25" s="316"/>
    </row>
    <row r="26" spans="1:9" ht="15" customHeight="1" x14ac:dyDescent="0.25">
      <c r="A26" s="37" t="s">
        <v>77</v>
      </c>
      <c r="B26" s="314"/>
      <c r="C26" s="40"/>
      <c r="D26" s="315"/>
      <c r="E26" s="41"/>
      <c r="F26" s="316"/>
      <c r="G26" s="316"/>
      <c r="H26" s="316"/>
      <c r="I26" s="316"/>
    </row>
    <row r="27" spans="1:9" ht="13" x14ac:dyDescent="0.3">
      <c r="A27" s="445" t="s">
        <v>78</v>
      </c>
      <c r="B27" s="445"/>
      <c r="C27" s="445"/>
      <c r="D27" s="445"/>
      <c r="E27" s="445"/>
      <c r="F27" s="445"/>
      <c r="G27" s="445"/>
      <c r="H27" s="445"/>
      <c r="I27" s="445"/>
    </row>
    <row r="28" spans="1:9" ht="25" x14ac:dyDescent="0.25">
      <c r="A28" s="313">
        <v>1</v>
      </c>
      <c r="B28" s="443" t="s">
        <v>79</v>
      </c>
      <c r="C28" s="443"/>
      <c r="D28" s="443"/>
      <c r="E28" s="443"/>
      <c r="F28" s="443"/>
      <c r="G28" s="443"/>
      <c r="H28" s="443"/>
      <c r="I28" s="312" t="str">
        <f>A16</f>
        <v>Limpeza e Conservação</v>
      </c>
    </row>
    <row r="29" spans="1:9" x14ac:dyDescent="0.25">
      <c r="A29" s="311">
        <v>2</v>
      </c>
      <c r="B29" s="406" t="s">
        <v>80</v>
      </c>
      <c r="C29" s="406"/>
      <c r="D29" s="406"/>
      <c r="E29" s="406"/>
      <c r="F29" s="406"/>
      <c r="G29" s="406"/>
      <c r="H29" s="406"/>
      <c r="I29" s="23" t="s">
        <v>213</v>
      </c>
    </row>
    <row r="30" spans="1:9" x14ac:dyDescent="0.25">
      <c r="A30" s="311">
        <v>3</v>
      </c>
      <c r="B30" s="444" t="s">
        <v>82</v>
      </c>
      <c r="C30" s="444"/>
      <c r="D30" s="444"/>
      <c r="E30" s="444"/>
      <c r="F30" s="444"/>
      <c r="G30" s="444"/>
      <c r="H30" s="444"/>
      <c r="I30" s="130">
        <v>1462.43</v>
      </c>
    </row>
    <row r="31" spans="1:9" ht="25" x14ac:dyDescent="0.25">
      <c r="A31" s="313">
        <v>4</v>
      </c>
      <c r="B31" s="443" t="s">
        <v>83</v>
      </c>
      <c r="C31" s="443"/>
      <c r="D31" s="443"/>
      <c r="E31" s="443"/>
      <c r="F31" s="443"/>
      <c r="G31" s="443"/>
      <c r="H31" s="443"/>
      <c r="I31" s="256" t="s">
        <v>25</v>
      </c>
    </row>
    <row r="32" spans="1:9" x14ac:dyDescent="0.25">
      <c r="A32" s="311">
        <v>5</v>
      </c>
      <c r="B32" s="406" t="s">
        <v>85</v>
      </c>
      <c r="C32" s="444"/>
      <c r="D32" s="444"/>
      <c r="E32" s="444"/>
      <c r="F32" s="444"/>
      <c r="G32" s="444"/>
      <c r="H32" s="444"/>
      <c r="I32" s="131">
        <v>44927</v>
      </c>
    </row>
    <row r="33" spans="1:10" x14ac:dyDescent="0.25">
      <c r="A33" s="309"/>
      <c r="B33" s="310"/>
      <c r="C33" s="310"/>
      <c r="D33" s="310"/>
      <c r="E33" s="310"/>
      <c r="F33" s="310"/>
      <c r="G33" s="310"/>
      <c r="H33" s="310"/>
      <c r="I33" s="317"/>
    </row>
    <row r="34" spans="1:10" ht="13" x14ac:dyDescent="0.25">
      <c r="A34" s="37" t="s">
        <v>86</v>
      </c>
      <c r="B34" s="310"/>
      <c r="C34" s="310"/>
      <c r="D34" s="310"/>
      <c r="E34" s="310"/>
      <c r="F34" s="310"/>
      <c r="G34" s="310"/>
      <c r="H34" s="310"/>
      <c r="I34" s="317"/>
    </row>
    <row r="35" spans="1:10" ht="13" x14ac:dyDescent="0.25">
      <c r="A35" s="37" t="s">
        <v>87</v>
      </c>
      <c r="B35" s="310"/>
      <c r="C35" s="310"/>
      <c r="D35" s="310"/>
      <c r="E35" s="310"/>
      <c r="F35" s="310"/>
      <c r="G35" s="310"/>
      <c r="H35" s="310"/>
      <c r="I35" s="317"/>
    </row>
    <row r="37" spans="1:10" ht="13" x14ac:dyDescent="0.3">
      <c r="A37" s="451" t="s">
        <v>88</v>
      </c>
      <c r="B37" s="451"/>
      <c r="C37" s="451"/>
      <c r="D37" s="451"/>
      <c r="E37" s="451"/>
      <c r="F37" s="451"/>
      <c r="G37" s="451"/>
      <c r="H37" s="451"/>
      <c r="I37" s="451"/>
    </row>
    <row r="38" spans="1:10" ht="13" x14ac:dyDescent="0.3">
      <c r="A38" s="8">
        <v>1</v>
      </c>
      <c r="B38" s="405" t="s">
        <v>89</v>
      </c>
      <c r="C38" s="405"/>
      <c r="D38" s="405"/>
      <c r="E38" s="405"/>
      <c r="F38" s="405"/>
      <c r="G38" s="405"/>
      <c r="H38" s="8" t="s">
        <v>90</v>
      </c>
      <c r="I38" s="8" t="s">
        <v>49</v>
      </c>
    </row>
    <row r="39" spans="1:10" ht="13" x14ac:dyDescent="0.3">
      <c r="A39" s="8" t="s">
        <v>50</v>
      </c>
      <c r="B39" s="406" t="s">
        <v>91</v>
      </c>
      <c r="C39" s="406"/>
      <c r="D39" s="406"/>
      <c r="E39" s="406"/>
      <c r="F39" s="406"/>
      <c r="G39" s="406"/>
      <c r="H39" s="22"/>
      <c r="I39" s="167">
        <f>I30</f>
        <v>1462.43</v>
      </c>
    </row>
    <row r="40" spans="1:10" ht="13" x14ac:dyDescent="0.3">
      <c r="A40" s="8" t="s">
        <v>51</v>
      </c>
      <c r="B40" s="406" t="s">
        <v>92</v>
      </c>
      <c r="C40" s="406"/>
      <c r="D40" s="406"/>
      <c r="E40" s="406"/>
      <c r="F40" s="406"/>
      <c r="G40" s="406"/>
      <c r="H40" s="2"/>
      <c r="I40" s="167">
        <f>I39*H40</f>
        <v>0</v>
      </c>
      <c r="J40" s="32" t="s">
        <v>93</v>
      </c>
    </row>
    <row r="41" spans="1:10" ht="13" x14ac:dyDescent="0.3">
      <c r="A41" s="8" t="s">
        <v>52</v>
      </c>
      <c r="B41" s="406" t="s">
        <v>94</v>
      </c>
      <c r="C41" s="406"/>
      <c r="D41" s="406"/>
      <c r="E41" s="406"/>
      <c r="F41" s="406"/>
      <c r="G41" s="406"/>
      <c r="H41" s="2">
        <v>0.2</v>
      </c>
      <c r="I41" s="167">
        <f>H41*I39</f>
        <v>292.48600000000005</v>
      </c>
    </row>
    <row r="42" spans="1:10" ht="13" x14ac:dyDescent="0.3">
      <c r="A42" s="8" t="s">
        <v>63</v>
      </c>
      <c r="B42" s="406" t="s">
        <v>95</v>
      </c>
      <c r="C42" s="406"/>
      <c r="D42" s="406"/>
      <c r="E42" s="406"/>
      <c r="F42" s="406"/>
      <c r="G42" s="406"/>
      <c r="H42" s="2"/>
      <c r="I42" s="167">
        <v>0</v>
      </c>
      <c r="J42" s="32" t="s">
        <v>96</v>
      </c>
    </row>
    <row r="43" spans="1:10" ht="13" x14ac:dyDescent="0.3">
      <c r="A43" s="8" t="s">
        <v>97</v>
      </c>
      <c r="B43" s="406" t="s">
        <v>98</v>
      </c>
      <c r="C43" s="406"/>
      <c r="D43" s="406"/>
      <c r="E43" s="406"/>
      <c r="F43" s="406"/>
      <c r="G43" s="406"/>
      <c r="H43" s="5"/>
      <c r="I43" s="167">
        <v>0</v>
      </c>
      <c r="J43" s="32" t="s">
        <v>96</v>
      </c>
    </row>
    <row r="44" spans="1:10" ht="13" x14ac:dyDescent="0.3">
      <c r="A44" s="8" t="s">
        <v>99</v>
      </c>
      <c r="B44" s="406" t="s">
        <v>100</v>
      </c>
      <c r="C44" s="406"/>
      <c r="D44" s="406"/>
      <c r="E44" s="406"/>
      <c r="F44" s="406"/>
      <c r="G44" s="406"/>
      <c r="H44" s="2"/>
      <c r="I44" s="167">
        <v>0</v>
      </c>
    </row>
    <row r="45" spans="1:10" ht="13" x14ac:dyDescent="0.3">
      <c r="A45" s="450" t="s">
        <v>101</v>
      </c>
      <c r="B45" s="445"/>
      <c r="C45" s="445"/>
      <c r="D45" s="445"/>
      <c r="E45" s="445"/>
      <c r="F45" s="445"/>
      <c r="G45" s="445"/>
      <c r="H45" s="445"/>
      <c r="I45" s="168">
        <f>SUM(I39:I44)</f>
        <v>1754.9160000000002</v>
      </c>
    </row>
    <row r="46" spans="1:10" s="10" customFormat="1" ht="13" x14ac:dyDescent="0.3"/>
    <row r="47" spans="1:10" s="10" customFormat="1" ht="13" x14ac:dyDescent="0.3">
      <c r="A47" s="37" t="s">
        <v>102</v>
      </c>
    </row>
    <row r="48" spans="1:10" s="10" customFormat="1" ht="13" x14ac:dyDescent="0.3">
      <c r="A48" s="37" t="s">
        <v>103</v>
      </c>
    </row>
    <row r="49" spans="1:11" ht="13" x14ac:dyDescent="0.3">
      <c r="A49" s="3"/>
      <c r="B49" s="3"/>
      <c r="C49" s="3"/>
      <c r="D49" s="3"/>
      <c r="E49" s="3"/>
      <c r="F49" s="3"/>
      <c r="G49" s="3"/>
      <c r="H49" s="3"/>
      <c r="I49" s="4"/>
    </row>
    <row r="50" spans="1:11" ht="13" x14ac:dyDescent="0.3">
      <c r="A50" s="451" t="s">
        <v>104</v>
      </c>
      <c r="B50" s="451"/>
      <c r="C50" s="451"/>
      <c r="D50" s="451"/>
      <c r="E50" s="451"/>
      <c r="F50" s="451"/>
      <c r="G50" s="451"/>
      <c r="H50" s="451"/>
      <c r="I50" s="451"/>
    </row>
    <row r="51" spans="1:11" ht="13" x14ac:dyDescent="0.3">
      <c r="A51" s="47" t="s">
        <v>105</v>
      </c>
      <c r="B51" s="446" t="s">
        <v>106</v>
      </c>
      <c r="C51" s="447"/>
      <c r="D51" s="447"/>
      <c r="E51" s="447"/>
      <c r="F51" s="447"/>
      <c r="G51" s="448"/>
      <c r="H51" s="8" t="s">
        <v>90</v>
      </c>
      <c r="I51" s="8" t="s">
        <v>49</v>
      </c>
    </row>
    <row r="52" spans="1:11" ht="13" x14ac:dyDescent="0.3">
      <c r="A52" s="8" t="s">
        <v>50</v>
      </c>
      <c r="B52" s="406" t="s">
        <v>107</v>
      </c>
      <c r="C52" s="406"/>
      <c r="D52" s="406"/>
      <c r="E52" s="406"/>
      <c r="F52" s="406"/>
      <c r="G52" s="406"/>
      <c r="H52" s="1">
        <f>1/12</f>
        <v>8.3333333333333329E-2</v>
      </c>
      <c r="I52" s="25">
        <f>$I$45*H52</f>
        <v>146.24299999999999</v>
      </c>
      <c r="K52" s="87"/>
    </row>
    <row r="53" spans="1:11" ht="13" x14ac:dyDescent="0.3">
      <c r="A53" s="8" t="s">
        <v>51</v>
      </c>
      <c r="B53" s="406" t="s">
        <v>108</v>
      </c>
      <c r="C53" s="406"/>
      <c r="D53" s="406"/>
      <c r="E53" s="406"/>
      <c r="F53" s="406"/>
      <c r="G53" s="406"/>
      <c r="H53" s="24">
        <v>0.121</v>
      </c>
      <c r="I53" s="25">
        <f>$I$45*H53</f>
        <v>212.34483600000002</v>
      </c>
    </row>
    <row r="54" spans="1:11" ht="13" x14ac:dyDescent="0.3">
      <c r="A54" s="445" t="s">
        <v>109</v>
      </c>
      <c r="B54" s="445"/>
      <c r="C54" s="445"/>
      <c r="D54" s="445"/>
      <c r="E54" s="445"/>
      <c r="F54" s="445"/>
      <c r="G54" s="445"/>
      <c r="H54" s="42">
        <f>TRUNC(SUM(H52:H53),4)</f>
        <v>0.20430000000000001</v>
      </c>
      <c r="I54" s="43">
        <f>SUM(I52:I53)</f>
        <v>358.58783600000004</v>
      </c>
    </row>
    <row r="55" spans="1:11" ht="22" customHeight="1" x14ac:dyDescent="0.25">
      <c r="A55" s="47" t="s">
        <v>52</v>
      </c>
      <c r="B55" s="449" t="s">
        <v>110</v>
      </c>
      <c r="C55" s="449"/>
      <c r="D55" s="449"/>
      <c r="E55" s="449"/>
      <c r="F55" s="449"/>
      <c r="G55" s="449"/>
      <c r="H55" s="163">
        <f>H54*H75</f>
        <v>7.518240000000001E-2</v>
      </c>
      <c r="I55" s="164">
        <f>$I$45*H55</f>
        <v>131.93879667840002</v>
      </c>
    </row>
    <row r="56" spans="1:11" ht="13" x14ac:dyDescent="0.3">
      <c r="A56" s="445" t="s">
        <v>111</v>
      </c>
      <c r="B56" s="445"/>
      <c r="C56" s="445"/>
      <c r="D56" s="445"/>
      <c r="E56" s="445"/>
      <c r="F56" s="445"/>
      <c r="G56" s="445"/>
      <c r="H56" s="42">
        <f>TRUNC(SUM(H54:H55),4)</f>
        <v>0.27939999999999998</v>
      </c>
      <c r="I56" s="43">
        <f>SUM(I54:I55)</f>
        <v>490.52663267840006</v>
      </c>
    </row>
    <row r="57" spans="1:11" ht="13" x14ac:dyDescent="0.3">
      <c r="A57" s="3"/>
      <c r="B57" s="3"/>
      <c r="C57" s="3"/>
      <c r="D57" s="3"/>
      <c r="E57" s="3"/>
      <c r="F57" s="3"/>
      <c r="G57" s="3"/>
      <c r="H57" s="44"/>
      <c r="I57" s="4"/>
    </row>
    <row r="58" spans="1:11" ht="13" x14ac:dyDescent="0.3">
      <c r="A58" s="37" t="s">
        <v>112</v>
      </c>
      <c r="B58" s="3"/>
      <c r="C58" s="3"/>
      <c r="D58" s="3"/>
      <c r="E58" s="3"/>
      <c r="F58" s="3"/>
      <c r="G58" s="3"/>
      <c r="H58" s="44"/>
      <c r="I58" s="4"/>
    </row>
    <row r="59" spans="1:11" ht="13" x14ac:dyDescent="0.3">
      <c r="A59" s="37" t="s">
        <v>113</v>
      </c>
      <c r="B59" s="3"/>
      <c r="C59" s="3"/>
      <c r="D59" s="3"/>
      <c r="E59" s="3"/>
      <c r="F59" s="3"/>
      <c r="G59" s="3"/>
      <c r="H59" s="44"/>
      <c r="I59" s="4"/>
    </row>
    <row r="60" spans="1:11" ht="13" x14ac:dyDescent="0.3">
      <c r="A60" s="37" t="s">
        <v>114</v>
      </c>
      <c r="B60" s="3"/>
      <c r="C60" s="3"/>
      <c r="D60" s="3"/>
      <c r="E60" s="3"/>
      <c r="F60" s="3"/>
      <c r="G60" s="3"/>
      <c r="H60" s="44"/>
      <c r="I60" s="4"/>
    </row>
    <row r="61" spans="1:11" ht="13" x14ac:dyDescent="0.3">
      <c r="A61" s="37" t="s">
        <v>115</v>
      </c>
      <c r="B61" s="10"/>
      <c r="C61" s="10"/>
      <c r="D61" s="10"/>
      <c r="E61" s="10"/>
      <c r="F61" s="10"/>
      <c r="G61" s="10"/>
      <c r="H61" s="10"/>
      <c r="I61" s="10"/>
    </row>
    <row r="62" spans="1:11" ht="13" x14ac:dyDescent="0.3">
      <c r="A62" s="37" t="s">
        <v>116</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117</v>
      </c>
      <c r="B66" s="416" t="s">
        <v>118</v>
      </c>
      <c r="C66" s="417"/>
      <c r="D66" s="417"/>
      <c r="E66" s="417"/>
      <c r="F66" s="417"/>
      <c r="G66" s="418"/>
      <c r="H66" s="34" t="s">
        <v>90</v>
      </c>
      <c r="I66" s="34" t="s">
        <v>49</v>
      </c>
      <c r="K66" s="32"/>
      <c r="L66" s="31"/>
    </row>
    <row r="67" spans="1:12" ht="13" x14ac:dyDescent="0.3">
      <c r="A67" s="8" t="s">
        <v>50</v>
      </c>
      <c r="B67" s="406" t="s">
        <v>119</v>
      </c>
      <c r="C67" s="406"/>
      <c r="D67" s="406"/>
      <c r="E67" s="406"/>
      <c r="F67" s="406"/>
      <c r="G67" s="406"/>
      <c r="H67" s="1">
        <v>0.2</v>
      </c>
      <c r="I67" s="25">
        <f t="shared" ref="I67:I74" si="0">H67*($I$45)</f>
        <v>350.98320000000007</v>
      </c>
      <c r="K67" s="33"/>
      <c r="L67" s="31"/>
    </row>
    <row r="68" spans="1:12" ht="13" x14ac:dyDescent="0.3">
      <c r="A68" s="8" t="s">
        <v>51</v>
      </c>
      <c r="B68" s="406" t="s">
        <v>120</v>
      </c>
      <c r="C68" s="406"/>
      <c r="D68" s="406"/>
      <c r="E68" s="406"/>
      <c r="F68" s="406"/>
      <c r="G68" s="406"/>
      <c r="H68" s="1">
        <v>2.5000000000000001E-2</v>
      </c>
      <c r="I68" s="25">
        <f t="shared" si="0"/>
        <v>43.872900000000008</v>
      </c>
      <c r="K68" s="32"/>
    </row>
    <row r="69" spans="1:12" ht="13" x14ac:dyDescent="0.3">
      <c r="A69" s="8" t="s">
        <v>52</v>
      </c>
      <c r="B69" s="406" t="s">
        <v>121</v>
      </c>
      <c r="C69" s="406"/>
      <c r="D69" s="406"/>
      <c r="E69" s="406"/>
      <c r="F69" s="406"/>
      <c r="G69" s="406"/>
      <c r="H69" s="1">
        <v>0.03</v>
      </c>
      <c r="I69" s="25">
        <f t="shared" si="0"/>
        <v>52.647480000000002</v>
      </c>
      <c r="J69" s="32" t="s">
        <v>122</v>
      </c>
      <c r="K69" s="32"/>
    </row>
    <row r="70" spans="1:12" ht="13" x14ac:dyDescent="0.3">
      <c r="A70" s="8" t="s">
        <v>63</v>
      </c>
      <c r="B70" s="406" t="s">
        <v>123</v>
      </c>
      <c r="C70" s="406"/>
      <c r="D70" s="406"/>
      <c r="E70" s="406"/>
      <c r="F70" s="406"/>
      <c r="G70" s="406"/>
      <c r="H70" s="1">
        <v>1.4999999999999999E-2</v>
      </c>
      <c r="I70" s="25">
        <f t="shared" si="0"/>
        <v>26.323740000000001</v>
      </c>
    </row>
    <row r="71" spans="1:12" ht="13" x14ac:dyDescent="0.3">
      <c r="A71" s="8" t="s">
        <v>97</v>
      </c>
      <c r="B71" s="406" t="s">
        <v>124</v>
      </c>
      <c r="C71" s="406"/>
      <c r="D71" s="406"/>
      <c r="E71" s="406"/>
      <c r="F71" s="406"/>
      <c r="G71" s="406"/>
      <c r="H71" s="1">
        <v>0.01</v>
      </c>
      <c r="I71" s="25">
        <f t="shared" si="0"/>
        <v>17.549160000000001</v>
      </c>
    </row>
    <row r="72" spans="1:12" ht="13" x14ac:dyDescent="0.3">
      <c r="A72" s="8" t="s">
        <v>99</v>
      </c>
      <c r="B72" s="406" t="s">
        <v>125</v>
      </c>
      <c r="C72" s="406"/>
      <c r="D72" s="406"/>
      <c r="E72" s="406"/>
      <c r="F72" s="406"/>
      <c r="G72" s="406"/>
      <c r="H72" s="1">
        <v>6.0000000000000001E-3</v>
      </c>
      <c r="I72" s="25">
        <f t="shared" si="0"/>
        <v>10.529496000000002</v>
      </c>
    </row>
    <row r="73" spans="1:12" ht="13" x14ac:dyDescent="0.3">
      <c r="A73" s="8" t="s">
        <v>126</v>
      </c>
      <c r="B73" s="406" t="s">
        <v>127</v>
      </c>
      <c r="C73" s="406"/>
      <c r="D73" s="406"/>
      <c r="E73" s="406"/>
      <c r="F73" s="406"/>
      <c r="G73" s="406"/>
      <c r="H73" s="1">
        <v>2E-3</v>
      </c>
      <c r="I73" s="25">
        <f t="shared" si="0"/>
        <v>3.5098320000000003</v>
      </c>
    </row>
    <row r="74" spans="1:12" ht="13" x14ac:dyDescent="0.3">
      <c r="A74" s="8" t="s">
        <v>128</v>
      </c>
      <c r="B74" s="406" t="s">
        <v>129</v>
      </c>
      <c r="C74" s="406"/>
      <c r="D74" s="406"/>
      <c r="E74" s="406"/>
      <c r="F74" s="406"/>
      <c r="G74" s="406"/>
      <c r="H74" s="1">
        <v>0.08</v>
      </c>
      <c r="I74" s="25">
        <f t="shared" si="0"/>
        <v>140.39328</v>
      </c>
    </row>
    <row r="75" spans="1:12" ht="13" x14ac:dyDescent="0.3">
      <c r="A75" s="445" t="s">
        <v>11</v>
      </c>
      <c r="B75" s="445"/>
      <c r="C75" s="445"/>
      <c r="D75" s="445"/>
      <c r="E75" s="445"/>
      <c r="F75" s="445"/>
      <c r="G75" s="445"/>
      <c r="H75" s="42">
        <f>SUM(H67:H74)</f>
        <v>0.36800000000000005</v>
      </c>
      <c r="I75" s="43">
        <f>SUM(I67:I74)</f>
        <v>645.80908799999997</v>
      </c>
      <c r="K75" s="21"/>
    </row>
    <row r="76" spans="1:12" ht="13" x14ac:dyDescent="0.3">
      <c r="A76" s="3"/>
      <c r="B76" s="3"/>
      <c r="C76" s="3"/>
      <c r="D76" s="3"/>
      <c r="E76" s="3"/>
      <c r="F76" s="3"/>
      <c r="G76" s="3"/>
      <c r="H76" s="44"/>
      <c r="I76" s="4"/>
      <c r="K76" s="21"/>
    </row>
    <row r="77" spans="1:12" ht="13" x14ac:dyDescent="0.3">
      <c r="A77" s="37" t="s">
        <v>130</v>
      </c>
      <c r="B77" s="3"/>
      <c r="C77" s="3"/>
      <c r="D77" s="3"/>
      <c r="E77" s="3"/>
      <c r="F77" s="3"/>
      <c r="G77" s="3"/>
      <c r="H77" s="44"/>
      <c r="I77" s="4"/>
      <c r="K77" s="21"/>
    </row>
    <row r="78" spans="1:12" ht="13" x14ac:dyDescent="0.3">
      <c r="A78" s="37" t="s">
        <v>131</v>
      </c>
      <c r="B78" s="3"/>
      <c r="C78" s="3"/>
      <c r="D78" s="3"/>
      <c r="E78" s="3"/>
      <c r="F78" s="3"/>
      <c r="G78" s="3"/>
      <c r="H78" s="44"/>
      <c r="I78" s="4"/>
      <c r="K78" s="21"/>
    </row>
    <row r="79" spans="1:12" ht="13" x14ac:dyDescent="0.3">
      <c r="A79" s="37" t="s">
        <v>132</v>
      </c>
      <c r="B79" s="3"/>
      <c r="C79" s="3"/>
      <c r="D79" s="3"/>
      <c r="E79" s="3"/>
      <c r="F79" s="3"/>
      <c r="G79" s="3"/>
      <c r="H79" s="44"/>
      <c r="I79" s="4"/>
      <c r="K79" s="21"/>
    </row>
    <row r="80" spans="1:12" ht="13" x14ac:dyDescent="0.3">
      <c r="A80" s="37" t="s">
        <v>133</v>
      </c>
      <c r="B80" s="3"/>
      <c r="C80" s="3"/>
      <c r="D80" s="3"/>
      <c r="E80" s="3"/>
      <c r="F80" s="3"/>
      <c r="G80" s="3"/>
      <c r="H80" s="44"/>
      <c r="I80" s="4"/>
      <c r="K80" s="21"/>
    </row>
    <row r="81" spans="1:11" ht="13" x14ac:dyDescent="0.3">
      <c r="A81" s="37" t="s">
        <v>134</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135</v>
      </c>
      <c r="B83" s="453" t="s">
        <v>136</v>
      </c>
      <c r="C83" s="454"/>
      <c r="D83" s="454"/>
      <c r="E83" s="454"/>
      <c r="F83" s="454"/>
      <c r="G83" s="455"/>
      <c r="H83" s="42"/>
      <c r="I83" s="34" t="s">
        <v>49</v>
      </c>
    </row>
    <row r="84" spans="1:11" ht="13" x14ac:dyDescent="0.3">
      <c r="A84" s="8" t="s">
        <v>50</v>
      </c>
      <c r="B84" s="452" t="s">
        <v>137</v>
      </c>
      <c r="C84" s="452"/>
      <c r="D84" s="452"/>
      <c r="E84" s="452"/>
      <c r="F84" s="452"/>
      <c r="G84" s="452"/>
      <c r="H84" s="23" t="s">
        <v>138</v>
      </c>
      <c r="I84" s="27">
        <f>'Mód2.3 '!K12</f>
        <v>108.05420000000001</v>
      </c>
    </row>
    <row r="85" spans="1:11" ht="13" x14ac:dyDescent="0.3">
      <c r="A85" s="8" t="s">
        <v>51</v>
      </c>
      <c r="B85" s="452" t="s">
        <v>139</v>
      </c>
      <c r="C85" s="452"/>
      <c r="D85" s="452"/>
      <c r="E85" s="452"/>
      <c r="F85" s="452"/>
      <c r="G85" s="452"/>
      <c r="H85" s="23" t="s">
        <v>138</v>
      </c>
      <c r="I85" s="27">
        <f>'Mód2.3 '!E25</f>
        <v>573.26060000000007</v>
      </c>
    </row>
    <row r="86" spans="1:11" ht="13" x14ac:dyDescent="0.3">
      <c r="A86" s="8" t="s">
        <v>52</v>
      </c>
      <c r="B86" s="452" t="s">
        <v>454</v>
      </c>
      <c r="C86" s="452"/>
      <c r="D86" s="452"/>
      <c r="E86" s="452"/>
      <c r="F86" s="452"/>
      <c r="G86" s="452"/>
      <c r="H86" s="23" t="s">
        <v>138</v>
      </c>
      <c r="I86" s="27">
        <f>'Mód2.3 '!E33</f>
        <v>121.03055999999999</v>
      </c>
    </row>
    <row r="87" spans="1:11" ht="25.5" customHeight="1" x14ac:dyDescent="0.25">
      <c r="A87" s="47" t="s">
        <v>63</v>
      </c>
      <c r="B87" s="465" t="s">
        <v>456</v>
      </c>
      <c r="C87" s="465"/>
      <c r="D87" s="465"/>
      <c r="E87" s="465"/>
      <c r="F87" s="465"/>
      <c r="G87" s="465"/>
      <c r="H87" s="36" t="s">
        <v>138</v>
      </c>
      <c r="I87" s="169">
        <f>'Mód2.3 '!E42</f>
        <v>11</v>
      </c>
    </row>
    <row r="88" spans="1:11" ht="13" x14ac:dyDescent="0.3">
      <c r="A88" s="8" t="s">
        <v>97</v>
      </c>
      <c r="B88" s="452" t="s">
        <v>140</v>
      </c>
      <c r="C88" s="452"/>
      <c r="D88" s="452"/>
      <c r="E88" s="452"/>
      <c r="F88" s="452"/>
      <c r="G88" s="452"/>
      <c r="H88" s="23" t="s">
        <v>138</v>
      </c>
      <c r="I88" s="27">
        <f>'Mód2.3 '!E52</f>
        <v>0</v>
      </c>
    </row>
    <row r="89" spans="1:11" ht="13" x14ac:dyDescent="0.3">
      <c r="A89" s="8" t="s">
        <v>99</v>
      </c>
      <c r="B89" s="452" t="s">
        <v>141</v>
      </c>
      <c r="C89" s="452"/>
      <c r="D89" s="452"/>
      <c r="E89" s="452"/>
      <c r="F89" s="452"/>
      <c r="G89" s="452"/>
      <c r="H89" s="23" t="s">
        <v>138</v>
      </c>
      <c r="I89" s="27">
        <f>'Mód2.3 '!E60</f>
        <v>0</v>
      </c>
    </row>
    <row r="90" spans="1:11" ht="13" x14ac:dyDescent="0.3">
      <c r="A90" s="445" t="s">
        <v>142</v>
      </c>
      <c r="B90" s="445"/>
      <c r="C90" s="445"/>
      <c r="D90" s="445"/>
      <c r="E90" s="445"/>
      <c r="F90" s="445"/>
      <c r="G90" s="445"/>
      <c r="H90" s="445"/>
      <c r="I90" s="43">
        <f>SUM(I84:I89)</f>
        <v>813.34536000000014</v>
      </c>
    </row>
    <row r="91" spans="1:11" ht="13" x14ac:dyDescent="0.3">
      <c r="A91" s="3"/>
      <c r="B91" s="3"/>
      <c r="C91" s="3"/>
      <c r="D91" s="3"/>
      <c r="E91" s="3"/>
      <c r="F91" s="3"/>
      <c r="G91" s="3"/>
      <c r="H91" s="3"/>
      <c r="I91" s="4"/>
    </row>
    <row r="92" spans="1:11" ht="13" x14ac:dyDescent="0.3">
      <c r="A92" s="37" t="s">
        <v>143</v>
      </c>
      <c r="B92" s="3"/>
      <c r="C92" s="3"/>
      <c r="D92" s="3"/>
      <c r="E92" s="3"/>
      <c r="F92" s="3"/>
      <c r="G92" s="3"/>
      <c r="H92" s="3"/>
      <c r="I92" s="4"/>
    </row>
    <row r="93" spans="1:11" ht="13" x14ac:dyDescent="0.3">
      <c r="A93" s="37" t="s">
        <v>144</v>
      </c>
      <c r="B93" s="3"/>
      <c r="C93" s="3"/>
      <c r="D93" s="3"/>
      <c r="E93" s="3"/>
      <c r="F93" s="3"/>
      <c r="G93" s="3"/>
      <c r="H93" s="3"/>
      <c r="I93" s="4"/>
    </row>
    <row r="94" spans="1:11" ht="13" x14ac:dyDescent="0.3">
      <c r="A94" s="37" t="s">
        <v>145</v>
      </c>
      <c r="B94" s="3"/>
      <c r="C94" s="3"/>
      <c r="D94" s="3"/>
      <c r="E94" s="3"/>
      <c r="F94" s="3"/>
      <c r="G94" s="3"/>
      <c r="H94" s="3"/>
      <c r="I94" s="4"/>
    </row>
    <row r="95" spans="1:11" ht="13" x14ac:dyDescent="0.3">
      <c r="A95" s="37" t="s">
        <v>146</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147</v>
      </c>
      <c r="C97" s="48"/>
      <c r="D97" s="48"/>
      <c r="E97" s="48"/>
      <c r="F97" s="48"/>
      <c r="G97" s="48"/>
      <c r="H97" s="48"/>
      <c r="I97" s="48"/>
    </row>
    <row r="98" spans="1:11" ht="13" x14ac:dyDescent="0.3">
      <c r="A98" s="405" t="s">
        <v>148</v>
      </c>
      <c r="B98" s="405"/>
      <c r="C98" s="405"/>
      <c r="D98" s="405"/>
      <c r="E98" s="405"/>
      <c r="F98" s="405"/>
      <c r="G98" s="405"/>
      <c r="H98" s="405"/>
      <c r="I98" s="8" t="s">
        <v>49</v>
      </c>
    </row>
    <row r="99" spans="1:11" ht="13" x14ac:dyDescent="0.3">
      <c r="A99" s="8" t="s">
        <v>105</v>
      </c>
      <c r="B99" s="456" t="s">
        <v>149</v>
      </c>
      <c r="C99" s="456"/>
      <c r="D99" s="456"/>
      <c r="E99" s="456"/>
      <c r="F99" s="456"/>
      <c r="G99" s="456"/>
      <c r="H99" s="456"/>
      <c r="I99" s="25">
        <f>I56</f>
        <v>490.52663267840006</v>
      </c>
    </row>
    <row r="100" spans="1:11" ht="13" x14ac:dyDescent="0.3">
      <c r="A100" s="8" t="s">
        <v>117</v>
      </c>
      <c r="B100" s="456" t="s">
        <v>150</v>
      </c>
      <c r="C100" s="456"/>
      <c r="D100" s="456"/>
      <c r="E100" s="456"/>
      <c r="F100" s="456"/>
      <c r="G100" s="456"/>
      <c r="H100" s="456"/>
      <c r="I100" s="25">
        <f>I75</f>
        <v>645.80908799999997</v>
      </c>
    </row>
    <row r="101" spans="1:11" ht="13" x14ac:dyDescent="0.3">
      <c r="A101" s="8" t="s">
        <v>135</v>
      </c>
      <c r="B101" s="456" t="s">
        <v>151</v>
      </c>
      <c r="C101" s="456"/>
      <c r="D101" s="456"/>
      <c r="E101" s="456"/>
      <c r="F101" s="456"/>
      <c r="G101" s="456"/>
      <c r="H101" s="456"/>
      <c r="I101" s="25">
        <f>I90</f>
        <v>813.34536000000014</v>
      </c>
    </row>
    <row r="102" spans="1:11" ht="13" x14ac:dyDescent="0.3">
      <c r="A102" s="450" t="s">
        <v>152</v>
      </c>
      <c r="B102" s="450"/>
      <c r="C102" s="450"/>
      <c r="D102" s="450"/>
      <c r="E102" s="450"/>
      <c r="F102" s="450"/>
      <c r="G102" s="450"/>
      <c r="H102" s="450"/>
      <c r="I102" s="129">
        <f>SUM(I99:I101)</f>
        <v>1949.6810806784001</v>
      </c>
      <c r="K102" s="7"/>
    </row>
    <row r="103" spans="1:11" ht="13" x14ac:dyDescent="0.3">
      <c r="A103" s="469"/>
      <c r="B103" s="470"/>
      <c r="C103" s="470"/>
      <c r="D103" s="470"/>
      <c r="E103" s="470"/>
      <c r="F103" s="470"/>
      <c r="G103" s="470"/>
      <c r="H103" s="470"/>
      <c r="I103" s="470"/>
    </row>
    <row r="104" spans="1:11" ht="13" x14ac:dyDescent="0.3">
      <c r="A104" s="451" t="s">
        <v>153</v>
      </c>
      <c r="B104" s="451"/>
      <c r="C104" s="451"/>
      <c r="D104" s="451"/>
      <c r="E104" s="451"/>
      <c r="F104" s="451"/>
      <c r="G104" s="451"/>
      <c r="H104" s="451"/>
      <c r="I104" s="451"/>
    </row>
    <row r="105" spans="1:11" ht="13" x14ac:dyDescent="0.3">
      <c r="A105" s="8">
        <v>3</v>
      </c>
      <c r="B105" s="405" t="s">
        <v>154</v>
      </c>
      <c r="C105" s="405"/>
      <c r="D105" s="405"/>
      <c r="E105" s="405"/>
      <c r="F105" s="405"/>
      <c r="G105" s="405"/>
      <c r="H105" s="8" t="s">
        <v>90</v>
      </c>
      <c r="I105" s="8" t="s">
        <v>49</v>
      </c>
    </row>
    <row r="106" spans="1:11" ht="13" x14ac:dyDescent="0.3">
      <c r="A106" s="8" t="s">
        <v>50</v>
      </c>
      <c r="B106" s="406" t="s">
        <v>155</v>
      </c>
      <c r="C106" s="406"/>
      <c r="D106" s="406"/>
      <c r="E106" s="406"/>
      <c r="F106" s="406"/>
      <c r="G106" s="406"/>
      <c r="H106" s="1">
        <v>4.1999999999999997E-3</v>
      </c>
      <c r="I106" s="25">
        <f>H106*I45</f>
        <v>7.3706472000000005</v>
      </c>
    </row>
    <row r="107" spans="1:11" ht="13" x14ac:dyDescent="0.25">
      <c r="A107" s="47" t="s">
        <v>51</v>
      </c>
      <c r="B107" s="449" t="s">
        <v>156</v>
      </c>
      <c r="C107" s="449"/>
      <c r="D107" s="449"/>
      <c r="E107" s="449"/>
      <c r="F107" s="449"/>
      <c r="G107" s="449"/>
      <c r="H107" s="163">
        <f>H74</f>
        <v>0.08</v>
      </c>
      <c r="I107" s="164">
        <f>I106*H107</f>
        <v>0.58965177600000007</v>
      </c>
    </row>
    <row r="108" spans="1:11" ht="24.75" customHeight="1" x14ac:dyDescent="0.25">
      <c r="A108" s="47" t="s">
        <v>52</v>
      </c>
      <c r="B108" s="449" t="s">
        <v>157</v>
      </c>
      <c r="C108" s="449"/>
      <c r="D108" s="449"/>
      <c r="E108" s="449"/>
      <c r="F108" s="449"/>
      <c r="G108" s="449"/>
      <c r="H108" s="163">
        <v>2E-3</v>
      </c>
      <c r="I108" s="164">
        <f>H108*I45</f>
        <v>3.5098320000000003</v>
      </c>
    </row>
    <row r="109" spans="1:11" ht="13" x14ac:dyDescent="0.3">
      <c r="A109" s="8" t="s">
        <v>63</v>
      </c>
      <c r="B109" s="406" t="s">
        <v>158</v>
      </c>
      <c r="C109" s="406"/>
      <c r="D109" s="406"/>
      <c r="E109" s="406"/>
      <c r="F109" s="406"/>
      <c r="G109" s="406"/>
      <c r="H109" s="1">
        <v>1.9400000000000001E-2</v>
      </c>
      <c r="I109" s="25">
        <f>H109*I45</f>
        <v>34.045370400000003</v>
      </c>
    </row>
    <row r="110" spans="1:11" ht="13" x14ac:dyDescent="0.3">
      <c r="A110" s="8" t="s">
        <v>97</v>
      </c>
      <c r="B110" s="466" t="s">
        <v>159</v>
      </c>
      <c r="C110" s="466"/>
      <c r="D110" s="466"/>
      <c r="E110" s="466"/>
      <c r="F110" s="466"/>
      <c r="G110" s="466"/>
      <c r="H110" s="24">
        <f>H75</f>
        <v>0.36800000000000005</v>
      </c>
      <c r="I110" s="25">
        <f>I109*H110</f>
        <v>12.528696307200002</v>
      </c>
    </row>
    <row r="111" spans="1:11" ht="25.5" customHeight="1" x14ac:dyDescent="0.25">
      <c r="A111" s="47" t="s">
        <v>99</v>
      </c>
      <c r="B111" s="449" t="s">
        <v>160</v>
      </c>
      <c r="C111" s="449"/>
      <c r="D111" s="449"/>
      <c r="E111" s="449"/>
      <c r="F111" s="449"/>
      <c r="G111" s="449"/>
      <c r="H111" s="163">
        <v>3.7999999999999999E-2</v>
      </c>
      <c r="I111" s="164">
        <f>H111*I45</f>
        <v>66.686807999999999</v>
      </c>
      <c r="K111" s="7"/>
    </row>
    <row r="112" spans="1:11" ht="13" x14ac:dyDescent="0.3">
      <c r="A112" s="450" t="s">
        <v>161</v>
      </c>
      <c r="B112" s="450"/>
      <c r="C112" s="450"/>
      <c r="D112" s="450"/>
      <c r="E112" s="450"/>
      <c r="F112" s="450"/>
      <c r="G112" s="450"/>
      <c r="H112" s="42"/>
      <c r="I112" s="129">
        <f>SUM(I106:I111)</f>
        <v>124.73100568320001</v>
      </c>
    </row>
    <row r="113" spans="1:11" ht="13" x14ac:dyDescent="0.3">
      <c r="A113" s="467"/>
      <c r="B113" s="468"/>
      <c r="C113" s="468"/>
      <c r="D113" s="468"/>
      <c r="E113" s="468"/>
      <c r="F113" s="468"/>
      <c r="G113" s="468"/>
      <c r="H113" s="468"/>
      <c r="I113" s="468"/>
    </row>
    <row r="114" spans="1:11" ht="13" x14ac:dyDescent="0.3">
      <c r="A114" s="451" t="s">
        <v>162</v>
      </c>
      <c r="B114" s="451"/>
      <c r="C114" s="451"/>
      <c r="D114" s="451"/>
      <c r="E114" s="451"/>
      <c r="F114" s="451"/>
      <c r="G114" s="451"/>
      <c r="H114" s="451"/>
      <c r="I114" s="451"/>
    </row>
    <row r="115" spans="1:11" ht="13" x14ac:dyDescent="0.3">
      <c r="A115" s="3"/>
      <c r="B115" s="3"/>
      <c r="C115" s="3"/>
      <c r="D115" s="3"/>
      <c r="E115" s="3"/>
      <c r="F115" s="3"/>
      <c r="G115" s="3"/>
      <c r="H115" s="3"/>
      <c r="I115" s="3"/>
    </row>
    <row r="116" spans="1:11" ht="13" x14ac:dyDescent="0.3">
      <c r="A116" s="37" t="s">
        <v>163</v>
      </c>
      <c r="B116" s="3"/>
      <c r="C116" s="3"/>
      <c r="D116" s="3"/>
      <c r="E116" s="3"/>
      <c r="F116" s="3"/>
      <c r="G116" s="3"/>
      <c r="H116" s="3"/>
      <c r="I116" s="3"/>
    </row>
    <row r="117" spans="1:11" ht="13" x14ac:dyDescent="0.3">
      <c r="A117" s="37" t="s">
        <v>164</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165</v>
      </c>
      <c r="B119" s="445" t="s">
        <v>166</v>
      </c>
      <c r="C119" s="445"/>
      <c r="D119" s="445"/>
      <c r="E119" s="445"/>
      <c r="F119" s="445"/>
      <c r="G119" s="445"/>
      <c r="H119" s="34" t="s">
        <v>90</v>
      </c>
      <c r="I119" s="34" t="s">
        <v>49</v>
      </c>
    </row>
    <row r="120" spans="1:11" ht="13" x14ac:dyDescent="0.3">
      <c r="A120" s="49" t="s">
        <v>50</v>
      </c>
      <c r="B120" s="406" t="s">
        <v>167</v>
      </c>
      <c r="C120" s="406"/>
      <c r="D120" s="406"/>
      <c r="E120" s="406"/>
      <c r="F120" s="406"/>
      <c r="G120" s="406"/>
      <c r="H120" s="43"/>
      <c r="I120" s="43"/>
    </row>
    <row r="121" spans="1:11" ht="13" x14ac:dyDescent="0.3">
      <c r="A121" s="8" t="s">
        <v>51</v>
      </c>
      <c r="B121" s="406" t="s">
        <v>168</v>
      </c>
      <c r="C121" s="406"/>
      <c r="D121" s="406"/>
      <c r="E121" s="406"/>
      <c r="F121" s="406"/>
      <c r="G121" s="406"/>
      <c r="H121" s="175">
        <v>1.67E-2</v>
      </c>
      <c r="I121" s="25">
        <f>H121*$I$45</f>
        <v>29.307097200000001</v>
      </c>
      <c r="J121" s="32" t="s">
        <v>169</v>
      </c>
      <c r="K121" s="166"/>
    </row>
    <row r="122" spans="1:11" ht="13" x14ac:dyDescent="0.3">
      <c r="A122" s="8" t="s">
        <v>52</v>
      </c>
      <c r="B122" s="406" t="s">
        <v>170</v>
      </c>
      <c r="C122" s="406"/>
      <c r="D122" s="406"/>
      <c r="E122" s="406"/>
      <c r="F122" s="406"/>
      <c r="G122" s="406"/>
      <c r="H122" s="175">
        <v>2.0000000000000001E-4</v>
      </c>
      <c r="I122" s="25">
        <f>H122*$I$45</f>
        <v>0.35098320000000005</v>
      </c>
      <c r="J122" s="32" t="s">
        <v>169</v>
      </c>
      <c r="K122" s="166"/>
    </row>
    <row r="123" spans="1:11" ht="13.5" x14ac:dyDescent="0.25">
      <c r="A123" s="47" t="s">
        <v>63</v>
      </c>
      <c r="B123" s="449" t="s">
        <v>171</v>
      </c>
      <c r="C123" s="449"/>
      <c r="D123" s="449"/>
      <c r="E123" s="449"/>
      <c r="F123" s="449"/>
      <c r="G123" s="449"/>
      <c r="H123" s="163">
        <v>6.9999999999999999E-4</v>
      </c>
      <c r="I123" s="164">
        <f>H123*$I$45</f>
        <v>1.2284412</v>
      </c>
      <c r="J123" s="32" t="s">
        <v>169</v>
      </c>
    </row>
    <row r="124" spans="1:11" ht="13" x14ac:dyDescent="0.3">
      <c r="A124" s="8" t="s">
        <v>97</v>
      </c>
      <c r="B124" s="406" t="s">
        <v>172</v>
      </c>
      <c r="C124" s="406"/>
      <c r="D124" s="406"/>
      <c r="E124" s="406"/>
      <c r="F124" s="406"/>
      <c r="G124" s="406"/>
      <c r="H124" s="175">
        <v>2.8999999999999998E-3</v>
      </c>
      <c r="I124" s="25">
        <f>H124*$I$45</f>
        <v>5.0892564</v>
      </c>
      <c r="J124" s="32" t="s">
        <v>169</v>
      </c>
    </row>
    <row r="125" spans="1:11" ht="13" x14ac:dyDescent="0.3">
      <c r="A125" s="8" t="s">
        <v>99</v>
      </c>
      <c r="B125" s="406" t="s">
        <v>173</v>
      </c>
      <c r="C125" s="406"/>
      <c r="D125" s="406"/>
      <c r="E125" s="406"/>
      <c r="F125" s="406"/>
      <c r="G125" s="406"/>
      <c r="H125" s="175"/>
      <c r="I125" s="25">
        <f t="shared" ref="I125" si="1">H125*$I$45</f>
        <v>0</v>
      </c>
      <c r="J125" s="32" t="s">
        <v>169</v>
      </c>
    </row>
    <row r="126" spans="1:11" ht="13" x14ac:dyDescent="0.3">
      <c r="A126" s="445" t="s">
        <v>174</v>
      </c>
      <c r="B126" s="445"/>
      <c r="C126" s="445"/>
      <c r="D126" s="445"/>
      <c r="E126" s="445"/>
      <c r="F126" s="445"/>
      <c r="G126" s="445"/>
      <c r="H126" s="42"/>
      <c r="I126" s="43">
        <f>SUM(I121:I125)</f>
        <v>35.975778000000005</v>
      </c>
      <c r="J126" s="32"/>
    </row>
    <row r="127" spans="1:11" ht="13" x14ac:dyDescent="0.3">
      <c r="A127" s="8" t="s">
        <v>99</v>
      </c>
      <c r="B127" s="406" t="s">
        <v>175</v>
      </c>
      <c r="C127" s="406"/>
      <c r="D127" s="406"/>
      <c r="E127" s="406"/>
      <c r="F127" s="406"/>
      <c r="G127" s="406"/>
      <c r="H127" s="1">
        <f>H75</f>
        <v>0.36800000000000005</v>
      </c>
      <c r="I127" s="25">
        <f>I126*H127</f>
        <v>13.239086304000004</v>
      </c>
    </row>
    <row r="128" spans="1:11" ht="13" x14ac:dyDescent="0.3">
      <c r="A128" s="445" t="s">
        <v>176</v>
      </c>
      <c r="B128" s="445"/>
      <c r="C128" s="445"/>
      <c r="D128" s="445"/>
      <c r="E128" s="445"/>
      <c r="F128" s="445"/>
      <c r="G128" s="445"/>
      <c r="H128" s="42"/>
      <c r="I128" s="43">
        <f>SUM(I126:I127)</f>
        <v>49.21486430400001</v>
      </c>
    </row>
    <row r="129" spans="1:10" ht="13" x14ac:dyDescent="0.3">
      <c r="A129" s="3"/>
      <c r="B129" s="3"/>
      <c r="C129" s="3"/>
      <c r="D129" s="3"/>
      <c r="E129" s="3"/>
      <c r="F129" s="3"/>
      <c r="G129" s="3"/>
      <c r="H129" s="3"/>
      <c r="I129" s="3"/>
    </row>
    <row r="130" spans="1:10" ht="13" x14ac:dyDescent="0.3">
      <c r="A130" s="49" t="s">
        <v>177</v>
      </c>
      <c r="B130" s="453" t="s">
        <v>178</v>
      </c>
      <c r="C130" s="454"/>
      <c r="D130" s="454"/>
      <c r="E130" s="454"/>
      <c r="F130" s="454"/>
      <c r="G130" s="455"/>
      <c r="H130" s="34" t="s">
        <v>90</v>
      </c>
      <c r="I130" s="34" t="s">
        <v>49</v>
      </c>
    </row>
    <row r="131" spans="1:10" ht="13" x14ac:dyDescent="0.3">
      <c r="A131" s="8" t="s">
        <v>50</v>
      </c>
      <c r="B131" s="475" t="s">
        <v>179</v>
      </c>
      <c r="C131" s="476"/>
      <c r="D131" s="476"/>
      <c r="E131" s="476"/>
      <c r="F131" s="476"/>
      <c r="G131" s="477"/>
      <c r="H131" s="175">
        <v>0</v>
      </c>
      <c r="I131" s="25">
        <v>0</v>
      </c>
    </row>
    <row r="132" spans="1:10" ht="13" x14ac:dyDescent="0.3">
      <c r="A132" s="453" t="s">
        <v>180</v>
      </c>
      <c r="B132" s="454"/>
      <c r="C132" s="454"/>
      <c r="D132" s="454"/>
      <c r="E132" s="454"/>
      <c r="F132" s="454"/>
      <c r="G132" s="455"/>
      <c r="H132" s="42">
        <f>TRUNC(SUM(H131),4)</f>
        <v>0</v>
      </c>
      <c r="I132" s="43">
        <f>SUM(I131)</f>
        <v>0</v>
      </c>
    </row>
    <row r="133" spans="1:10" ht="13" x14ac:dyDescent="0.3">
      <c r="A133" s="51"/>
      <c r="B133" s="45"/>
      <c r="C133" s="45"/>
      <c r="D133" s="45"/>
      <c r="E133" s="45"/>
      <c r="F133" s="45"/>
      <c r="G133" s="45"/>
      <c r="H133" s="45"/>
      <c r="I133" s="45"/>
    </row>
    <row r="134" spans="1:10" ht="13" x14ac:dyDescent="0.3">
      <c r="A134" s="445" t="s">
        <v>181</v>
      </c>
      <c r="B134" s="445"/>
      <c r="C134" s="445"/>
      <c r="D134" s="445"/>
      <c r="E134" s="445"/>
      <c r="F134" s="445"/>
      <c r="G134" s="445"/>
      <c r="H134" s="445"/>
      <c r="I134" s="445"/>
    </row>
    <row r="135" spans="1:10" ht="13" x14ac:dyDescent="0.3">
      <c r="A135" s="47">
        <v>4</v>
      </c>
      <c r="B135" s="423" t="s">
        <v>182</v>
      </c>
      <c r="C135" s="424"/>
      <c r="D135" s="424"/>
      <c r="E135" s="424"/>
      <c r="F135" s="424"/>
      <c r="G135" s="425"/>
      <c r="H135" s="46"/>
      <c r="I135" s="8" t="s">
        <v>49</v>
      </c>
    </row>
    <row r="136" spans="1:10" ht="13" x14ac:dyDescent="0.3">
      <c r="A136" s="8" t="s">
        <v>165</v>
      </c>
      <c r="B136" s="472" t="s">
        <v>183</v>
      </c>
      <c r="C136" s="473"/>
      <c r="D136" s="473"/>
      <c r="E136" s="473"/>
      <c r="F136" s="473"/>
      <c r="G136" s="474"/>
      <c r="H136" s="22"/>
      <c r="I136" s="25">
        <f>I128</f>
        <v>49.21486430400001</v>
      </c>
    </row>
    <row r="137" spans="1:10" ht="13" x14ac:dyDescent="0.3">
      <c r="A137" s="8" t="s">
        <v>177</v>
      </c>
      <c r="B137" s="472" t="s">
        <v>184</v>
      </c>
      <c r="C137" s="473"/>
      <c r="D137" s="473"/>
      <c r="E137" s="473"/>
      <c r="F137" s="473"/>
      <c r="G137" s="474"/>
      <c r="H137" s="22"/>
      <c r="I137" s="25">
        <f>I132</f>
        <v>0</v>
      </c>
    </row>
    <row r="138" spans="1:10" ht="13" x14ac:dyDescent="0.3">
      <c r="A138" s="450" t="s">
        <v>185</v>
      </c>
      <c r="B138" s="450"/>
      <c r="C138" s="450"/>
      <c r="D138" s="450"/>
      <c r="E138" s="450"/>
      <c r="F138" s="450"/>
      <c r="G138" s="450"/>
      <c r="H138" s="450"/>
      <c r="I138" s="129">
        <f>SUM(I136:I137)</f>
        <v>49.21486430400001</v>
      </c>
    </row>
    <row r="139" spans="1:10" ht="13" x14ac:dyDescent="0.3">
      <c r="A139" s="469"/>
      <c r="B139" s="470"/>
      <c r="C139" s="470"/>
      <c r="D139" s="470"/>
      <c r="E139" s="470"/>
      <c r="F139" s="470"/>
      <c r="G139" s="470"/>
      <c r="H139" s="470"/>
      <c r="I139" s="470"/>
    </row>
    <row r="140" spans="1:10" ht="13" x14ac:dyDescent="0.3">
      <c r="A140" s="451" t="s">
        <v>186</v>
      </c>
      <c r="B140" s="451"/>
      <c r="C140" s="451"/>
      <c r="D140" s="451"/>
      <c r="E140" s="451"/>
      <c r="F140" s="451"/>
      <c r="G140" s="451"/>
      <c r="H140" s="451"/>
      <c r="I140" s="451"/>
    </row>
    <row r="141" spans="1:10" ht="13" x14ac:dyDescent="0.3">
      <c r="A141" s="8">
        <v>5</v>
      </c>
      <c r="B141" s="405" t="s">
        <v>187</v>
      </c>
      <c r="C141" s="405"/>
      <c r="D141" s="405"/>
      <c r="E141" s="405"/>
      <c r="F141" s="405"/>
      <c r="G141" s="405"/>
      <c r="H141" s="8"/>
      <c r="I141" s="8" t="s">
        <v>49</v>
      </c>
    </row>
    <row r="142" spans="1:10" ht="13" x14ac:dyDescent="0.3">
      <c r="A142" s="8" t="s">
        <v>50</v>
      </c>
      <c r="B142" s="452" t="s">
        <v>188</v>
      </c>
      <c r="C142" s="452"/>
      <c r="D142" s="452"/>
      <c r="E142" s="452"/>
      <c r="F142" s="452"/>
      <c r="G142" s="452"/>
      <c r="H142" s="23" t="s">
        <v>138</v>
      </c>
      <c r="I142" s="25">
        <f>'Uniform&amp;EPIs '!K26</f>
        <v>55.727777777777781</v>
      </c>
    </row>
    <row r="143" spans="1:10" ht="13" x14ac:dyDescent="0.3">
      <c r="A143" s="8" t="s">
        <v>51</v>
      </c>
      <c r="B143" s="452" t="s">
        <v>189</v>
      </c>
      <c r="C143" s="452"/>
      <c r="D143" s="452"/>
      <c r="E143" s="452"/>
      <c r="F143" s="452"/>
      <c r="G143" s="452"/>
      <c r="H143" s="23" t="s">
        <v>138</v>
      </c>
      <c r="I143" s="25" cm="1">
        <f t="array" ref="I143:J143">'Materiais Criciuma'!K66:L66</f>
        <v>986.91239579062449</v>
      </c>
      <c r="J143">
        <v>0</v>
      </c>
    </row>
    <row r="144" spans="1:10" ht="13" x14ac:dyDescent="0.3">
      <c r="A144" s="28" t="s">
        <v>52</v>
      </c>
      <c r="B144" s="452" t="s">
        <v>190</v>
      </c>
      <c r="C144" s="452"/>
      <c r="D144" s="452"/>
      <c r="E144" s="452"/>
      <c r="F144" s="452"/>
      <c r="G144" s="452"/>
      <c r="H144" s="23" t="s">
        <v>138</v>
      </c>
      <c r="I144" s="25" cm="1">
        <f t="array" ref="I144:J144">'Eqp Criciuma'!K25:L25</f>
        <v>7.5303198031980312</v>
      </c>
      <c r="J144">
        <v>0</v>
      </c>
    </row>
    <row r="145" spans="1:13" ht="13" x14ac:dyDescent="0.3">
      <c r="A145" s="28" t="s">
        <v>63</v>
      </c>
      <c r="B145" s="452" t="s">
        <v>100</v>
      </c>
      <c r="C145" s="452"/>
      <c r="D145" s="452"/>
      <c r="E145" s="452"/>
      <c r="F145" s="452"/>
      <c r="G145" s="452"/>
      <c r="H145" s="23" t="s">
        <v>138</v>
      </c>
      <c r="I145" s="25">
        <v>0</v>
      </c>
    </row>
    <row r="146" spans="1:13" ht="13" x14ac:dyDescent="0.3">
      <c r="A146" s="450" t="s">
        <v>191</v>
      </c>
      <c r="B146" s="450"/>
      <c r="C146" s="450"/>
      <c r="D146" s="450"/>
      <c r="E146" s="450"/>
      <c r="F146" s="450"/>
      <c r="G146" s="450"/>
      <c r="H146" s="42" t="s">
        <v>138</v>
      </c>
      <c r="I146" s="129">
        <f>SUM(I142:I145)</f>
        <v>1050.1704933716003</v>
      </c>
      <c r="K146" s="166"/>
    </row>
    <row r="147" spans="1:13" ht="13" x14ac:dyDescent="0.25">
      <c r="A147" s="53"/>
      <c r="B147" s="53"/>
      <c r="C147" s="53"/>
      <c r="D147" s="53"/>
      <c r="E147" s="53"/>
      <c r="F147" s="53"/>
      <c r="G147" s="53"/>
      <c r="H147" s="53"/>
      <c r="I147" s="53"/>
    </row>
    <row r="148" spans="1:13" ht="13" x14ac:dyDescent="0.3">
      <c r="A148" s="37" t="s">
        <v>192</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51" t="s">
        <v>193</v>
      </c>
      <c r="B150" s="451"/>
      <c r="C150" s="451"/>
      <c r="D150" s="451"/>
      <c r="E150" s="451"/>
      <c r="F150" s="451"/>
      <c r="G150" s="451"/>
      <c r="H150" s="451"/>
      <c r="I150" s="451"/>
    </row>
    <row r="151" spans="1:13" ht="13" x14ac:dyDescent="0.3">
      <c r="A151" s="8">
        <v>6</v>
      </c>
      <c r="B151" s="405" t="s">
        <v>194</v>
      </c>
      <c r="C151" s="405"/>
      <c r="D151" s="405"/>
      <c r="E151" s="405"/>
      <c r="F151" s="405"/>
      <c r="G151" s="405"/>
      <c r="H151" s="8" t="s">
        <v>90</v>
      </c>
      <c r="I151" s="8" t="s">
        <v>49</v>
      </c>
    </row>
    <row r="152" spans="1:13" ht="13" x14ac:dyDescent="0.3">
      <c r="A152" s="8" t="s">
        <v>50</v>
      </c>
      <c r="B152" s="406" t="s">
        <v>195</v>
      </c>
      <c r="C152" s="406"/>
      <c r="D152" s="406"/>
      <c r="E152" s="406"/>
      <c r="F152" s="406"/>
      <c r="G152" s="406"/>
      <c r="H152" s="29">
        <v>0.05</v>
      </c>
      <c r="I152" s="318">
        <f>H152*I170</f>
        <v>246.43567220186003</v>
      </c>
      <c r="J152" s="32" t="s">
        <v>196</v>
      </c>
    </row>
    <row r="153" spans="1:13" ht="13" x14ac:dyDescent="0.3">
      <c r="A153" s="8" t="s">
        <v>51</v>
      </c>
      <c r="B153" s="406" t="s">
        <v>197</v>
      </c>
      <c r="C153" s="406"/>
      <c r="D153" s="406"/>
      <c r="E153" s="406"/>
      <c r="F153" s="406"/>
      <c r="G153" s="406"/>
      <c r="H153" s="29">
        <v>0.1</v>
      </c>
      <c r="I153" s="318">
        <f>H153*(I152+I170)</f>
        <v>517.51491162390607</v>
      </c>
      <c r="J153" s="32" t="s">
        <v>196</v>
      </c>
    </row>
    <row r="154" spans="1:13" ht="13" x14ac:dyDescent="0.3">
      <c r="A154" s="8" t="s">
        <v>52</v>
      </c>
      <c r="B154" s="471" t="s">
        <v>198</v>
      </c>
      <c r="C154" s="471"/>
      <c r="D154" s="471"/>
      <c r="E154" s="471"/>
      <c r="F154" s="471"/>
      <c r="G154" s="471"/>
      <c r="H154" s="2"/>
      <c r="I154" s="30"/>
    </row>
    <row r="155" spans="1:13" ht="13" x14ac:dyDescent="0.3">
      <c r="A155" s="8" t="s">
        <v>199</v>
      </c>
      <c r="B155" s="406" t="s">
        <v>200</v>
      </c>
      <c r="C155" s="406"/>
      <c r="D155" s="406"/>
      <c r="E155" s="406"/>
      <c r="F155" s="406"/>
      <c r="G155" s="406"/>
      <c r="H155" s="6">
        <v>1.6500000000000001E-2</v>
      </c>
      <c r="I155" s="318">
        <f>H155*$I$172</f>
        <v>109.53814164401045</v>
      </c>
      <c r="J155" s="32" t="s">
        <v>201</v>
      </c>
      <c r="K155" s="7"/>
    </row>
    <row r="156" spans="1:13" ht="13" x14ac:dyDescent="0.3">
      <c r="A156" s="8" t="s">
        <v>202</v>
      </c>
      <c r="B156" s="406" t="s">
        <v>203</v>
      </c>
      <c r="C156" s="406"/>
      <c r="D156" s="406"/>
      <c r="E156" s="406"/>
      <c r="F156" s="406"/>
      <c r="G156" s="406"/>
      <c r="H156" s="6">
        <v>7.5999999999999998E-2</v>
      </c>
      <c r="I156" s="318">
        <f t="shared" ref="I156:I157" si="2">H156*$I$172</f>
        <v>504.53931908756323</v>
      </c>
      <c r="J156" s="32" t="s">
        <v>201</v>
      </c>
      <c r="K156" s="7"/>
    </row>
    <row r="157" spans="1:13" ht="13" x14ac:dyDescent="0.3">
      <c r="A157" s="8" t="s">
        <v>204</v>
      </c>
      <c r="B157" s="406" t="s">
        <v>205</v>
      </c>
      <c r="C157" s="406"/>
      <c r="D157" s="406"/>
      <c r="E157" s="406"/>
      <c r="F157" s="406"/>
      <c r="G157" s="406"/>
      <c r="H157" s="6">
        <v>0.05</v>
      </c>
      <c r="I157" s="318">
        <f t="shared" si="2"/>
        <v>331.93376255760745</v>
      </c>
      <c r="J157" s="32" t="s">
        <v>201</v>
      </c>
      <c r="K157" s="7"/>
    </row>
    <row r="158" spans="1:13" ht="13" x14ac:dyDescent="0.3">
      <c r="A158" s="450" t="s">
        <v>206</v>
      </c>
      <c r="B158" s="450"/>
      <c r="C158" s="450"/>
      <c r="D158" s="450"/>
      <c r="E158" s="450"/>
      <c r="F158" s="450"/>
      <c r="G158" s="450"/>
      <c r="H158" s="54">
        <f>SUM(H152:H157)</f>
        <v>0.29250000000000004</v>
      </c>
      <c r="I158" s="129">
        <f>SUM(I152:I157)</f>
        <v>1709.9618071149473</v>
      </c>
      <c r="K158" s="7"/>
      <c r="M158" s="7"/>
    </row>
    <row r="159" spans="1:13" x14ac:dyDescent="0.25">
      <c r="A159" s="309"/>
      <c r="B159" s="319"/>
      <c r="C159" s="319"/>
      <c r="D159" s="319"/>
      <c r="E159" s="319"/>
      <c r="F159" s="319"/>
      <c r="G159" s="319"/>
      <c r="H159" s="319"/>
      <c r="I159" s="319"/>
    </row>
    <row r="160" spans="1:13" ht="13" x14ac:dyDescent="0.25">
      <c r="A160" s="37" t="s">
        <v>207</v>
      </c>
      <c r="B160" s="319"/>
      <c r="C160" s="319"/>
      <c r="D160" s="319"/>
      <c r="E160" s="319"/>
      <c r="F160" s="319"/>
      <c r="G160" s="319"/>
      <c r="H160" s="319"/>
      <c r="I160" s="319"/>
    </row>
    <row r="161" spans="1:11" ht="13" x14ac:dyDescent="0.25">
      <c r="A161" s="37" t="s">
        <v>208</v>
      </c>
      <c r="B161" s="319"/>
      <c r="C161" s="319"/>
      <c r="D161" s="319"/>
      <c r="E161" s="319"/>
      <c r="F161" s="319"/>
      <c r="G161" s="319"/>
      <c r="H161" s="319"/>
      <c r="I161" s="319"/>
    </row>
    <row r="162" spans="1:11" ht="13" x14ac:dyDescent="0.3">
      <c r="A162" s="309"/>
      <c r="B162" s="309"/>
      <c r="C162" s="309"/>
      <c r="D162" s="309"/>
      <c r="E162" s="309"/>
      <c r="F162" s="309"/>
      <c r="G162" s="309"/>
      <c r="H162" s="309"/>
      <c r="I162" s="4"/>
    </row>
    <row r="163" spans="1:11" ht="13" x14ac:dyDescent="0.3">
      <c r="A163" s="445" t="s">
        <v>209</v>
      </c>
      <c r="B163" s="445"/>
      <c r="C163" s="445"/>
      <c r="D163" s="445"/>
      <c r="E163" s="445"/>
      <c r="F163" s="445"/>
      <c r="G163" s="445"/>
      <c r="H163" s="445"/>
      <c r="I163" s="445"/>
      <c r="K163" s="9"/>
    </row>
    <row r="164" spans="1:11" ht="13" x14ac:dyDescent="0.3">
      <c r="A164" s="405" t="s">
        <v>210</v>
      </c>
      <c r="B164" s="405"/>
      <c r="C164" s="405"/>
      <c r="D164" s="405"/>
      <c r="E164" s="405"/>
      <c r="F164" s="405"/>
      <c r="G164" s="405"/>
      <c r="H164" s="405"/>
      <c r="I164" s="8" t="s">
        <v>49</v>
      </c>
    </row>
    <row r="165" spans="1:11" x14ac:dyDescent="0.25">
      <c r="A165" s="311" t="s">
        <v>50</v>
      </c>
      <c r="B165" s="444" t="str">
        <f>A37</f>
        <v>MÓDULO 1 - COMPOSIÇÃO DA REMUNERAÇÃO</v>
      </c>
      <c r="C165" s="444"/>
      <c r="D165" s="444"/>
      <c r="E165" s="444"/>
      <c r="F165" s="444"/>
      <c r="G165" s="444"/>
      <c r="H165" s="444"/>
      <c r="I165" s="318">
        <f>I45</f>
        <v>1754.9160000000002</v>
      </c>
    </row>
    <row r="166" spans="1:11" x14ac:dyDescent="0.25">
      <c r="A166" s="311" t="s">
        <v>51</v>
      </c>
      <c r="B166" s="444" t="str">
        <f>A50</f>
        <v>MÓDULO 2 – ENCARGOS E BENEFÍCIOS ANUAIS, MENSAIS E DIÁRIOS</v>
      </c>
      <c r="C166" s="444"/>
      <c r="D166" s="444"/>
      <c r="E166" s="444"/>
      <c r="F166" s="444"/>
      <c r="G166" s="444"/>
      <c r="H166" s="444"/>
      <c r="I166" s="318">
        <f>I102</f>
        <v>1949.6810806784001</v>
      </c>
    </row>
    <row r="167" spans="1:11" ht="13" x14ac:dyDescent="0.3">
      <c r="A167" s="311" t="s">
        <v>52</v>
      </c>
      <c r="B167" s="444" t="str">
        <f>A104</f>
        <v>MÓDULO 3 – PROVISÃO PARA RESCISÃO</v>
      </c>
      <c r="C167" s="444"/>
      <c r="D167" s="444"/>
      <c r="E167" s="444"/>
      <c r="F167" s="444"/>
      <c r="G167" s="444"/>
      <c r="H167" s="444"/>
      <c r="I167" s="318">
        <f>I112</f>
        <v>124.73100568320001</v>
      </c>
      <c r="K167" s="9"/>
    </row>
    <row r="168" spans="1:11" ht="13" x14ac:dyDescent="0.3">
      <c r="A168" s="23" t="s">
        <v>63</v>
      </c>
      <c r="B168" s="444" t="str">
        <f>A114</f>
        <v>MÓDULO 4 – CUSTO DE REPOSIÇÃO DO PROFISSIONAL AUSENTE</v>
      </c>
      <c r="C168" s="444"/>
      <c r="D168" s="444"/>
      <c r="E168" s="444"/>
      <c r="F168" s="444"/>
      <c r="G168" s="444"/>
      <c r="H168" s="444"/>
      <c r="I168" s="318">
        <f>I138</f>
        <v>49.21486430400001</v>
      </c>
      <c r="K168" s="9"/>
    </row>
    <row r="169" spans="1:11" x14ac:dyDescent="0.25">
      <c r="A169" s="23" t="s">
        <v>97</v>
      </c>
      <c r="B169" s="444" t="str">
        <f>A140</f>
        <v>MÓDULO 5 – INSUMOS DIVERSOS</v>
      </c>
      <c r="C169" s="444"/>
      <c r="D169" s="444"/>
      <c r="E169" s="444"/>
      <c r="F169" s="444"/>
      <c r="G169" s="444"/>
      <c r="H169" s="444"/>
      <c r="I169" s="318">
        <f>I146</f>
        <v>1050.1704933716003</v>
      </c>
    </row>
    <row r="170" spans="1:11" ht="13" x14ac:dyDescent="0.3">
      <c r="A170" s="8"/>
      <c r="B170" s="405" t="s">
        <v>211</v>
      </c>
      <c r="C170" s="405"/>
      <c r="D170" s="405"/>
      <c r="E170" s="405"/>
      <c r="F170" s="405"/>
      <c r="G170" s="405"/>
      <c r="H170" s="405"/>
      <c r="I170" s="26">
        <f>SUM(I165:I169)</f>
        <v>4928.7134440372001</v>
      </c>
      <c r="K170" s="7"/>
    </row>
    <row r="171" spans="1:11" x14ac:dyDescent="0.25">
      <c r="A171" s="23" t="s">
        <v>99</v>
      </c>
      <c r="B171" s="444" t="str">
        <f>A150</f>
        <v>MÓDULO 6 – CUSTOS INDIRETOS, TRIBUTOS E LUCRO</v>
      </c>
      <c r="C171" s="444"/>
      <c r="D171" s="444"/>
      <c r="E171" s="444"/>
      <c r="F171" s="444"/>
      <c r="G171" s="444"/>
      <c r="H171" s="444"/>
      <c r="I171" s="25">
        <f>I158</f>
        <v>1709.9618071149473</v>
      </c>
    </row>
    <row r="172" spans="1:11" ht="13" x14ac:dyDescent="0.3">
      <c r="A172" s="450" t="s">
        <v>212</v>
      </c>
      <c r="B172" s="450"/>
      <c r="C172" s="450"/>
      <c r="D172" s="450"/>
      <c r="E172" s="450"/>
      <c r="F172" s="450"/>
      <c r="G172" s="450"/>
      <c r="H172" s="450"/>
      <c r="I172" s="129">
        <f>SUM(I45,I102,I112,I138,I146,I152,I153)/(1-SUM(H155:H157))</f>
        <v>6638.6752511521481</v>
      </c>
    </row>
    <row r="173" spans="1:11" ht="13" x14ac:dyDescent="0.3">
      <c r="A173" s="3"/>
      <c r="B173" s="3"/>
      <c r="C173" s="3"/>
      <c r="D173" s="3"/>
      <c r="E173" s="3"/>
      <c r="F173" s="3"/>
      <c r="G173" s="3"/>
      <c r="H173" s="3"/>
      <c r="I173" s="4"/>
    </row>
    <row r="175" spans="1:11" ht="13" hidden="1" outlineLevel="1" x14ac:dyDescent="0.25">
      <c r="A175" s="416" t="s">
        <v>13</v>
      </c>
      <c r="B175" s="417"/>
      <c r="C175" s="417"/>
      <c r="D175" s="417"/>
      <c r="E175" s="417"/>
      <c r="F175" s="417"/>
      <c r="G175" s="417"/>
      <c r="H175" s="417"/>
      <c r="I175" s="418"/>
    </row>
    <row r="176" spans="1:11" ht="13" hidden="1" outlineLevel="1" x14ac:dyDescent="0.3">
      <c r="A176" s="419"/>
      <c r="B176" s="420"/>
      <c r="C176" s="420"/>
      <c r="D176" s="420"/>
      <c r="E176" s="420"/>
      <c r="F176" s="420"/>
      <c r="G176" s="420"/>
      <c r="H176" s="420"/>
      <c r="I176" s="421"/>
    </row>
    <row r="177" spans="1:9" hidden="1" outlineLevel="1" x14ac:dyDescent="0.25">
      <c r="A177" s="407" t="s">
        <v>14</v>
      </c>
      <c r="B177" s="408"/>
      <c r="C177" s="408"/>
      <c r="D177" s="408"/>
      <c r="E177" s="408"/>
      <c r="F177" s="408"/>
      <c r="G177" s="408"/>
      <c r="H177" s="408"/>
      <c r="I177" s="409"/>
    </row>
    <row r="178" spans="1:9" hidden="1" outlineLevel="1" x14ac:dyDescent="0.25">
      <c r="A178" s="410"/>
      <c r="B178" s="411"/>
      <c r="C178" s="411"/>
      <c r="D178" s="411"/>
      <c r="E178" s="411"/>
      <c r="F178" s="411"/>
      <c r="G178" s="411"/>
      <c r="H178" s="411"/>
      <c r="I178" s="412"/>
    </row>
    <row r="179" spans="1:9" hidden="1" outlineLevel="1" x14ac:dyDescent="0.25"/>
    <row r="180" spans="1:9" ht="39" hidden="1" outlineLevel="1" x14ac:dyDescent="0.3">
      <c r="A180" s="389" t="s">
        <v>15</v>
      </c>
      <c r="B180" s="389"/>
      <c r="C180" s="389"/>
      <c r="D180" s="422" t="s">
        <v>16</v>
      </c>
      <c r="E180" s="405"/>
      <c r="F180" s="405"/>
      <c r="G180" s="422" t="s">
        <v>17</v>
      </c>
      <c r="H180" s="405"/>
      <c r="I180" s="56" t="s">
        <v>18</v>
      </c>
    </row>
    <row r="181" spans="1:9" ht="31.5" hidden="1" customHeight="1" outlineLevel="1" x14ac:dyDescent="0.25">
      <c r="A181" s="413" t="s">
        <v>19</v>
      </c>
      <c r="B181" s="413"/>
      <c r="C181" s="413"/>
      <c r="D181" s="414" t="s">
        <v>20</v>
      </c>
      <c r="E181" s="413"/>
      <c r="F181" s="413"/>
      <c r="G181" s="415">
        <f>I172</f>
        <v>6638.6752511521481</v>
      </c>
      <c r="H181" s="413"/>
      <c r="I181" s="176">
        <f>(1/D223*G181)</f>
        <v>8.2983440639401849</v>
      </c>
    </row>
    <row r="182" spans="1:9" ht="13" hidden="1" outlineLevel="1" x14ac:dyDescent="0.3">
      <c r="A182" s="405" t="s">
        <v>21</v>
      </c>
      <c r="B182" s="405"/>
      <c r="C182" s="405"/>
      <c r="D182" s="405"/>
      <c r="E182" s="405"/>
      <c r="F182" s="405"/>
      <c r="G182" s="405"/>
      <c r="H182" s="405"/>
      <c r="I182" s="177">
        <f>SUM(I181:I181)</f>
        <v>8.2983440639401849</v>
      </c>
    </row>
    <row r="183" spans="1:9" hidden="1" outlineLevel="1" x14ac:dyDescent="0.25"/>
    <row r="184" spans="1:9" ht="13" hidden="1" outlineLevel="1" x14ac:dyDescent="0.3">
      <c r="A184" s="406" t="s">
        <v>22</v>
      </c>
      <c r="B184" s="406"/>
      <c r="C184" s="406"/>
      <c r="D184" s="406"/>
      <c r="E184" s="406"/>
      <c r="F184" s="406"/>
      <c r="G184" s="406"/>
      <c r="H184" s="406"/>
      <c r="I184" s="406"/>
    </row>
    <row r="185" spans="1:9" hidden="1" outlineLevel="1" x14ac:dyDescent="0.25"/>
    <row r="186" spans="1:9" hidden="1" outlineLevel="1" x14ac:dyDescent="0.25">
      <c r="A186" s="407" t="s">
        <v>23</v>
      </c>
      <c r="B186" s="408"/>
      <c r="C186" s="408"/>
      <c r="D186" s="408"/>
      <c r="E186" s="408"/>
      <c r="F186" s="408"/>
      <c r="G186" s="408"/>
      <c r="H186" s="408"/>
      <c r="I186" s="409"/>
    </row>
    <row r="187" spans="1:9" hidden="1" outlineLevel="1" x14ac:dyDescent="0.25">
      <c r="A187" s="410"/>
      <c r="B187" s="411"/>
      <c r="C187" s="411"/>
      <c r="D187" s="411"/>
      <c r="E187" s="411"/>
      <c r="F187" s="411"/>
      <c r="G187" s="411"/>
      <c r="H187" s="411"/>
      <c r="I187" s="412"/>
    </row>
    <row r="188" spans="1:9" hidden="1" outlineLevel="1" x14ac:dyDescent="0.25"/>
    <row r="189" spans="1:9" ht="39" hidden="1" outlineLevel="1" x14ac:dyDescent="0.3">
      <c r="A189" s="389" t="s">
        <v>15</v>
      </c>
      <c r="B189" s="389"/>
      <c r="C189" s="389"/>
      <c r="D189" s="422" t="s">
        <v>16</v>
      </c>
      <c r="E189" s="405"/>
      <c r="F189" s="405"/>
      <c r="G189" s="422" t="s">
        <v>17</v>
      </c>
      <c r="H189" s="405"/>
      <c r="I189" s="56" t="s">
        <v>18</v>
      </c>
    </row>
    <row r="190" spans="1:9" ht="29.5" hidden="1" customHeight="1" outlineLevel="1" x14ac:dyDescent="0.25">
      <c r="A190" s="413" t="s">
        <v>19</v>
      </c>
      <c r="B190" s="413"/>
      <c r="C190" s="413"/>
      <c r="D190" s="414" t="s">
        <v>24</v>
      </c>
      <c r="E190" s="413"/>
      <c r="F190" s="413"/>
      <c r="G190" s="415">
        <f>I172</f>
        <v>6638.6752511521481</v>
      </c>
      <c r="H190" s="413"/>
      <c r="I190" s="176">
        <f>(1/1800)*G190</f>
        <v>3.6881529173067489</v>
      </c>
    </row>
    <row r="191" spans="1:9" ht="13" hidden="1" outlineLevel="1" x14ac:dyDescent="0.3">
      <c r="A191" s="405" t="s">
        <v>21</v>
      </c>
      <c r="B191" s="405"/>
      <c r="C191" s="405"/>
      <c r="D191" s="405"/>
      <c r="E191" s="405"/>
      <c r="F191" s="405"/>
      <c r="G191" s="405"/>
      <c r="H191" s="405"/>
      <c r="I191" s="177">
        <f>SUM(I190:I190)</f>
        <v>3.6881529173067489</v>
      </c>
    </row>
    <row r="192" spans="1:9" hidden="1" outlineLevel="1" x14ac:dyDescent="0.25"/>
    <row r="193" spans="1:9" ht="13" hidden="1" outlineLevel="1" x14ac:dyDescent="0.3">
      <c r="A193" s="406" t="s">
        <v>26</v>
      </c>
      <c r="B193" s="406"/>
      <c r="C193" s="406"/>
      <c r="D193" s="406"/>
      <c r="E193" s="406"/>
      <c r="F193" s="406"/>
      <c r="G193" s="406"/>
      <c r="H193" s="406"/>
      <c r="I193" s="406"/>
    </row>
    <row r="194" spans="1:9" hidden="1" outlineLevel="1" x14ac:dyDescent="0.25"/>
    <row r="195" spans="1:9" hidden="1" outlineLevel="1" x14ac:dyDescent="0.25">
      <c r="A195" s="407" t="s">
        <v>27</v>
      </c>
      <c r="B195" s="408"/>
      <c r="C195" s="408"/>
      <c r="D195" s="408"/>
      <c r="E195" s="408"/>
      <c r="F195" s="408"/>
      <c r="G195" s="408"/>
      <c r="H195" s="408"/>
      <c r="I195" s="409"/>
    </row>
    <row r="196" spans="1:9" hidden="1" outlineLevel="1" x14ac:dyDescent="0.25">
      <c r="A196" s="410"/>
      <c r="B196" s="411"/>
      <c r="C196" s="411"/>
      <c r="D196" s="411"/>
      <c r="E196" s="411"/>
      <c r="F196" s="411"/>
      <c r="G196" s="411"/>
      <c r="H196" s="411"/>
      <c r="I196" s="412"/>
    </row>
    <row r="197" spans="1:9" hidden="1" outlineLevel="1" x14ac:dyDescent="0.25"/>
    <row r="198" spans="1:9" ht="39" hidden="1" outlineLevel="1" x14ac:dyDescent="0.3">
      <c r="A198" s="389" t="s">
        <v>15</v>
      </c>
      <c r="B198" s="389"/>
      <c r="C198" s="389"/>
      <c r="D198" s="422" t="s">
        <v>16</v>
      </c>
      <c r="E198" s="405"/>
      <c r="F198" s="405"/>
      <c r="G198" s="422" t="s">
        <v>17</v>
      </c>
      <c r="H198" s="405"/>
      <c r="I198" s="56" t="s">
        <v>18</v>
      </c>
    </row>
    <row r="199" spans="1:9" ht="31.5" hidden="1" customHeight="1" outlineLevel="1" x14ac:dyDescent="0.25">
      <c r="A199" s="413" t="s">
        <v>19</v>
      </c>
      <c r="B199" s="413"/>
      <c r="C199" s="413"/>
      <c r="D199" s="414" t="s">
        <v>28</v>
      </c>
      <c r="E199" s="413"/>
      <c r="F199" s="413"/>
      <c r="G199" s="415">
        <f>G181</f>
        <v>6638.6752511521481</v>
      </c>
      <c r="H199" s="413"/>
      <c r="I199" s="176">
        <f>(1/300)*G199</f>
        <v>22.128917503840494</v>
      </c>
    </row>
    <row r="200" spans="1:9" ht="13" hidden="1" outlineLevel="1" x14ac:dyDescent="0.3">
      <c r="A200" s="405" t="s">
        <v>21</v>
      </c>
      <c r="B200" s="405"/>
      <c r="C200" s="405"/>
      <c r="D200" s="405"/>
      <c r="E200" s="405"/>
      <c r="F200" s="405"/>
      <c r="G200" s="405"/>
      <c r="H200" s="405"/>
      <c r="I200" s="177">
        <f>SUM(I199:I199)</f>
        <v>22.128917503840494</v>
      </c>
    </row>
    <row r="201" spans="1:9" hidden="1" outlineLevel="1" x14ac:dyDescent="0.25"/>
    <row r="202" spans="1:9" ht="13" hidden="1" outlineLevel="1" x14ac:dyDescent="0.3">
      <c r="A202" s="406" t="s">
        <v>29</v>
      </c>
      <c r="B202" s="406"/>
      <c r="C202" s="406"/>
      <c r="D202" s="406"/>
      <c r="E202" s="406"/>
      <c r="F202" s="406"/>
      <c r="G202" s="406"/>
      <c r="H202" s="406"/>
      <c r="I202" s="406"/>
    </row>
    <row r="203" spans="1:9" hidden="1" outlineLevel="1" x14ac:dyDescent="0.25"/>
    <row r="204" spans="1:9" hidden="1" outlineLevel="1" x14ac:dyDescent="0.25">
      <c r="A204" s="426" t="s">
        <v>30</v>
      </c>
      <c r="B204" s="427"/>
      <c r="C204" s="427"/>
      <c r="D204" s="427"/>
      <c r="E204" s="427"/>
      <c r="F204" s="427"/>
      <c r="G204" s="427"/>
      <c r="H204" s="427"/>
      <c r="I204" s="428"/>
    </row>
    <row r="205" spans="1:9" hidden="1" outlineLevel="1" x14ac:dyDescent="0.25">
      <c r="A205" s="429"/>
      <c r="B205" s="430"/>
      <c r="C205" s="430"/>
      <c r="D205" s="430"/>
      <c r="E205" s="430"/>
      <c r="F205" s="430"/>
      <c r="G205" s="430"/>
      <c r="H205" s="430"/>
      <c r="I205" s="431"/>
    </row>
    <row r="206" spans="1:9" hidden="1" outlineLevel="1" x14ac:dyDescent="0.25"/>
    <row r="207" spans="1:9" ht="39" hidden="1" outlineLevel="1" x14ac:dyDescent="0.3">
      <c r="A207" s="389" t="s">
        <v>15</v>
      </c>
      <c r="B207" s="389"/>
      <c r="C207" s="389"/>
      <c r="D207" s="422" t="s">
        <v>16</v>
      </c>
      <c r="E207" s="405"/>
      <c r="F207" s="405"/>
      <c r="G207" s="422" t="s">
        <v>17</v>
      </c>
      <c r="H207" s="405"/>
      <c r="I207" s="56" t="s">
        <v>18</v>
      </c>
    </row>
    <row r="208" spans="1:9" ht="30.5" hidden="1" customHeight="1" outlineLevel="1" x14ac:dyDescent="0.25">
      <c r="A208" s="413" t="s">
        <v>19</v>
      </c>
      <c r="B208" s="413"/>
      <c r="C208" s="413"/>
      <c r="D208" s="414" t="s">
        <v>31</v>
      </c>
      <c r="E208" s="413"/>
      <c r="F208" s="413"/>
      <c r="G208" s="415">
        <f>G199</f>
        <v>6638.6752511521481</v>
      </c>
      <c r="H208" s="413"/>
      <c r="I208" s="176">
        <f>(1/130)*G208</f>
        <v>51.066732701170373</v>
      </c>
    </row>
    <row r="209" spans="1:10" ht="13" hidden="1" outlineLevel="1" x14ac:dyDescent="0.3">
      <c r="A209" s="405" t="s">
        <v>21</v>
      </c>
      <c r="B209" s="405"/>
      <c r="C209" s="405"/>
      <c r="D209" s="405"/>
      <c r="E209" s="405"/>
      <c r="F209" s="405"/>
      <c r="G209" s="405"/>
      <c r="H209" s="405"/>
      <c r="I209" s="177">
        <f>SUM(I208:I208)</f>
        <v>51.066732701170373</v>
      </c>
    </row>
    <row r="210" spans="1:10" hidden="1" outlineLevel="1" x14ac:dyDescent="0.25"/>
    <row r="211" spans="1:10" ht="13" hidden="1" outlineLevel="1" x14ac:dyDescent="0.3">
      <c r="A211" s="406" t="s">
        <v>32</v>
      </c>
      <c r="B211" s="406"/>
      <c r="C211" s="406"/>
      <c r="D211" s="406"/>
      <c r="E211" s="406"/>
      <c r="F211" s="406"/>
      <c r="G211" s="406"/>
      <c r="H211" s="406"/>
      <c r="I211" s="406"/>
    </row>
    <row r="212" spans="1:10" hidden="1" outlineLevel="1" x14ac:dyDescent="0.25"/>
    <row r="213" spans="1:10" ht="24.5" hidden="1" customHeight="1" outlineLevel="1" x14ac:dyDescent="0.25">
      <c r="A213" s="435" t="s">
        <v>33</v>
      </c>
      <c r="B213" s="436"/>
      <c r="C213" s="436"/>
      <c r="D213" s="436"/>
      <c r="E213" s="436"/>
      <c r="F213" s="436"/>
      <c r="G213" s="436"/>
      <c r="H213" s="436"/>
      <c r="I213" s="436"/>
    </row>
    <row r="214" spans="1:10" hidden="1" outlineLevel="1" x14ac:dyDescent="0.25"/>
    <row r="215" spans="1:10" ht="27.5" hidden="1" customHeight="1" outlineLevel="1" x14ac:dyDescent="0.25">
      <c r="A215" s="435" t="s">
        <v>34</v>
      </c>
      <c r="B215" s="436"/>
      <c r="C215" s="436"/>
      <c r="D215" s="436"/>
      <c r="E215" s="436"/>
      <c r="F215" s="436"/>
      <c r="G215" s="436"/>
      <c r="H215" s="436"/>
      <c r="I215" s="436"/>
    </row>
    <row r="216" spans="1:10" hidden="1" outlineLevel="1" x14ac:dyDescent="0.25"/>
    <row r="217" spans="1:10" ht="34" hidden="1" customHeight="1" outlineLevel="1" x14ac:dyDescent="0.25">
      <c r="A217" s="435" t="s">
        <v>35</v>
      </c>
      <c r="B217" s="436"/>
      <c r="C217" s="436"/>
      <c r="D217" s="436"/>
      <c r="E217" s="436"/>
      <c r="F217" s="436"/>
      <c r="G217" s="436"/>
      <c r="H217" s="436"/>
      <c r="I217" s="436"/>
    </row>
    <row r="218" spans="1:10" collapsed="1" x14ac:dyDescent="0.25"/>
    <row r="220" spans="1:10" ht="13" x14ac:dyDescent="0.25">
      <c r="A220" s="416" t="s">
        <v>36</v>
      </c>
      <c r="B220" s="417"/>
      <c r="C220" s="417"/>
      <c r="D220" s="417"/>
      <c r="E220" s="417"/>
      <c r="F220" s="417"/>
      <c r="G220" s="417"/>
      <c r="H220" s="417"/>
      <c r="I220" s="418"/>
    </row>
    <row r="222" spans="1:10" ht="52" x14ac:dyDescent="0.25">
      <c r="A222" s="423" t="s">
        <v>37</v>
      </c>
      <c r="B222" s="424"/>
      <c r="C222" s="425"/>
      <c r="D222" s="324" t="s">
        <v>442</v>
      </c>
      <c r="E222" s="390" t="s">
        <v>38</v>
      </c>
      <c r="F222" s="391"/>
      <c r="G222" s="56" t="s">
        <v>39</v>
      </c>
      <c r="H222" s="56" t="s">
        <v>40</v>
      </c>
      <c r="I222" s="56" t="s">
        <v>41</v>
      </c>
    </row>
    <row r="223" spans="1:10" ht="49.5" customHeight="1" x14ac:dyDescent="0.25">
      <c r="A223" s="378" t="s">
        <v>444</v>
      </c>
      <c r="B223" s="378"/>
      <c r="C223" s="378"/>
      <c r="D223" s="333">
        <v>800</v>
      </c>
      <c r="E223" s="437">
        <f>I182</f>
        <v>8.2983440639401849</v>
      </c>
      <c r="F223" s="438"/>
      <c r="G223" s="320">
        <v>813</v>
      </c>
      <c r="H223" s="320">
        <f>IF(G223&gt;800,G223,800)</f>
        <v>813</v>
      </c>
      <c r="I223" s="178">
        <f>ROUND(H223*E223,2)</f>
        <v>6746.55</v>
      </c>
      <c r="J223" s="308" t="s">
        <v>445</v>
      </c>
    </row>
    <row r="224" spans="1:10" x14ac:dyDescent="0.25">
      <c r="A224" s="378" t="s">
        <v>443</v>
      </c>
      <c r="B224" s="378"/>
      <c r="C224" s="378"/>
      <c r="D224" s="320">
        <v>1800</v>
      </c>
      <c r="E224" s="437">
        <f>I191</f>
        <v>3.6881529173067489</v>
      </c>
      <c r="F224" s="438"/>
      <c r="G224" s="320">
        <v>0</v>
      </c>
      <c r="H224" s="320">
        <f>G224</f>
        <v>0</v>
      </c>
      <c r="I224" s="178">
        <f>ROUND(H224*E224,2)</f>
        <v>0</v>
      </c>
    </row>
    <row r="225" spans="1:9" x14ac:dyDescent="0.25">
      <c r="A225" s="435" t="s">
        <v>42</v>
      </c>
      <c r="B225" s="436"/>
      <c r="C225" s="436"/>
      <c r="D225" s="22">
        <v>300</v>
      </c>
      <c r="E225" s="439">
        <f>I200</f>
        <v>22.128917503840494</v>
      </c>
      <c r="F225" s="440"/>
      <c r="G225" s="254">
        <v>0</v>
      </c>
      <c r="H225" s="254">
        <f>G225</f>
        <v>0</v>
      </c>
      <c r="I225" s="178">
        <f>ROUND(H225*E225,2)</f>
        <v>0</v>
      </c>
    </row>
    <row r="226" spans="1:9" x14ac:dyDescent="0.25">
      <c r="A226" s="436" t="s">
        <v>43</v>
      </c>
      <c r="B226" s="436"/>
      <c r="C226" s="436"/>
      <c r="D226" s="22">
        <v>130</v>
      </c>
      <c r="E226" s="439">
        <f>I209</f>
        <v>51.066732701170373</v>
      </c>
      <c r="F226" s="440"/>
      <c r="G226" s="254">
        <v>0</v>
      </c>
      <c r="H226" s="254">
        <f>G226</f>
        <v>0</v>
      </c>
      <c r="I226" s="178">
        <f>ROUND(H226*E226,2)</f>
        <v>0</v>
      </c>
    </row>
    <row r="227" spans="1:9" x14ac:dyDescent="0.25">
      <c r="A227" s="436"/>
      <c r="B227" s="436"/>
      <c r="C227" s="436"/>
      <c r="D227" s="22"/>
      <c r="E227" s="441"/>
      <c r="F227" s="442"/>
      <c r="G227" s="254"/>
      <c r="H227" s="254"/>
      <c r="I227" s="178">
        <f>H227*D227</f>
        <v>0</v>
      </c>
    </row>
    <row r="228" spans="1:9" x14ac:dyDescent="0.25">
      <c r="A228" s="435"/>
      <c r="B228" s="436"/>
      <c r="C228" s="436"/>
      <c r="D228" s="22"/>
      <c r="E228" s="441"/>
      <c r="F228" s="442"/>
      <c r="G228" s="254"/>
      <c r="H228" s="254"/>
      <c r="I228" s="178">
        <f>H228*D228</f>
        <v>0</v>
      </c>
    </row>
    <row r="229" spans="1:9" ht="13" x14ac:dyDescent="0.3">
      <c r="A229" s="432" t="s">
        <v>44</v>
      </c>
      <c r="B229" s="433"/>
      <c r="C229" s="433"/>
      <c r="D229" s="433"/>
      <c r="E229" s="433"/>
      <c r="F229" s="434"/>
      <c r="G229" s="255">
        <f>SUM(G223:G228)</f>
        <v>813</v>
      </c>
      <c r="H229" s="255">
        <f>SUM(H223:H228)</f>
        <v>813</v>
      </c>
      <c r="I229" s="179">
        <f>SUM(I223:I228)</f>
        <v>6746.55</v>
      </c>
    </row>
  </sheetData>
  <mergeCells count="175">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0:H90"/>
    <mergeCell ref="A98:H98"/>
    <mergeCell ref="B99:H99"/>
    <mergeCell ref="B100:H100"/>
    <mergeCell ref="B101:H101"/>
    <mergeCell ref="A102:H102"/>
    <mergeCell ref="B84:G84"/>
    <mergeCell ref="B85:G85"/>
    <mergeCell ref="B86:G86"/>
    <mergeCell ref="B87:G87"/>
    <mergeCell ref="B88:G88"/>
    <mergeCell ref="B89:G89"/>
    <mergeCell ref="B109:G109"/>
    <mergeCell ref="B110:G110"/>
    <mergeCell ref="B111:G111"/>
    <mergeCell ref="A112:G112"/>
    <mergeCell ref="A113:I113"/>
    <mergeCell ref="A114:I114"/>
    <mergeCell ref="A103:I103"/>
    <mergeCell ref="A104:I104"/>
    <mergeCell ref="B105:G105"/>
    <mergeCell ref="B106:G106"/>
    <mergeCell ref="B107:G107"/>
    <mergeCell ref="B108:G108"/>
    <mergeCell ref="B125:G125"/>
    <mergeCell ref="A126:G126"/>
    <mergeCell ref="B127:G127"/>
    <mergeCell ref="A128:G128"/>
    <mergeCell ref="B130:G130"/>
    <mergeCell ref="B131:G131"/>
    <mergeCell ref="B119:G119"/>
    <mergeCell ref="B120:G120"/>
    <mergeCell ref="B121:G121"/>
    <mergeCell ref="B122:G122"/>
    <mergeCell ref="B123:G123"/>
    <mergeCell ref="B124:G124"/>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54:G154"/>
    <mergeCell ref="B155:G155"/>
    <mergeCell ref="B156:G156"/>
    <mergeCell ref="B157:G157"/>
    <mergeCell ref="A158:G158"/>
    <mergeCell ref="A163:I163"/>
    <mergeCell ref="B145:G145"/>
    <mergeCell ref="A146:G146"/>
    <mergeCell ref="A150:I150"/>
    <mergeCell ref="B151:G151"/>
    <mergeCell ref="B152:G152"/>
    <mergeCell ref="B153:G153"/>
    <mergeCell ref="B170:H170"/>
    <mergeCell ref="B171:H171"/>
    <mergeCell ref="A172:H172"/>
    <mergeCell ref="A164:H164"/>
    <mergeCell ref="B165:H165"/>
    <mergeCell ref="B166:H166"/>
    <mergeCell ref="B167:H167"/>
    <mergeCell ref="B168:H168"/>
    <mergeCell ref="B169:H169"/>
    <mergeCell ref="A175:I175"/>
    <mergeCell ref="A176:I176"/>
    <mergeCell ref="A177:I178"/>
    <mergeCell ref="A180:C180"/>
    <mergeCell ref="D180:F180"/>
    <mergeCell ref="G180:H180"/>
    <mergeCell ref="A181:C181"/>
    <mergeCell ref="D181:F181"/>
    <mergeCell ref="G181:H181"/>
    <mergeCell ref="A182:H182"/>
    <mergeCell ref="A184:I184"/>
    <mergeCell ref="A186:I187"/>
    <mergeCell ref="A189:C189"/>
    <mergeCell ref="D189:F189"/>
    <mergeCell ref="G189:H189"/>
    <mergeCell ref="A190:C190"/>
    <mergeCell ref="D190:F190"/>
    <mergeCell ref="G190:H190"/>
    <mergeCell ref="A191:H191"/>
    <mergeCell ref="A193:I193"/>
    <mergeCell ref="A195:I196"/>
    <mergeCell ref="A198:C198"/>
    <mergeCell ref="D198:F198"/>
    <mergeCell ref="G198:H198"/>
    <mergeCell ref="A199:C199"/>
    <mergeCell ref="D199:F199"/>
    <mergeCell ref="G199:H199"/>
    <mergeCell ref="A200:H200"/>
    <mergeCell ref="A202:I202"/>
    <mergeCell ref="A204:I205"/>
    <mergeCell ref="A207:C207"/>
    <mergeCell ref="D207:F207"/>
    <mergeCell ref="G207:H207"/>
    <mergeCell ref="A208:C208"/>
    <mergeCell ref="D208:F208"/>
    <mergeCell ref="G208:H208"/>
    <mergeCell ref="A209:H209"/>
    <mergeCell ref="A211:I211"/>
    <mergeCell ref="A213:I213"/>
    <mergeCell ref="A215:I215"/>
    <mergeCell ref="A217:I217"/>
    <mergeCell ref="A220:I220"/>
    <mergeCell ref="A222:C222"/>
    <mergeCell ref="E222:F222"/>
    <mergeCell ref="A223:C223"/>
    <mergeCell ref="E223:F223"/>
    <mergeCell ref="A229:F229"/>
    <mergeCell ref="A224:C224"/>
    <mergeCell ref="E224:F224"/>
    <mergeCell ref="A225:C225"/>
    <mergeCell ref="E225:F225"/>
    <mergeCell ref="A226:C226"/>
    <mergeCell ref="E226:F226"/>
    <mergeCell ref="A227:C227"/>
    <mergeCell ref="E227:F227"/>
    <mergeCell ref="A228:C228"/>
    <mergeCell ref="E228:F228"/>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AB66"/>
  <sheetViews>
    <sheetView zoomScale="110" zoomScaleNormal="110" workbookViewId="0">
      <selection activeCell="K11" sqref="K11"/>
    </sheetView>
  </sheetViews>
  <sheetFormatPr defaultRowHeight="12.5" x14ac:dyDescent="0.25"/>
  <cols>
    <col min="2" max="2" width="16.26953125" bestFit="1" customWidth="1"/>
    <col min="3" max="3" width="10.7265625" customWidth="1"/>
    <col min="4" max="4" width="20.7265625" customWidth="1"/>
    <col min="5" max="5" width="15.453125" customWidth="1"/>
    <col min="9" max="9" width="18.7265625" customWidth="1"/>
    <col min="10" max="10" width="22.453125" customWidth="1"/>
    <col min="11" max="11" width="29.36328125" customWidth="1"/>
  </cols>
  <sheetData>
    <row r="1" spans="2:11" ht="13" thickBot="1" x14ac:dyDescent="0.3"/>
    <row r="2" spans="2:11" ht="13.5" thickBot="1" x14ac:dyDescent="0.3">
      <c r="B2" s="371" t="s">
        <v>448</v>
      </c>
      <c r="C2" s="372"/>
      <c r="D2" s="372"/>
      <c r="E2" s="373"/>
      <c r="H2" s="371" t="s">
        <v>449</v>
      </c>
      <c r="I2" s="372"/>
      <c r="J2" s="372"/>
      <c r="K2" s="373"/>
    </row>
    <row r="3" spans="2:11" ht="13" x14ac:dyDescent="0.25">
      <c r="B3" s="68"/>
      <c r="E3" s="69"/>
      <c r="F3" s="53"/>
      <c r="G3" s="53"/>
      <c r="H3" s="68"/>
      <c r="K3" s="69"/>
    </row>
    <row r="4" spans="2:11" x14ac:dyDescent="0.25">
      <c r="B4" s="91" t="s">
        <v>214</v>
      </c>
      <c r="C4" s="62"/>
      <c r="D4" s="62"/>
      <c r="E4" s="128">
        <v>4.9800000000000004</v>
      </c>
      <c r="H4" s="91" t="s">
        <v>214</v>
      </c>
      <c r="I4" s="62"/>
      <c r="J4" s="62"/>
      <c r="K4" s="128">
        <v>4.45</v>
      </c>
    </row>
    <row r="5" spans="2:11" x14ac:dyDescent="0.25">
      <c r="B5" s="91" t="s">
        <v>215</v>
      </c>
      <c r="C5" s="62"/>
      <c r="D5" s="62"/>
      <c r="E5" s="127">
        <v>2</v>
      </c>
      <c r="H5" s="91" t="s">
        <v>215</v>
      </c>
      <c r="I5" s="62"/>
      <c r="J5" s="62"/>
      <c r="K5" s="127">
        <v>2</v>
      </c>
    </row>
    <row r="6" spans="2:11" x14ac:dyDescent="0.25">
      <c r="B6" s="91" t="s">
        <v>216</v>
      </c>
      <c r="C6" s="62"/>
      <c r="D6" s="62"/>
      <c r="E6" s="127">
        <v>22</v>
      </c>
      <c r="H6" s="91" t="s">
        <v>216</v>
      </c>
      <c r="I6" s="62"/>
      <c r="J6" s="62"/>
      <c r="K6" s="127">
        <v>22</v>
      </c>
    </row>
    <row r="7" spans="2:11" x14ac:dyDescent="0.25">
      <c r="B7" s="91" t="s">
        <v>217</v>
      </c>
      <c r="C7" s="62"/>
      <c r="D7" s="62"/>
      <c r="E7" s="192">
        <v>0.06</v>
      </c>
      <c r="H7" s="91" t="s">
        <v>217</v>
      </c>
      <c r="I7" s="62"/>
      <c r="J7" s="62"/>
      <c r="K7" s="192">
        <v>0.06</v>
      </c>
    </row>
    <row r="8" spans="2:11" x14ac:dyDescent="0.25">
      <c r="B8" s="68"/>
      <c r="E8" s="69"/>
      <c r="H8" s="68"/>
      <c r="K8" s="69"/>
    </row>
    <row r="9" spans="2:11" x14ac:dyDescent="0.25">
      <c r="B9" s="92" t="s">
        <v>218</v>
      </c>
      <c r="C9" s="62"/>
      <c r="D9" s="62"/>
      <c r="E9" s="94">
        <f>(E4*E5*E6)</f>
        <v>219.12</v>
      </c>
      <c r="H9" s="92" t="s">
        <v>218</v>
      </c>
      <c r="I9" s="62"/>
      <c r="J9" s="62"/>
      <c r="K9" s="94">
        <f>(K4*K5*K6)</f>
        <v>195.8</v>
      </c>
    </row>
    <row r="10" spans="2:11" x14ac:dyDescent="0.25">
      <c r="B10" s="92" t="s">
        <v>219</v>
      </c>
      <c r="C10" s="62"/>
      <c r="D10" s="62"/>
      <c r="E10" s="94">
        <f>'Servente-Florianópolis'!I39*E7</f>
        <v>86.450399999999988</v>
      </c>
      <c r="H10" s="92" t="s">
        <v>219</v>
      </c>
      <c r="I10" s="62"/>
      <c r="J10" s="62"/>
      <c r="K10" s="94">
        <f>'Servente-Criciuma'!I39*K7</f>
        <v>87.745800000000003</v>
      </c>
    </row>
    <row r="11" spans="2:11" ht="13" thickBot="1" x14ac:dyDescent="0.3">
      <c r="B11" s="68"/>
      <c r="E11" s="69"/>
      <c r="H11" s="68"/>
      <c r="K11" s="69"/>
    </row>
    <row r="12" spans="2:11" ht="13.5" thickBot="1" x14ac:dyDescent="0.35">
      <c r="B12" s="76" t="s">
        <v>220</v>
      </c>
      <c r="C12" s="77"/>
      <c r="D12" s="77"/>
      <c r="E12" s="90">
        <f>E9-E10</f>
        <v>132.6696</v>
      </c>
      <c r="H12" s="76" t="s">
        <v>220</v>
      </c>
      <c r="I12" s="77"/>
      <c r="J12" s="77"/>
      <c r="K12" s="90">
        <f>K9-K10</f>
        <v>108.05420000000001</v>
      </c>
    </row>
    <row r="13" spans="2:11" x14ac:dyDescent="0.25">
      <c r="E13" s="7"/>
    </row>
    <row r="14" spans="2:11" ht="13" thickBot="1" x14ac:dyDescent="0.3">
      <c r="E14" s="7"/>
    </row>
    <row r="15" spans="2:11" ht="13.5" thickBot="1" x14ac:dyDescent="0.3">
      <c r="B15" s="371" t="s">
        <v>221</v>
      </c>
      <c r="C15" s="372"/>
      <c r="D15" s="372"/>
      <c r="E15" s="373"/>
    </row>
    <row r="16" spans="2:11" x14ac:dyDescent="0.25">
      <c r="B16" s="68"/>
      <c r="E16" s="69"/>
    </row>
    <row r="17" spans="2:5" x14ac:dyDescent="0.25">
      <c r="B17" s="91" t="s">
        <v>222</v>
      </c>
      <c r="C17" s="62"/>
      <c r="D17" s="62"/>
      <c r="E17" s="128">
        <v>21.27</v>
      </c>
    </row>
    <row r="18" spans="2:5" x14ac:dyDescent="0.25">
      <c r="B18" s="91" t="s">
        <v>216</v>
      </c>
      <c r="C18" s="62"/>
      <c r="D18" s="62"/>
      <c r="E18" s="127">
        <v>22</v>
      </c>
    </row>
    <row r="19" spans="2:5" x14ac:dyDescent="0.25">
      <c r="B19" s="91" t="s">
        <v>223</v>
      </c>
      <c r="C19" s="62"/>
      <c r="D19" s="62"/>
      <c r="E19" s="230">
        <v>0.01</v>
      </c>
    </row>
    <row r="20" spans="2:5" x14ac:dyDescent="0.25">
      <c r="B20" s="68"/>
      <c r="E20" s="69"/>
    </row>
    <row r="21" spans="2:5" x14ac:dyDescent="0.25">
      <c r="B21" s="92" t="s">
        <v>224</v>
      </c>
      <c r="C21" s="62"/>
      <c r="D21" s="62"/>
      <c r="E21" s="93">
        <f>E17*E18</f>
        <v>467.94</v>
      </c>
    </row>
    <row r="22" spans="2:5" x14ac:dyDescent="0.25">
      <c r="B22" s="92" t="s">
        <v>225</v>
      </c>
      <c r="C22" s="62"/>
      <c r="D22" s="62"/>
      <c r="E22" s="180">
        <v>110</v>
      </c>
    </row>
    <row r="23" spans="2:5" x14ac:dyDescent="0.25">
      <c r="B23" s="92" t="s">
        <v>219</v>
      </c>
      <c r="C23" s="62"/>
      <c r="D23" s="62"/>
      <c r="E23" s="93">
        <f>E21*E19</f>
        <v>4.6794000000000002</v>
      </c>
    </row>
    <row r="24" spans="2:5" ht="13" thickBot="1" x14ac:dyDescent="0.3">
      <c r="B24" s="68"/>
      <c r="E24" s="69"/>
    </row>
    <row r="25" spans="2:5" ht="13.5" thickBot="1" x14ac:dyDescent="0.35">
      <c r="B25" s="76" t="s">
        <v>226</v>
      </c>
      <c r="C25" s="77"/>
      <c r="D25" s="77"/>
      <c r="E25" s="90">
        <f>E21-E23+E22</f>
        <v>573.26060000000007</v>
      </c>
    </row>
    <row r="26" spans="2:5" x14ac:dyDescent="0.25">
      <c r="E26" s="7"/>
    </row>
    <row r="27" spans="2:5" ht="13" thickBot="1" x14ac:dyDescent="0.3">
      <c r="E27" s="7"/>
    </row>
    <row r="28" spans="2:5" ht="13.5" thickBot="1" x14ac:dyDescent="0.3">
      <c r="B28" s="371" t="s">
        <v>451</v>
      </c>
      <c r="C28" s="372"/>
      <c r="D28" s="372"/>
      <c r="E28" s="373"/>
    </row>
    <row r="29" spans="2:5" x14ac:dyDescent="0.25">
      <c r="B29" s="68"/>
      <c r="E29" s="69"/>
    </row>
    <row r="30" spans="2:5" x14ac:dyDescent="0.25">
      <c r="B30" s="91" t="s">
        <v>452</v>
      </c>
      <c r="C30" s="62"/>
      <c r="D30" s="62"/>
      <c r="E30" s="181">
        <v>7.0000000000000007E-2</v>
      </c>
    </row>
    <row r="31" spans="2:5" x14ac:dyDescent="0.25">
      <c r="B31" s="91" t="s">
        <v>227</v>
      </c>
      <c r="C31" s="62"/>
      <c r="D31" s="62"/>
      <c r="E31" s="181"/>
    </row>
    <row r="32" spans="2:5" ht="13" thickBot="1" x14ac:dyDescent="0.3">
      <c r="B32" s="68"/>
      <c r="E32" s="69"/>
    </row>
    <row r="33" spans="2:28" ht="13.5" thickBot="1" x14ac:dyDescent="0.35">
      <c r="B33" s="76" t="s">
        <v>453</v>
      </c>
      <c r="C33" s="77"/>
      <c r="D33" s="77"/>
      <c r="E33" s="90">
        <f>E30*'Servente-Florianópolis'!I45</f>
        <v>121.03055999999999</v>
      </c>
    </row>
    <row r="34" spans="2:28" x14ac:dyDescent="0.25">
      <c r="E34" s="7"/>
    </row>
    <row r="35" spans="2:28" ht="13.5" customHeight="1" thickBot="1" x14ac:dyDescent="0.3">
      <c r="E35" s="7"/>
      <c r="S35" s="480"/>
      <c r="T35" s="480"/>
      <c r="U35" s="480"/>
      <c r="V35" s="480"/>
      <c r="W35" s="480"/>
      <c r="X35" s="480"/>
      <c r="Y35" s="480"/>
      <c r="Z35" s="480"/>
      <c r="AA35" s="122"/>
    </row>
    <row r="36" spans="2:28" ht="13.5" thickBot="1" x14ac:dyDescent="0.3">
      <c r="B36" s="371" t="s">
        <v>455</v>
      </c>
      <c r="C36" s="372"/>
      <c r="D36" s="372"/>
      <c r="E36" s="373"/>
      <c r="S36" s="480"/>
      <c r="T36" s="480"/>
      <c r="U36" s="480"/>
      <c r="V36" s="480"/>
      <c r="W36" s="480"/>
      <c r="X36" s="480"/>
      <c r="Y36" s="480"/>
      <c r="Z36" s="480"/>
      <c r="AA36" s="122"/>
    </row>
    <row r="37" spans="2:28" x14ac:dyDescent="0.25">
      <c r="B37" s="96"/>
      <c r="C37" s="97"/>
      <c r="D37" s="97"/>
      <c r="E37" s="98"/>
      <c r="S37" s="480"/>
      <c r="T37" s="480"/>
      <c r="U37" s="480"/>
      <c r="V37" s="480"/>
      <c r="W37" s="480"/>
      <c r="X37" s="480"/>
      <c r="Y37" s="480"/>
      <c r="Z37" s="480"/>
      <c r="AA37" s="122"/>
    </row>
    <row r="38" spans="2:28" x14ac:dyDescent="0.25">
      <c r="B38" s="91" t="s">
        <v>274</v>
      </c>
      <c r="C38" s="62"/>
      <c r="D38" s="62"/>
      <c r="E38" s="128">
        <v>11</v>
      </c>
      <c r="S38" s="480"/>
      <c r="T38" s="480"/>
      <c r="U38" s="480"/>
      <c r="V38" s="480"/>
      <c r="W38" s="480"/>
      <c r="X38" s="480"/>
      <c r="Y38" s="480"/>
      <c r="Z38" s="480"/>
      <c r="AA38" s="122"/>
    </row>
    <row r="39" spans="2:28" x14ac:dyDescent="0.25">
      <c r="B39" s="91" t="s">
        <v>227</v>
      </c>
      <c r="C39" s="62"/>
      <c r="D39" s="62"/>
      <c r="E39" s="127">
        <v>0</v>
      </c>
      <c r="S39" s="480"/>
      <c r="T39" s="480"/>
      <c r="U39" s="480"/>
      <c r="V39" s="480"/>
      <c r="W39" s="480"/>
      <c r="X39" s="480"/>
      <c r="Y39" s="480"/>
      <c r="Z39" s="480"/>
      <c r="AA39" s="122"/>
    </row>
    <row r="40" spans="2:28" x14ac:dyDescent="0.25">
      <c r="B40" s="91" t="s">
        <v>228</v>
      </c>
      <c r="C40" s="62"/>
      <c r="D40" s="95"/>
      <c r="E40" s="132"/>
      <c r="S40" s="122"/>
      <c r="T40" s="122"/>
      <c r="U40" s="122"/>
      <c r="V40" s="122"/>
      <c r="W40" s="122"/>
      <c r="X40" s="122"/>
      <c r="Y40" s="122"/>
      <c r="Z40" s="122"/>
      <c r="AA40" s="122"/>
    </row>
    <row r="41" spans="2:28" ht="13" thickBot="1" x14ac:dyDescent="0.3">
      <c r="B41" s="99"/>
      <c r="C41" s="100"/>
      <c r="D41" s="100"/>
      <c r="E41" s="101"/>
      <c r="S41" s="122"/>
      <c r="T41" s="122"/>
      <c r="U41" s="122"/>
      <c r="V41" s="122"/>
      <c r="W41" s="122"/>
      <c r="X41" s="122"/>
      <c r="Y41" s="122"/>
      <c r="Z41" s="122"/>
      <c r="AA41" s="122"/>
    </row>
    <row r="42" spans="2:28" ht="13.5" thickBot="1" x14ac:dyDescent="0.35">
      <c r="B42" s="76" t="s">
        <v>229</v>
      </c>
      <c r="C42" s="77"/>
      <c r="D42" s="77"/>
      <c r="E42" s="90">
        <f>E38-E39</f>
        <v>11</v>
      </c>
    </row>
    <row r="43" spans="2:28" x14ac:dyDescent="0.25">
      <c r="E43" s="7"/>
    </row>
    <row r="44" spans="2:28" ht="14.5" thickBot="1" x14ac:dyDescent="0.35">
      <c r="E44" s="7"/>
      <c r="G44" s="120"/>
      <c r="H44" s="121"/>
      <c r="I44" s="121"/>
      <c r="J44" s="121"/>
      <c r="K44" s="55"/>
      <c r="M44" s="121"/>
      <c r="N44" s="121"/>
      <c r="O44" s="121"/>
      <c r="P44" s="121"/>
      <c r="Q44" s="121"/>
      <c r="AB44" t="s">
        <v>230</v>
      </c>
    </row>
    <row r="45" spans="2:28" ht="13.5" thickBot="1" x14ac:dyDescent="0.3">
      <c r="B45" s="371" t="s">
        <v>231</v>
      </c>
      <c r="C45" s="372"/>
      <c r="D45" s="372"/>
      <c r="E45" s="373"/>
      <c r="AB45" t="s">
        <v>232</v>
      </c>
    </row>
    <row r="46" spans="2:28" x14ac:dyDescent="0.25">
      <c r="B46" s="96"/>
      <c r="C46" s="97"/>
      <c r="D46" s="97"/>
      <c r="E46" s="98"/>
      <c r="AB46" t="s">
        <v>233</v>
      </c>
    </row>
    <row r="47" spans="2:28" x14ac:dyDescent="0.25">
      <c r="B47" s="91" t="s">
        <v>234</v>
      </c>
      <c r="C47" s="62"/>
      <c r="D47" s="62"/>
      <c r="E47" s="128"/>
    </row>
    <row r="48" spans="2:28" x14ac:dyDescent="0.25">
      <c r="B48" s="91" t="s">
        <v>235</v>
      </c>
      <c r="C48" s="62"/>
      <c r="D48" s="62"/>
      <c r="E48" s="128"/>
    </row>
    <row r="49" spans="2:20" x14ac:dyDescent="0.25">
      <c r="B49" s="91" t="s">
        <v>236</v>
      </c>
      <c r="C49" s="62"/>
      <c r="D49" s="95"/>
      <c r="E49" s="133"/>
    </row>
    <row r="50" spans="2:20" ht="13" thickBot="1" x14ac:dyDescent="0.3">
      <c r="B50" s="99" t="s">
        <v>237</v>
      </c>
      <c r="C50" s="100"/>
      <c r="D50" s="100"/>
      <c r="E50" s="125">
        <v>1</v>
      </c>
    </row>
    <row r="51" spans="2:20" ht="13.5" thickBot="1" x14ac:dyDescent="0.35">
      <c r="B51" s="76" t="s">
        <v>238</v>
      </c>
      <c r="C51" s="77"/>
      <c r="D51" s="77"/>
      <c r="E51" s="123">
        <f>((E47*E49)+(E48*E49))/E50</f>
        <v>0</v>
      </c>
    </row>
    <row r="52" spans="2:20" ht="13.5" thickBot="1" x14ac:dyDescent="0.3">
      <c r="B52" s="83" t="s">
        <v>239</v>
      </c>
      <c r="C52" s="77"/>
      <c r="D52" s="77"/>
      <c r="E52" s="124">
        <f>E51/12</f>
        <v>0</v>
      </c>
    </row>
    <row r="53" spans="2:20" ht="13" thickBot="1" x14ac:dyDescent="0.3"/>
    <row r="54" spans="2:20" ht="13.5" thickBot="1" x14ac:dyDescent="0.3">
      <c r="B54" s="371"/>
      <c r="C54" s="372"/>
      <c r="D54" s="372"/>
      <c r="E54" s="373"/>
    </row>
    <row r="55" spans="2:20" ht="13" x14ac:dyDescent="0.25">
      <c r="B55" s="102"/>
      <c r="C55" s="103"/>
      <c r="D55" s="103"/>
      <c r="E55" s="104"/>
    </row>
    <row r="56" spans="2:20" x14ac:dyDescent="0.25">
      <c r="B56" s="106" t="s">
        <v>240</v>
      </c>
      <c r="C56" s="62"/>
      <c r="D56" s="62"/>
      <c r="E56" s="128"/>
    </row>
    <row r="57" spans="2:20" ht="12.75" customHeight="1" x14ac:dyDescent="0.25">
      <c r="B57" s="106" t="s">
        <v>228</v>
      </c>
      <c r="C57" s="62"/>
      <c r="D57" s="62"/>
      <c r="E57" s="127"/>
      <c r="G57" s="480"/>
      <c r="H57" s="480"/>
      <c r="I57" s="480"/>
      <c r="J57" s="480"/>
      <c r="K57" s="480"/>
      <c r="L57" s="480"/>
      <c r="M57" s="480"/>
      <c r="N57" s="480"/>
      <c r="O57" s="480"/>
      <c r="P57" s="480"/>
      <c r="Q57" s="480"/>
      <c r="R57" s="480"/>
      <c r="S57" s="480"/>
      <c r="T57" s="480"/>
    </row>
    <row r="58" spans="2:20" ht="13.5" customHeight="1" thickBot="1" x14ac:dyDescent="0.3">
      <c r="B58" s="99" t="s">
        <v>241</v>
      </c>
      <c r="C58" s="100"/>
      <c r="D58" s="100"/>
      <c r="E58" s="134">
        <v>2</v>
      </c>
      <c r="G58" s="480"/>
      <c r="H58" s="480"/>
      <c r="I58" s="480"/>
      <c r="J58" s="480"/>
      <c r="K58" s="480"/>
      <c r="L58" s="480"/>
      <c r="M58" s="480"/>
      <c r="N58" s="480"/>
      <c r="O58" s="480"/>
      <c r="P58" s="480"/>
      <c r="Q58" s="480"/>
      <c r="R58" s="480"/>
      <c r="S58" s="480"/>
      <c r="T58" s="480"/>
    </row>
    <row r="59" spans="2:20" ht="13.5" thickBot="1" x14ac:dyDescent="0.3">
      <c r="B59" s="126" t="s">
        <v>238</v>
      </c>
      <c r="C59" s="77"/>
      <c r="D59" s="77"/>
      <c r="E59" s="123">
        <f>E56*E57*E58</f>
        <v>0</v>
      </c>
      <c r="G59" s="480"/>
      <c r="H59" s="480"/>
      <c r="I59" s="480"/>
      <c r="J59" s="480"/>
      <c r="K59" s="480"/>
      <c r="L59" s="480"/>
      <c r="M59" s="480"/>
      <c r="N59" s="480"/>
      <c r="O59" s="480"/>
      <c r="P59" s="480"/>
      <c r="Q59" s="480"/>
      <c r="R59" s="480"/>
      <c r="S59" s="480"/>
      <c r="T59" s="480"/>
    </row>
    <row r="60" spans="2:20" ht="13.5" thickBot="1" x14ac:dyDescent="0.3">
      <c r="B60" s="83" t="s">
        <v>239</v>
      </c>
      <c r="C60" s="77"/>
      <c r="D60" s="77"/>
      <c r="E60" s="124">
        <f>E59/12</f>
        <v>0</v>
      </c>
    </row>
    <row r="63" spans="2:20" x14ac:dyDescent="0.25">
      <c r="B63" s="478" t="s">
        <v>242</v>
      </c>
      <c r="C63" s="479"/>
      <c r="D63" s="479"/>
      <c r="E63" s="479"/>
      <c r="F63" s="479"/>
      <c r="G63" s="479"/>
      <c r="H63" s="479"/>
      <c r="I63" s="479"/>
      <c r="J63" s="479"/>
      <c r="K63" s="479"/>
      <c r="L63" s="479"/>
      <c r="M63" s="479"/>
      <c r="N63" s="479"/>
    </row>
    <row r="64" spans="2:20" x14ac:dyDescent="0.25">
      <c r="B64" s="479"/>
      <c r="C64" s="479"/>
      <c r="D64" s="479"/>
      <c r="E64" s="479"/>
      <c r="F64" s="479"/>
      <c r="G64" s="479"/>
      <c r="H64" s="479"/>
      <c r="I64" s="479"/>
      <c r="J64" s="479"/>
      <c r="K64" s="479"/>
      <c r="L64" s="479"/>
      <c r="M64" s="479"/>
      <c r="N64" s="479"/>
    </row>
    <row r="65" spans="2:14" x14ac:dyDescent="0.25">
      <c r="B65" s="479"/>
      <c r="C65" s="479"/>
      <c r="D65" s="479"/>
      <c r="E65" s="479"/>
      <c r="F65" s="479"/>
      <c r="G65" s="479"/>
      <c r="H65" s="479"/>
      <c r="I65" s="479"/>
      <c r="J65" s="479"/>
      <c r="K65" s="479"/>
      <c r="L65" s="479"/>
      <c r="M65" s="479"/>
      <c r="N65" s="479"/>
    </row>
    <row r="66" spans="2:14" x14ac:dyDescent="0.25">
      <c r="B66" s="479"/>
      <c r="C66" s="479"/>
      <c r="D66" s="479"/>
      <c r="E66" s="479"/>
      <c r="F66" s="479"/>
      <c r="G66" s="479"/>
      <c r="H66" s="479"/>
      <c r="I66" s="479"/>
      <c r="J66" s="479"/>
      <c r="K66" s="479"/>
      <c r="L66" s="479"/>
      <c r="M66" s="479"/>
      <c r="N66" s="479"/>
    </row>
  </sheetData>
  <mergeCells count="11">
    <mergeCell ref="B2:E2"/>
    <mergeCell ref="B15:E15"/>
    <mergeCell ref="B28:E28"/>
    <mergeCell ref="B63:N66"/>
    <mergeCell ref="B36:E36"/>
    <mergeCell ref="B45:E45"/>
    <mergeCell ref="B54:E54"/>
    <mergeCell ref="G57:T57"/>
    <mergeCell ref="G58:T59"/>
    <mergeCell ref="S35:Z39"/>
    <mergeCell ref="H2:K2"/>
  </mergeCells>
  <pageMargins left="0.511811024" right="0.511811024" top="0.78740157499999996" bottom="0.78740157499999996" header="0.31496062000000002" footer="0.31496062000000002"/>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65DCB-37F7-4FBF-94AA-860BFD4522B7}">
  <sheetPr>
    <tabColor theme="9" tint="0.39997558519241921"/>
  </sheetPr>
  <dimension ref="A1"/>
  <sheetViews>
    <sheetView zoomScale="40" zoomScaleNormal="40" workbookViewId="0">
      <selection sqref="A1:XFD1048576"/>
    </sheetView>
  </sheetViews>
  <sheetFormatPr defaultRowHeight="12.5" x14ac:dyDescent="0.25"/>
  <sheetData/>
  <pageMargins left="0.511811024" right="0.511811024" top="0.78740157499999996" bottom="0.78740157499999996" header="0.31496062000000002" footer="0.31496062000000002"/>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4"/>
  <sheetViews>
    <sheetView topLeftCell="A4" workbookViewId="0">
      <selection activeCell="G27" sqref="G27"/>
    </sheetView>
  </sheetViews>
  <sheetFormatPr defaultRowHeight="12.5" x14ac:dyDescent="0.25"/>
  <cols>
    <col min="1" max="1" width="3.7265625" style="210" bestFit="1" customWidth="1"/>
    <col min="2" max="2" width="53.54296875" customWidth="1"/>
    <col min="3" max="3" width="6.7265625" customWidth="1"/>
    <col min="4" max="4" width="5.54296875" customWidth="1"/>
    <col min="5" max="7" width="10.26953125" bestFit="1" customWidth="1"/>
    <col min="8" max="8" width="9" customWidth="1"/>
    <col min="9" max="9" width="9.1796875"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customHeight="1" thickBot="1" x14ac:dyDescent="0.3">
      <c r="A1" s="492" t="s">
        <v>243</v>
      </c>
      <c r="B1" s="493"/>
      <c r="C1" s="493"/>
      <c r="D1" s="493"/>
      <c r="E1" s="493"/>
      <c r="F1" s="493"/>
      <c r="G1" s="493"/>
      <c r="H1" s="493"/>
      <c r="I1" s="493"/>
      <c r="J1" s="493"/>
      <c r="K1" s="493"/>
      <c r="L1" s="494"/>
    </row>
    <row r="2" spans="1:13" ht="13" customHeight="1" x14ac:dyDescent="0.25">
      <c r="A2" s="258" t="s">
        <v>50</v>
      </c>
      <c r="B2" s="505" t="s">
        <v>503</v>
      </c>
      <c r="C2" s="505"/>
      <c r="D2" s="505"/>
      <c r="E2" s="360" t="s">
        <v>244</v>
      </c>
      <c r="F2" s="506" t="s">
        <v>504</v>
      </c>
      <c r="G2" s="495"/>
      <c r="H2" s="495"/>
      <c r="I2" s="495"/>
      <c r="J2" s="360" t="s">
        <v>245</v>
      </c>
      <c r="K2" s="495"/>
      <c r="L2" s="496"/>
    </row>
    <row r="3" spans="1:13" ht="13" customHeight="1" x14ac:dyDescent="0.25">
      <c r="A3" s="260" t="s">
        <v>51</v>
      </c>
      <c r="B3" s="501" t="s">
        <v>505</v>
      </c>
      <c r="C3" s="501"/>
      <c r="D3" s="501"/>
      <c r="E3" s="193" t="s">
        <v>244</v>
      </c>
      <c r="F3" s="503" t="s">
        <v>506</v>
      </c>
      <c r="G3" s="507"/>
      <c r="H3" s="507"/>
      <c r="I3" s="507"/>
      <c r="J3" s="193" t="s">
        <v>245</v>
      </c>
      <c r="K3" s="497" t="s">
        <v>507</v>
      </c>
      <c r="L3" s="498"/>
    </row>
    <row r="4" spans="1:13" ht="13" customHeight="1" x14ac:dyDescent="0.25">
      <c r="A4" s="262" t="s">
        <v>52</v>
      </c>
      <c r="B4" s="499" t="s">
        <v>508</v>
      </c>
      <c r="C4" s="499"/>
      <c r="D4" s="499"/>
      <c r="E4" s="194" t="s">
        <v>244</v>
      </c>
      <c r="F4" s="504" t="s">
        <v>265</v>
      </c>
      <c r="G4" s="499"/>
      <c r="H4" s="499"/>
      <c r="I4" s="499"/>
      <c r="J4" s="194" t="s">
        <v>245</v>
      </c>
      <c r="K4" s="499"/>
      <c r="L4" s="500"/>
    </row>
    <row r="5" spans="1:13" ht="13" customHeight="1" x14ac:dyDescent="0.25">
      <c r="A5" s="260" t="s">
        <v>63</v>
      </c>
      <c r="B5" s="501" t="s">
        <v>509</v>
      </c>
      <c r="C5" s="501"/>
      <c r="D5" s="501"/>
      <c r="E5" s="193" t="s">
        <v>244</v>
      </c>
      <c r="F5" s="503" t="s">
        <v>246</v>
      </c>
      <c r="G5" s="497"/>
      <c r="H5" s="497"/>
      <c r="I5" s="497"/>
      <c r="J5" s="193" t="s">
        <v>245</v>
      </c>
      <c r="K5" s="501"/>
      <c r="L5" s="502"/>
    </row>
    <row r="6" spans="1:13" ht="13" x14ac:dyDescent="0.25">
      <c r="A6" s="264" t="s">
        <v>97</v>
      </c>
      <c r="B6" s="536"/>
      <c r="C6" s="536"/>
      <c r="D6" s="536"/>
      <c r="E6" s="265"/>
      <c r="F6" s="537"/>
      <c r="G6" s="538"/>
      <c r="H6" s="538"/>
      <c r="I6" s="538"/>
      <c r="J6" s="265"/>
      <c r="K6" s="508"/>
      <c r="L6" s="509"/>
    </row>
    <row r="7" spans="1:13" ht="13.5" thickBot="1" x14ac:dyDescent="0.3">
      <c r="A7" s="266" t="s">
        <v>99</v>
      </c>
      <c r="B7" s="533"/>
      <c r="C7" s="533"/>
      <c r="D7" s="533"/>
      <c r="E7" s="267"/>
      <c r="F7" s="534"/>
      <c r="G7" s="535"/>
      <c r="H7" s="535"/>
      <c r="I7" s="535"/>
      <c r="J7" s="268"/>
      <c r="K7" s="510"/>
      <c r="L7" s="511"/>
    </row>
    <row r="8" spans="1:13" ht="13" x14ac:dyDescent="0.25">
      <c r="A8" s="512" t="s">
        <v>247</v>
      </c>
      <c r="B8" s="515" t="s">
        <v>248</v>
      </c>
      <c r="C8" s="518" t="s">
        <v>249</v>
      </c>
      <c r="D8" s="521" t="s">
        <v>250</v>
      </c>
      <c r="E8" s="524" t="s">
        <v>251</v>
      </c>
      <c r="F8" s="525"/>
      <c r="G8" s="525"/>
      <c r="H8" s="525"/>
      <c r="I8" s="525"/>
      <c r="J8" s="526"/>
      <c r="K8" s="527" t="s">
        <v>252</v>
      </c>
      <c r="L8" s="528"/>
    </row>
    <row r="9" spans="1:13" ht="13.5" x14ac:dyDescent="0.25">
      <c r="A9" s="513"/>
      <c r="B9" s="516"/>
      <c r="C9" s="519"/>
      <c r="D9" s="522"/>
      <c r="E9" s="197" t="s">
        <v>50</v>
      </c>
      <c r="F9" s="198" t="s">
        <v>51</v>
      </c>
      <c r="G9" s="198" t="s">
        <v>52</v>
      </c>
      <c r="H9" s="198" t="s">
        <v>63</v>
      </c>
      <c r="I9" s="198" t="s">
        <v>97</v>
      </c>
      <c r="J9" s="199" t="s">
        <v>99</v>
      </c>
      <c r="K9" s="529" t="s">
        <v>253</v>
      </c>
      <c r="L9" s="531" t="s">
        <v>254</v>
      </c>
    </row>
    <row r="10" spans="1:13" ht="13" thickBot="1" x14ac:dyDescent="0.3">
      <c r="A10" s="514"/>
      <c r="B10" s="517"/>
      <c r="C10" s="520"/>
      <c r="D10" s="523"/>
      <c r="E10" s="200" t="s">
        <v>255</v>
      </c>
      <c r="F10" s="201" t="s">
        <v>255</v>
      </c>
      <c r="G10" s="201" t="s">
        <v>255</v>
      </c>
      <c r="H10" s="201" t="s">
        <v>255</v>
      </c>
      <c r="I10" s="201" t="s">
        <v>255</v>
      </c>
      <c r="J10" s="202" t="s">
        <v>255</v>
      </c>
      <c r="K10" s="530"/>
      <c r="L10" s="532"/>
    </row>
    <row r="11" spans="1:13" ht="37.5" x14ac:dyDescent="0.25">
      <c r="A11" s="203">
        <v>1</v>
      </c>
      <c r="B11" s="338" t="s">
        <v>460</v>
      </c>
      <c r="C11" s="339" t="s">
        <v>256</v>
      </c>
      <c r="D11" s="340">
        <v>2</v>
      </c>
      <c r="E11" s="341">
        <v>60.88</v>
      </c>
      <c r="F11" s="341">
        <v>48</v>
      </c>
      <c r="G11" s="341">
        <v>98.75</v>
      </c>
      <c r="H11" s="341">
        <v>59.8</v>
      </c>
      <c r="I11" s="341"/>
      <c r="J11" s="341"/>
      <c r="K11" s="342">
        <f t="shared" ref="K11:K18" si="0">AVERAGE(E11:J11)</f>
        <v>66.857500000000002</v>
      </c>
      <c r="L11" s="343">
        <f t="shared" ref="L11:L18" si="1">K11*D11</f>
        <v>133.715</v>
      </c>
    </row>
    <row r="12" spans="1:13" ht="30" x14ac:dyDescent="0.25">
      <c r="A12" s="205">
        <v>2</v>
      </c>
      <c r="B12" s="344" t="s">
        <v>461</v>
      </c>
      <c r="C12" s="345" t="s">
        <v>256</v>
      </c>
      <c r="D12" s="346">
        <v>2</v>
      </c>
      <c r="E12" s="347">
        <v>119.88</v>
      </c>
      <c r="F12" s="347">
        <v>110</v>
      </c>
      <c r="G12" s="347"/>
      <c r="H12" s="347">
        <v>41.92</v>
      </c>
      <c r="I12" s="347"/>
      <c r="J12" s="347"/>
      <c r="K12" s="348">
        <f t="shared" si="0"/>
        <v>90.600000000000009</v>
      </c>
      <c r="L12" s="349">
        <f t="shared" si="1"/>
        <v>181.20000000000002</v>
      </c>
      <c r="M12" s="240"/>
    </row>
    <row r="13" spans="1:13" ht="25" x14ac:dyDescent="0.25">
      <c r="A13" s="205">
        <v>3</v>
      </c>
      <c r="B13" s="350" t="s">
        <v>462</v>
      </c>
      <c r="C13" s="206" t="s">
        <v>257</v>
      </c>
      <c r="D13" s="346">
        <v>1</v>
      </c>
      <c r="E13" s="347">
        <v>94.49</v>
      </c>
      <c r="F13" s="347"/>
      <c r="G13" s="347">
        <v>125.91</v>
      </c>
      <c r="H13" s="347">
        <v>70.11</v>
      </c>
      <c r="I13" s="347"/>
      <c r="J13" s="347"/>
      <c r="K13" s="348">
        <f t="shared" si="0"/>
        <v>96.836666666666659</v>
      </c>
      <c r="L13" s="349">
        <f t="shared" si="1"/>
        <v>96.836666666666659</v>
      </c>
    </row>
    <row r="14" spans="1:13" ht="25" x14ac:dyDescent="0.25">
      <c r="A14" s="205">
        <v>4</v>
      </c>
      <c r="B14" s="350" t="s">
        <v>463</v>
      </c>
      <c r="C14" s="206" t="s">
        <v>257</v>
      </c>
      <c r="D14" s="346">
        <v>2</v>
      </c>
      <c r="E14" s="347">
        <v>9.4600000000000009</v>
      </c>
      <c r="F14" s="347"/>
      <c r="G14" s="347">
        <v>13.33</v>
      </c>
      <c r="H14" s="347">
        <v>9.6999999999999993</v>
      </c>
      <c r="I14" s="347"/>
      <c r="J14" s="347"/>
      <c r="K14" s="348">
        <f t="shared" si="0"/>
        <v>10.829999999999998</v>
      </c>
      <c r="L14" s="349">
        <f t="shared" si="1"/>
        <v>21.659999999999997</v>
      </c>
    </row>
    <row r="15" spans="1:13" ht="14" x14ac:dyDescent="0.3">
      <c r="A15" s="205">
        <v>5</v>
      </c>
      <c r="B15" s="350" t="s">
        <v>464</v>
      </c>
      <c r="C15" s="206" t="s">
        <v>249</v>
      </c>
      <c r="D15" s="346">
        <v>1</v>
      </c>
      <c r="E15" s="347">
        <v>23.26</v>
      </c>
      <c r="F15" s="347"/>
      <c r="G15" s="347"/>
      <c r="H15" s="347">
        <v>32.31</v>
      </c>
      <c r="I15" s="347"/>
      <c r="J15" s="347"/>
      <c r="K15" s="348">
        <f t="shared" si="0"/>
        <v>27.785000000000004</v>
      </c>
      <c r="L15" s="349">
        <f t="shared" si="1"/>
        <v>27.785000000000004</v>
      </c>
      <c r="M15" s="242"/>
    </row>
    <row r="16" spans="1:13" x14ac:dyDescent="0.25">
      <c r="A16" s="205">
        <v>6</v>
      </c>
      <c r="B16" s="350" t="s">
        <v>465</v>
      </c>
      <c r="C16" s="231" t="s">
        <v>249</v>
      </c>
      <c r="D16" s="351">
        <v>1</v>
      </c>
      <c r="E16" s="347">
        <v>5.97</v>
      </c>
      <c r="F16" s="347"/>
      <c r="G16" s="347">
        <v>12.6</v>
      </c>
      <c r="H16" s="347">
        <v>12.9</v>
      </c>
      <c r="I16" s="347"/>
      <c r="J16" s="347"/>
      <c r="K16" s="348">
        <f t="shared" si="0"/>
        <v>10.49</v>
      </c>
      <c r="L16" s="349">
        <f t="shared" si="1"/>
        <v>10.49</v>
      </c>
    </row>
    <row r="17" spans="1:12" x14ac:dyDescent="0.25">
      <c r="A17" s="205">
        <v>7</v>
      </c>
      <c r="B17" s="350" t="s">
        <v>466</v>
      </c>
      <c r="C17" s="231" t="s">
        <v>257</v>
      </c>
      <c r="D17" s="351">
        <v>1</v>
      </c>
      <c r="E17" s="347">
        <v>40.4</v>
      </c>
      <c r="F17" s="347"/>
      <c r="G17" s="347">
        <v>119.49</v>
      </c>
      <c r="H17" s="347">
        <v>50.4</v>
      </c>
      <c r="I17" s="347"/>
      <c r="J17" s="347"/>
      <c r="K17" s="348">
        <f t="shared" si="0"/>
        <v>70.096666666666664</v>
      </c>
      <c r="L17" s="349">
        <f t="shared" si="1"/>
        <v>70.096666666666664</v>
      </c>
    </row>
    <row r="18" spans="1:12" x14ac:dyDescent="0.25">
      <c r="A18" s="205">
        <v>8</v>
      </c>
      <c r="B18" s="350" t="s">
        <v>467</v>
      </c>
      <c r="C18" s="231" t="s">
        <v>249</v>
      </c>
      <c r="D18" s="232">
        <v>1</v>
      </c>
      <c r="E18" s="347">
        <v>75.900000000000006</v>
      </c>
      <c r="F18" s="347"/>
      <c r="G18" s="347">
        <v>145</v>
      </c>
      <c r="H18" s="347">
        <v>159.94999999999999</v>
      </c>
      <c r="I18" s="347"/>
      <c r="J18" s="347"/>
      <c r="K18" s="348">
        <f t="shared" si="0"/>
        <v>126.95</v>
      </c>
      <c r="L18" s="349">
        <f t="shared" si="1"/>
        <v>126.95</v>
      </c>
    </row>
    <row r="19" spans="1:12" ht="15.5" x14ac:dyDescent="0.25">
      <c r="A19" s="205">
        <v>9</v>
      </c>
      <c r="B19" s="271"/>
      <c r="C19" s="272"/>
      <c r="D19" s="273"/>
      <c r="E19" s="274"/>
      <c r="F19" s="274"/>
      <c r="G19" s="274"/>
      <c r="H19" s="274"/>
      <c r="I19" s="274"/>
      <c r="J19" s="274"/>
      <c r="K19" s="275"/>
      <c r="L19" s="276"/>
    </row>
    <row r="20" spans="1:12" ht="13" thickBot="1" x14ac:dyDescent="0.3">
      <c r="A20" s="205"/>
      <c r="B20" s="241"/>
      <c r="C20" s="231"/>
      <c r="D20" s="232"/>
      <c r="E20" s="243"/>
      <c r="F20" s="243"/>
      <c r="G20" s="243"/>
      <c r="H20" s="243"/>
      <c r="I20" s="243"/>
      <c r="J20" s="243"/>
      <c r="K20" s="244"/>
      <c r="L20" s="245"/>
    </row>
    <row r="21" spans="1:12" ht="13.5" thickBot="1" x14ac:dyDescent="0.3">
      <c r="A21" s="481" t="s">
        <v>258</v>
      </c>
      <c r="B21" s="482"/>
      <c r="C21" s="482"/>
      <c r="D21" s="483"/>
      <c r="E21" s="207"/>
      <c r="F21" s="208"/>
      <c r="G21" s="208"/>
      <c r="H21" s="208"/>
      <c r="I21" s="208"/>
      <c r="J21" s="209"/>
      <c r="K21" s="484">
        <f>SUM(L11:L20)</f>
        <v>668.73333333333335</v>
      </c>
      <c r="L21" s="485"/>
    </row>
    <row r="22" spans="1:12" ht="13" thickBot="1" x14ac:dyDescent="0.3">
      <c r="K22" s="246"/>
      <c r="L22" s="246"/>
    </row>
    <row r="23" spans="1:12" ht="13.5" thickBot="1" x14ac:dyDescent="0.35">
      <c r="A23" s="481" t="s">
        <v>259</v>
      </c>
      <c r="B23" s="482"/>
      <c r="C23" s="482"/>
      <c r="D23" s="482"/>
      <c r="E23" s="482"/>
      <c r="F23" s="482"/>
      <c r="G23" s="482"/>
      <c r="H23" s="482"/>
      <c r="I23" s="482"/>
      <c r="J23" s="483"/>
      <c r="K23" s="486">
        <f>K21/12</f>
        <v>55.727777777777781</v>
      </c>
      <c r="L23" s="487"/>
    </row>
    <row r="24" spans="1:12" x14ac:dyDescent="0.25">
      <c r="K24" s="246"/>
      <c r="L24" s="246"/>
    </row>
    <row r="25" spans="1:12" ht="13" thickBot="1" x14ac:dyDescent="0.3">
      <c r="A25" s="68"/>
      <c r="K25" s="246"/>
      <c r="L25" s="247"/>
    </row>
    <row r="26" spans="1:12" ht="15" thickBot="1" x14ac:dyDescent="0.3">
      <c r="A26" s="488" t="s">
        <v>260</v>
      </c>
      <c r="B26" s="489"/>
      <c r="C26" s="489"/>
      <c r="D26" s="489"/>
      <c r="E26" s="489"/>
      <c r="F26" s="489"/>
      <c r="G26" s="489"/>
      <c r="H26" s="489"/>
      <c r="I26" s="489"/>
      <c r="J26" s="489"/>
      <c r="K26" s="490">
        <f>K23</f>
        <v>55.727777777777781</v>
      </c>
      <c r="L26" s="491"/>
    </row>
    <row r="28" spans="1:12" ht="13" thickBot="1" x14ac:dyDescent="0.3"/>
    <row r="29" spans="1:12" x14ac:dyDescent="0.25">
      <c r="A29" s="539"/>
      <c r="B29" s="540"/>
      <c r="C29" s="545" t="s">
        <v>261</v>
      </c>
      <c r="D29" s="548"/>
      <c r="E29" s="549"/>
      <c r="F29" s="549"/>
      <c r="G29" s="549"/>
      <c r="H29" s="549"/>
      <c r="I29" s="549"/>
      <c r="J29" s="549"/>
      <c r="K29" s="549"/>
      <c r="L29" s="550"/>
    </row>
    <row r="30" spans="1:12" x14ac:dyDescent="0.25">
      <c r="A30" s="541"/>
      <c r="B30" s="542"/>
      <c r="C30" s="546"/>
      <c r="D30" s="551"/>
      <c r="E30" s="552"/>
      <c r="F30" s="552"/>
      <c r="G30" s="552"/>
      <c r="H30" s="552"/>
      <c r="I30" s="552"/>
      <c r="J30" s="552"/>
      <c r="K30" s="552"/>
      <c r="L30" s="553"/>
    </row>
    <row r="31" spans="1:12" x14ac:dyDescent="0.25">
      <c r="A31" s="541"/>
      <c r="B31" s="542"/>
      <c r="C31" s="546"/>
      <c r="D31" s="551"/>
      <c r="E31" s="552"/>
      <c r="F31" s="552"/>
      <c r="G31" s="552"/>
      <c r="H31" s="552"/>
      <c r="I31" s="552"/>
      <c r="J31" s="552"/>
      <c r="K31" s="552"/>
      <c r="L31" s="553"/>
    </row>
    <row r="32" spans="1:12" ht="13" thickBot="1" x14ac:dyDescent="0.3">
      <c r="A32" s="543"/>
      <c r="B32" s="544"/>
      <c r="C32" s="547"/>
      <c r="D32" s="554"/>
      <c r="E32" s="555"/>
      <c r="F32" s="555"/>
      <c r="G32" s="555"/>
      <c r="H32" s="555"/>
      <c r="I32" s="555"/>
      <c r="J32" s="555"/>
      <c r="K32" s="555"/>
      <c r="L32" s="556"/>
    </row>
    <row r="34" spans="1:12" ht="13" thickBot="1" x14ac:dyDescent="0.3"/>
    <row r="35" spans="1:12" x14ac:dyDescent="0.25">
      <c r="A35" s="557" t="s">
        <v>262</v>
      </c>
      <c r="B35" s="558"/>
      <c r="C35" s="558"/>
      <c r="D35" s="558"/>
      <c r="E35" s="558"/>
      <c r="F35" s="558"/>
      <c r="G35" s="558"/>
      <c r="H35" s="558"/>
      <c r="I35" s="558"/>
      <c r="J35" s="558"/>
      <c r="K35" s="558"/>
      <c r="L35" s="559"/>
    </row>
    <row r="36" spans="1:12" x14ac:dyDescent="0.25">
      <c r="A36" s="560"/>
      <c r="B36" s="480"/>
      <c r="C36" s="480"/>
      <c r="D36" s="480"/>
      <c r="E36" s="480"/>
      <c r="F36" s="480"/>
      <c r="G36" s="480"/>
      <c r="H36" s="480"/>
      <c r="I36" s="480"/>
      <c r="J36" s="480"/>
      <c r="K36" s="480"/>
      <c r="L36" s="561"/>
    </row>
    <row r="37" spans="1:12" x14ac:dyDescent="0.25">
      <c r="A37" s="560"/>
      <c r="B37" s="480"/>
      <c r="C37" s="480"/>
      <c r="D37" s="480"/>
      <c r="E37" s="480"/>
      <c r="F37" s="480"/>
      <c r="G37" s="480"/>
      <c r="H37" s="480"/>
      <c r="I37" s="480"/>
      <c r="J37" s="480"/>
      <c r="K37" s="480"/>
      <c r="L37" s="561"/>
    </row>
    <row r="38" spans="1:12" x14ac:dyDescent="0.25">
      <c r="A38" s="560"/>
      <c r="B38" s="480"/>
      <c r="C38" s="480"/>
      <c r="D38" s="480"/>
      <c r="E38" s="480"/>
      <c r="F38" s="480"/>
      <c r="G38" s="480"/>
      <c r="H38" s="480"/>
      <c r="I38" s="480"/>
      <c r="J38" s="480"/>
      <c r="K38" s="480"/>
      <c r="L38" s="561"/>
    </row>
    <row r="39" spans="1:12" ht="13" thickBot="1" x14ac:dyDescent="0.3">
      <c r="A39" s="562"/>
      <c r="B39" s="563"/>
      <c r="C39" s="563"/>
      <c r="D39" s="563"/>
      <c r="E39" s="563"/>
      <c r="F39" s="563"/>
      <c r="G39" s="563"/>
      <c r="H39" s="563"/>
      <c r="I39" s="563"/>
      <c r="J39" s="563"/>
      <c r="K39" s="563"/>
      <c r="L39" s="564"/>
    </row>
    <row r="40" spans="1:12" ht="13" thickBot="1" x14ac:dyDescent="0.3"/>
    <row r="41" spans="1:12" x14ac:dyDescent="0.25">
      <c r="A41" s="565" t="s">
        <v>263</v>
      </c>
      <c r="B41" s="566"/>
      <c r="C41" s="566"/>
      <c r="D41" s="566"/>
      <c r="E41" s="566"/>
      <c r="F41" s="566"/>
      <c r="G41" s="566"/>
      <c r="H41" s="567"/>
    </row>
    <row r="42" spans="1:12" x14ac:dyDescent="0.25">
      <c r="A42" s="568"/>
      <c r="B42" s="569"/>
      <c r="C42" s="569"/>
      <c r="D42" s="569"/>
      <c r="E42" s="569"/>
      <c r="F42" s="569"/>
      <c r="G42" s="569"/>
      <c r="H42" s="570"/>
    </row>
    <row r="43" spans="1:12" x14ac:dyDescent="0.25">
      <c r="A43" s="568"/>
      <c r="B43" s="569"/>
      <c r="C43" s="569"/>
      <c r="D43" s="569"/>
      <c r="E43" s="569"/>
      <c r="F43" s="569"/>
      <c r="G43" s="569"/>
      <c r="H43" s="570"/>
    </row>
    <row r="44" spans="1:12" ht="13" thickBot="1" x14ac:dyDescent="0.3">
      <c r="A44" s="571"/>
      <c r="B44" s="572"/>
      <c r="C44" s="572"/>
      <c r="D44" s="572"/>
      <c r="E44" s="572"/>
      <c r="F44" s="572"/>
      <c r="G44" s="572"/>
      <c r="H44" s="573"/>
    </row>
  </sheetData>
  <mergeCells count="38">
    <mergeCell ref="A29:B32"/>
    <mergeCell ref="C29:C32"/>
    <mergeCell ref="D29:L32"/>
    <mergeCell ref="A35:L39"/>
    <mergeCell ref="A41:H44"/>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21:D21"/>
    <mergeCell ref="K21:L21"/>
    <mergeCell ref="A23:J23"/>
    <mergeCell ref="K23:L23"/>
    <mergeCell ref="A26:J26"/>
    <mergeCell ref="K26:L26"/>
  </mergeCells>
  <hyperlinks>
    <hyperlink ref="F2" r:id="rId1" xr:uid="{94F4C967-66E1-4CD1-8391-6225BB2C7168}"/>
    <hyperlink ref="F4" r:id="rId2" xr:uid="{721B8CC3-FE51-4A97-AABE-DAAB922D3814}"/>
    <hyperlink ref="F5" r:id="rId3" xr:uid="{55D849C4-C3CA-42EA-8C94-29B56D2E378D}"/>
    <hyperlink ref="F3" r:id="rId4" xr:uid="{77100904-35D1-4340-9247-34B6740313C6}"/>
  </hyperlinks>
  <pageMargins left="0.511811024" right="0.511811024" top="0.78740157499999996" bottom="0.78740157499999996" header="0.31496062000000002" footer="0.31496062000000002"/>
  <pageSetup paperSize="9" orientation="landscape" verticalDpi="0" r:id="rId5"/>
  <drawing r:id="rId6"/>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89"/>
  <sheetViews>
    <sheetView topLeftCell="C54" workbookViewId="0">
      <selection activeCell="D29" sqref="D29"/>
    </sheetView>
  </sheetViews>
  <sheetFormatPr defaultRowHeight="12.5" x14ac:dyDescent="0.25"/>
  <cols>
    <col min="1" max="1" width="3.7265625" style="210"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492" t="s">
        <v>264</v>
      </c>
      <c r="B1" s="493"/>
      <c r="C1" s="493"/>
      <c r="D1" s="493"/>
      <c r="E1" s="493"/>
      <c r="F1" s="493"/>
      <c r="G1" s="493"/>
      <c r="H1" s="493"/>
      <c r="I1" s="493"/>
      <c r="J1" s="493"/>
      <c r="K1" s="493"/>
      <c r="L1" s="494"/>
    </row>
    <row r="2" spans="1:12" ht="13" customHeight="1" x14ac:dyDescent="0.25">
      <c r="A2" s="291" t="s">
        <v>50</v>
      </c>
      <c r="B2" s="590" t="s">
        <v>494</v>
      </c>
      <c r="C2" s="495"/>
      <c r="D2" s="495"/>
      <c r="E2" s="360" t="s">
        <v>244</v>
      </c>
      <c r="F2" s="591" t="s">
        <v>495</v>
      </c>
      <c r="G2" s="592"/>
      <c r="H2" s="592"/>
      <c r="I2" s="592"/>
      <c r="J2" s="360" t="s">
        <v>245</v>
      </c>
      <c r="K2" s="495" t="s">
        <v>496</v>
      </c>
      <c r="L2" s="496"/>
    </row>
    <row r="3" spans="1:12" ht="13" customHeight="1" x14ac:dyDescent="0.25">
      <c r="A3" s="292" t="s">
        <v>51</v>
      </c>
      <c r="B3" s="589" t="s">
        <v>497</v>
      </c>
      <c r="C3" s="501"/>
      <c r="D3" s="501"/>
      <c r="E3" s="193" t="s">
        <v>244</v>
      </c>
      <c r="F3" s="503" t="s">
        <v>498</v>
      </c>
      <c r="G3" s="507"/>
      <c r="H3" s="507"/>
      <c r="I3" s="507"/>
      <c r="J3" s="193" t="s">
        <v>245</v>
      </c>
      <c r="K3" s="501" t="s">
        <v>499</v>
      </c>
      <c r="L3" s="502"/>
    </row>
    <row r="4" spans="1:12" ht="13" customHeight="1" x14ac:dyDescent="0.25">
      <c r="A4" s="293" t="s">
        <v>52</v>
      </c>
      <c r="B4" s="581" t="s">
        <v>500</v>
      </c>
      <c r="C4" s="499"/>
      <c r="D4" s="499"/>
      <c r="E4" s="194" t="s">
        <v>244</v>
      </c>
      <c r="F4" s="504" t="s">
        <v>501</v>
      </c>
      <c r="G4" s="588"/>
      <c r="H4" s="588"/>
      <c r="I4" s="588"/>
      <c r="J4" s="194" t="s">
        <v>245</v>
      </c>
      <c r="K4" s="499" t="s">
        <v>502</v>
      </c>
      <c r="L4" s="500"/>
    </row>
    <row r="5" spans="1:12" ht="13" x14ac:dyDescent="0.25">
      <c r="A5" s="212" t="s">
        <v>63</v>
      </c>
      <c r="B5" s="589"/>
      <c r="C5" s="501"/>
      <c r="D5" s="501"/>
      <c r="E5" s="193" t="s">
        <v>244</v>
      </c>
      <c r="F5" s="503"/>
      <c r="G5" s="497"/>
      <c r="H5" s="497"/>
      <c r="I5" s="497"/>
      <c r="J5" s="193" t="s">
        <v>245</v>
      </c>
      <c r="K5" s="501"/>
      <c r="L5" s="502"/>
    </row>
    <row r="6" spans="1:12" ht="13" x14ac:dyDescent="0.25">
      <c r="A6" s="213" t="s">
        <v>97</v>
      </c>
      <c r="B6" s="581"/>
      <c r="C6" s="499"/>
      <c r="D6" s="499"/>
      <c r="E6" s="194" t="s">
        <v>244</v>
      </c>
      <c r="F6" s="504"/>
      <c r="G6" s="499"/>
      <c r="H6" s="499"/>
      <c r="I6" s="499"/>
      <c r="J6" s="194" t="s">
        <v>245</v>
      </c>
      <c r="K6" s="499"/>
      <c r="L6" s="500"/>
    </row>
    <row r="7" spans="1:12" ht="13.5" thickBot="1" x14ac:dyDescent="0.3">
      <c r="A7" s="214" t="s">
        <v>99</v>
      </c>
      <c r="B7" s="582"/>
      <c r="C7" s="583"/>
      <c r="D7" s="583"/>
      <c r="E7" s="195" t="s">
        <v>244</v>
      </c>
      <c r="F7" s="584"/>
      <c r="G7" s="585"/>
      <c r="H7" s="585"/>
      <c r="I7" s="586"/>
      <c r="J7" s="196" t="s">
        <v>245</v>
      </c>
      <c r="K7" s="583"/>
      <c r="L7" s="587"/>
    </row>
    <row r="8" spans="1:12" ht="13" x14ac:dyDescent="0.25">
      <c r="A8" s="512" t="s">
        <v>247</v>
      </c>
      <c r="B8" s="515" t="s">
        <v>267</v>
      </c>
      <c r="C8" s="518" t="s">
        <v>249</v>
      </c>
      <c r="D8" s="521" t="s">
        <v>250</v>
      </c>
      <c r="E8" s="524" t="s">
        <v>251</v>
      </c>
      <c r="F8" s="525"/>
      <c r="G8" s="525"/>
      <c r="H8" s="525"/>
      <c r="I8" s="525"/>
      <c r="J8" s="526"/>
      <c r="K8" s="527" t="s">
        <v>252</v>
      </c>
      <c r="L8" s="528"/>
    </row>
    <row r="9" spans="1:12" ht="13.5" x14ac:dyDescent="0.25">
      <c r="A9" s="513"/>
      <c r="B9" s="577"/>
      <c r="C9" s="519"/>
      <c r="D9" s="522"/>
      <c r="E9" s="197" t="s">
        <v>50</v>
      </c>
      <c r="F9" s="198" t="s">
        <v>51</v>
      </c>
      <c r="G9" s="198" t="s">
        <v>52</v>
      </c>
      <c r="H9" s="198" t="s">
        <v>63</v>
      </c>
      <c r="I9" s="198" t="s">
        <v>97</v>
      </c>
      <c r="J9" s="199" t="s">
        <v>99</v>
      </c>
      <c r="K9" s="529" t="s">
        <v>253</v>
      </c>
      <c r="L9" s="531" t="s">
        <v>254</v>
      </c>
    </row>
    <row r="10" spans="1:12" ht="13" thickBot="1" x14ac:dyDescent="0.3">
      <c r="A10" s="576"/>
      <c r="B10" s="578"/>
      <c r="C10" s="579"/>
      <c r="D10" s="580"/>
      <c r="E10" s="224" t="s">
        <v>255</v>
      </c>
      <c r="F10" s="225" t="s">
        <v>255</v>
      </c>
      <c r="G10" s="225" t="s">
        <v>255</v>
      </c>
      <c r="H10" s="225" t="s">
        <v>255</v>
      </c>
      <c r="I10" s="225" t="s">
        <v>255</v>
      </c>
      <c r="J10" s="226" t="s">
        <v>255</v>
      </c>
      <c r="K10" s="574"/>
      <c r="L10" s="575"/>
    </row>
    <row r="11" spans="1:12" s="204" customFormat="1" ht="65.5" thickBot="1" x14ac:dyDescent="0.3">
      <c r="A11" s="352">
        <v>1</v>
      </c>
      <c r="B11" s="353" t="s">
        <v>468</v>
      </c>
      <c r="C11" s="354" t="s">
        <v>469</v>
      </c>
      <c r="D11" s="355">
        <v>5</v>
      </c>
      <c r="E11" s="356">
        <v>2.59</v>
      </c>
      <c r="F11" s="356">
        <v>2.61</v>
      </c>
      <c r="G11" s="356">
        <v>4.59</v>
      </c>
      <c r="H11" s="356"/>
      <c r="I11" s="356"/>
      <c r="J11" s="356"/>
      <c r="K11" s="342">
        <f>AVERAGE(E11:J11)</f>
        <v>3.2633333333333332</v>
      </c>
      <c r="L11" s="343">
        <f>K11*D11</f>
        <v>16.316666666666666</v>
      </c>
    </row>
    <row r="12" spans="1:12" s="204" customFormat="1" ht="13.5" thickBot="1" x14ac:dyDescent="0.3">
      <c r="A12" s="205">
        <v>2</v>
      </c>
      <c r="B12" s="357" t="s">
        <v>470</v>
      </c>
      <c r="C12" s="358" t="s">
        <v>471</v>
      </c>
      <c r="D12" s="355">
        <v>15</v>
      </c>
      <c r="E12" s="347">
        <v>5.69</v>
      </c>
      <c r="F12" s="347">
        <v>6.12</v>
      </c>
      <c r="G12" s="347">
        <v>5.84</v>
      </c>
      <c r="H12" s="347"/>
      <c r="I12" s="347"/>
      <c r="J12" s="347"/>
      <c r="K12" s="348">
        <f>AVERAGE(E12:J12)</f>
        <v>5.8833333333333329</v>
      </c>
      <c r="L12" s="349">
        <f>K12*D12</f>
        <v>88.25</v>
      </c>
    </row>
    <row r="13" spans="1:12" s="204" customFormat="1" ht="39.5" thickBot="1" x14ac:dyDescent="0.3">
      <c r="A13" s="205">
        <v>3</v>
      </c>
      <c r="B13" s="359" t="s">
        <v>472</v>
      </c>
      <c r="C13" s="358" t="s">
        <v>471</v>
      </c>
      <c r="D13" s="355">
        <v>10</v>
      </c>
      <c r="E13" s="347">
        <v>9.99</v>
      </c>
      <c r="F13" s="347">
        <v>10.71</v>
      </c>
      <c r="G13" s="347">
        <v>10.39</v>
      </c>
      <c r="H13" s="347"/>
      <c r="I13" s="347"/>
      <c r="J13" s="347"/>
      <c r="K13" s="348">
        <f>AVERAGE(E13:J13)</f>
        <v>10.363333333333335</v>
      </c>
      <c r="L13" s="349">
        <f>K13*D13</f>
        <v>103.63333333333335</v>
      </c>
    </row>
    <row r="14" spans="1:12" s="204" customFormat="1" ht="52.5" thickBot="1" x14ac:dyDescent="0.3">
      <c r="A14" s="205">
        <v>4</v>
      </c>
      <c r="B14" s="359" t="s">
        <v>473</v>
      </c>
      <c r="C14" s="358" t="s">
        <v>471</v>
      </c>
      <c r="D14" s="355">
        <v>6</v>
      </c>
      <c r="E14" s="347">
        <v>4.99</v>
      </c>
      <c r="F14" s="347">
        <v>4.49</v>
      </c>
      <c r="G14" s="347">
        <v>3.98</v>
      </c>
      <c r="H14" s="347"/>
      <c r="I14" s="347"/>
      <c r="J14" s="347"/>
      <c r="K14" s="348">
        <f t="shared" ref="K14:K32" si="0">AVERAGE(E14:J14)</f>
        <v>4.4866666666666672</v>
      </c>
      <c r="L14" s="349">
        <f>K14*D14</f>
        <v>26.92</v>
      </c>
    </row>
    <row r="15" spans="1:12" s="204" customFormat="1" ht="78.5" thickBot="1" x14ac:dyDescent="0.3">
      <c r="A15" s="205">
        <v>5</v>
      </c>
      <c r="B15" s="359" t="s">
        <v>474</v>
      </c>
      <c r="C15" s="358" t="s">
        <v>471</v>
      </c>
      <c r="D15" s="355">
        <v>26</v>
      </c>
      <c r="E15" s="347">
        <v>1.69</v>
      </c>
      <c r="F15" s="347">
        <v>12.25</v>
      </c>
      <c r="G15" s="347">
        <v>22.8</v>
      </c>
      <c r="H15" s="347"/>
      <c r="I15" s="347"/>
      <c r="J15" s="347"/>
      <c r="K15" s="348">
        <f t="shared" si="0"/>
        <v>12.246666666666668</v>
      </c>
      <c r="L15" s="349">
        <f t="shared" ref="L15:L32" si="1">K15*D15</f>
        <v>318.41333333333336</v>
      </c>
    </row>
    <row r="16" spans="1:12" s="204" customFormat="1" ht="52.5" thickBot="1" x14ac:dyDescent="0.3">
      <c r="A16" s="205">
        <v>6</v>
      </c>
      <c r="B16" s="359" t="s">
        <v>475</v>
      </c>
      <c r="C16" s="358" t="s">
        <v>471</v>
      </c>
      <c r="D16" s="355">
        <v>24</v>
      </c>
      <c r="E16" s="347">
        <v>2.1</v>
      </c>
      <c r="F16" s="347">
        <v>1.62</v>
      </c>
      <c r="G16" s="347">
        <v>3.32</v>
      </c>
      <c r="H16" s="347"/>
      <c r="I16" s="347"/>
      <c r="J16" s="347"/>
      <c r="K16" s="348">
        <f t="shared" si="0"/>
        <v>2.3466666666666667</v>
      </c>
      <c r="L16" s="349">
        <f t="shared" si="1"/>
        <v>56.32</v>
      </c>
    </row>
    <row r="17" spans="1:13" s="204" customFormat="1" ht="39.5" thickBot="1" x14ac:dyDescent="0.3">
      <c r="A17" s="205">
        <v>7</v>
      </c>
      <c r="B17" s="359" t="s">
        <v>476</v>
      </c>
      <c r="C17" s="358" t="s">
        <v>471</v>
      </c>
      <c r="D17" s="355">
        <v>2</v>
      </c>
      <c r="E17" s="347">
        <v>2.25</v>
      </c>
      <c r="F17" s="347">
        <v>1.7</v>
      </c>
      <c r="G17" s="347">
        <v>3.03</v>
      </c>
      <c r="H17" s="347"/>
      <c r="I17" s="347"/>
      <c r="J17" s="347"/>
      <c r="K17" s="348">
        <f t="shared" si="0"/>
        <v>2.3266666666666667</v>
      </c>
      <c r="L17" s="349">
        <f t="shared" si="1"/>
        <v>4.6533333333333333</v>
      </c>
    </row>
    <row r="18" spans="1:13" s="204" customFormat="1" ht="65.5" thickBot="1" x14ac:dyDescent="0.3">
      <c r="A18" s="205">
        <v>8</v>
      </c>
      <c r="B18" s="359" t="s">
        <v>477</v>
      </c>
      <c r="C18" s="358" t="s">
        <v>471</v>
      </c>
      <c r="D18" s="355">
        <v>15</v>
      </c>
      <c r="E18" s="347">
        <v>0.89</v>
      </c>
      <c r="F18" s="347">
        <v>0.63</v>
      </c>
      <c r="G18" s="347">
        <v>1.34</v>
      </c>
      <c r="H18" s="347"/>
      <c r="I18" s="347"/>
      <c r="J18" s="347"/>
      <c r="K18" s="348">
        <f>AVERAGE(E18:J18)</f>
        <v>0.95333333333333348</v>
      </c>
      <c r="L18" s="349">
        <f>K18*D18</f>
        <v>14.300000000000002</v>
      </c>
    </row>
    <row r="19" spans="1:13" s="204" customFormat="1" ht="13.5" thickBot="1" x14ac:dyDescent="0.3">
      <c r="A19" s="205">
        <v>9</v>
      </c>
      <c r="B19" s="359" t="s">
        <v>478</v>
      </c>
      <c r="C19" s="358" t="s">
        <v>471</v>
      </c>
      <c r="D19" s="355">
        <v>0</v>
      </c>
      <c r="E19" s="347">
        <v>4.8</v>
      </c>
      <c r="F19" s="347">
        <v>3.15</v>
      </c>
      <c r="G19" s="347">
        <v>6.35</v>
      </c>
      <c r="H19" s="347"/>
      <c r="I19" s="347"/>
      <c r="J19" s="347"/>
      <c r="K19" s="348">
        <f t="shared" si="0"/>
        <v>4.7666666666666666</v>
      </c>
      <c r="L19" s="349">
        <f>K19*D19</f>
        <v>0</v>
      </c>
    </row>
    <row r="20" spans="1:13" s="204" customFormat="1" ht="13.5" thickBot="1" x14ac:dyDescent="0.3">
      <c r="A20" s="205">
        <v>10</v>
      </c>
      <c r="B20" s="359" t="s">
        <v>479</v>
      </c>
      <c r="C20" s="358" t="s">
        <v>480</v>
      </c>
      <c r="D20" s="355">
        <v>0</v>
      </c>
      <c r="E20" s="347">
        <v>3.99</v>
      </c>
      <c r="F20" s="347">
        <v>3.51</v>
      </c>
      <c r="G20" s="347">
        <v>4.4000000000000004</v>
      </c>
      <c r="H20" s="347"/>
      <c r="I20" s="347"/>
      <c r="J20" s="347"/>
      <c r="K20" s="348">
        <f t="shared" si="0"/>
        <v>3.9666666666666668</v>
      </c>
      <c r="L20" s="349">
        <f t="shared" si="1"/>
        <v>0</v>
      </c>
    </row>
    <row r="21" spans="1:13" s="204" customFormat="1" ht="13.5" thickBot="1" x14ac:dyDescent="0.3">
      <c r="A21" s="205">
        <v>11</v>
      </c>
      <c r="B21" s="359" t="s">
        <v>481</v>
      </c>
      <c r="C21" s="358" t="s">
        <v>471</v>
      </c>
      <c r="D21" s="355">
        <v>12</v>
      </c>
      <c r="E21" s="347">
        <v>2.9</v>
      </c>
      <c r="F21" s="347">
        <v>3.41</v>
      </c>
      <c r="G21" s="347">
        <v>3.94</v>
      </c>
      <c r="H21" s="347"/>
      <c r="I21" s="347"/>
      <c r="J21" s="347"/>
      <c r="K21" s="348">
        <f t="shared" si="0"/>
        <v>3.4166666666666665</v>
      </c>
      <c r="L21" s="349">
        <f t="shared" si="1"/>
        <v>41</v>
      </c>
      <c r="M21" s="37"/>
    </row>
    <row r="22" spans="1:13" s="204" customFormat="1" ht="39.5" thickBot="1" x14ac:dyDescent="0.3">
      <c r="A22" s="205">
        <v>12</v>
      </c>
      <c r="B22" s="359" t="s">
        <v>482</v>
      </c>
      <c r="C22" s="358" t="s">
        <v>471</v>
      </c>
      <c r="D22" s="355">
        <v>2</v>
      </c>
      <c r="E22" s="347">
        <v>9.9</v>
      </c>
      <c r="F22" s="347">
        <v>13.32</v>
      </c>
      <c r="G22" s="347">
        <v>30.63</v>
      </c>
      <c r="H22" s="347"/>
      <c r="I22" s="347"/>
      <c r="J22" s="347"/>
      <c r="K22" s="348">
        <f t="shared" si="0"/>
        <v>17.95</v>
      </c>
      <c r="L22" s="349">
        <f t="shared" si="1"/>
        <v>35.9</v>
      </c>
    </row>
    <row r="23" spans="1:13" s="204" customFormat="1" ht="52.5" thickBot="1" x14ac:dyDescent="0.3">
      <c r="A23" s="205">
        <v>13</v>
      </c>
      <c r="B23" s="359" t="s">
        <v>483</v>
      </c>
      <c r="C23" s="358" t="s">
        <v>471</v>
      </c>
      <c r="D23" s="355">
        <v>6</v>
      </c>
      <c r="E23" s="347">
        <v>16.899999999999999</v>
      </c>
      <c r="F23" s="347">
        <v>19.440000000000001</v>
      </c>
      <c r="G23" s="347">
        <v>24.12</v>
      </c>
      <c r="H23" s="347"/>
      <c r="I23" s="347"/>
      <c r="J23" s="347"/>
      <c r="K23" s="348">
        <f t="shared" si="0"/>
        <v>20.153333333333336</v>
      </c>
      <c r="L23" s="349">
        <f t="shared" si="1"/>
        <v>120.92000000000002</v>
      </c>
    </row>
    <row r="24" spans="1:13" s="204" customFormat="1" ht="26.5" thickBot="1" x14ac:dyDescent="0.3">
      <c r="A24" s="205">
        <v>14</v>
      </c>
      <c r="B24" s="359" t="s">
        <v>484</v>
      </c>
      <c r="C24" s="358" t="s">
        <v>471</v>
      </c>
      <c r="D24" s="355">
        <v>8</v>
      </c>
      <c r="E24" s="347">
        <v>11.9</v>
      </c>
      <c r="F24" s="347">
        <v>19.62</v>
      </c>
      <c r="G24" s="347">
        <v>15.7</v>
      </c>
      <c r="H24" s="347"/>
      <c r="I24" s="347"/>
      <c r="J24" s="347"/>
      <c r="K24" s="348">
        <f t="shared" si="0"/>
        <v>15.74</v>
      </c>
      <c r="L24" s="349">
        <f t="shared" si="1"/>
        <v>125.92</v>
      </c>
    </row>
    <row r="25" spans="1:13" s="204" customFormat="1" ht="13.5" thickBot="1" x14ac:dyDescent="0.3">
      <c r="A25" s="205">
        <v>15</v>
      </c>
      <c r="B25" s="359" t="s">
        <v>485</v>
      </c>
      <c r="C25" s="358" t="s">
        <v>471</v>
      </c>
      <c r="D25" s="355">
        <v>12</v>
      </c>
      <c r="E25" s="347">
        <v>2.99</v>
      </c>
      <c r="F25" s="347">
        <v>2.52</v>
      </c>
      <c r="G25" s="347">
        <v>7.92</v>
      </c>
      <c r="H25" s="347"/>
      <c r="I25" s="347"/>
      <c r="J25" s="347"/>
      <c r="K25" s="348">
        <f t="shared" si="0"/>
        <v>4.4766666666666666</v>
      </c>
      <c r="L25" s="349">
        <f t="shared" si="1"/>
        <v>53.72</v>
      </c>
    </row>
    <row r="26" spans="1:13" s="204" customFormat="1" ht="13.5" thickBot="1" x14ac:dyDescent="0.3">
      <c r="A26" s="205">
        <v>16</v>
      </c>
      <c r="B26" s="359" t="s">
        <v>486</v>
      </c>
      <c r="C26" s="358" t="s">
        <v>471</v>
      </c>
      <c r="D26" s="355">
        <v>4</v>
      </c>
      <c r="E26" s="347">
        <v>2.99</v>
      </c>
      <c r="F26" s="347"/>
      <c r="G26" s="347">
        <v>3.96</v>
      </c>
      <c r="H26" s="347"/>
      <c r="I26" s="347"/>
      <c r="J26" s="347"/>
      <c r="K26" s="348">
        <f t="shared" si="0"/>
        <v>3.4750000000000001</v>
      </c>
      <c r="L26" s="349">
        <f t="shared" si="1"/>
        <v>13.9</v>
      </c>
    </row>
    <row r="27" spans="1:13" s="204" customFormat="1" ht="39.5" thickBot="1" x14ac:dyDescent="0.3">
      <c r="A27" s="205">
        <v>17</v>
      </c>
      <c r="B27" s="359" t="s">
        <v>487</v>
      </c>
      <c r="C27" s="358" t="s">
        <v>488</v>
      </c>
      <c r="D27" s="355">
        <v>60</v>
      </c>
      <c r="E27" s="347">
        <v>6.99</v>
      </c>
      <c r="F27" s="347">
        <v>6.65</v>
      </c>
      <c r="G27" s="347">
        <v>6.41</v>
      </c>
      <c r="H27" s="347"/>
      <c r="I27" s="347"/>
      <c r="J27" s="347"/>
      <c r="K27" s="348">
        <f t="shared" si="0"/>
        <v>6.6833333333333336</v>
      </c>
      <c r="L27" s="349">
        <f t="shared" si="1"/>
        <v>401</v>
      </c>
    </row>
    <row r="28" spans="1:13" s="204" customFormat="1" ht="13.5" thickBot="1" x14ac:dyDescent="0.3">
      <c r="A28" s="205">
        <v>18</v>
      </c>
      <c r="B28" s="359" t="s">
        <v>489</v>
      </c>
      <c r="C28" s="358" t="s">
        <v>488</v>
      </c>
      <c r="D28" s="355">
        <v>2</v>
      </c>
      <c r="E28" s="347">
        <v>0</v>
      </c>
      <c r="F28" s="347">
        <v>11.61</v>
      </c>
      <c r="G28" s="347">
        <v>15.06</v>
      </c>
      <c r="H28" s="347"/>
      <c r="I28" s="347"/>
      <c r="J28" s="347"/>
      <c r="K28" s="348">
        <f t="shared" si="0"/>
        <v>8.89</v>
      </c>
      <c r="L28" s="349">
        <f t="shared" si="1"/>
        <v>17.78</v>
      </c>
    </row>
    <row r="29" spans="1:13" s="204" customFormat="1" ht="52.5" thickBot="1" x14ac:dyDescent="0.3">
      <c r="A29" s="205">
        <v>20</v>
      </c>
      <c r="B29" s="359" t="s">
        <v>490</v>
      </c>
      <c r="C29" s="358" t="s">
        <v>471</v>
      </c>
      <c r="D29" s="355">
        <v>24</v>
      </c>
      <c r="E29" s="347">
        <v>4.55</v>
      </c>
      <c r="F29" s="347">
        <v>24.12</v>
      </c>
      <c r="G29" s="347">
        <v>10.96</v>
      </c>
      <c r="H29" s="347"/>
      <c r="I29" s="347"/>
      <c r="J29" s="347"/>
      <c r="K29" s="348">
        <f t="shared" si="0"/>
        <v>13.21</v>
      </c>
      <c r="L29" s="349">
        <f t="shared" si="1"/>
        <v>317.04000000000002</v>
      </c>
    </row>
    <row r="30" spans="1:13" s="204" customFormat="1" ht="13.5" thickBot="1" x14ac:dyDescent="0.3">
      <c r="A30" s="205">
        <v>21</v>
      </c>
      <c r="B30" s="359" t="s">
        <v>491</v>
      </c>
      <c r="C30" s="358" t="s">
        <v>488</v>
      </c>
      <c r="D30" s="355">
        <v>3</v>
      </c>
      <c r="E30" s="347">
        <v>9.6</v>
      </c>
      <c r="F30" s="347">
        <v>8.82</v>
      </c>
      <c r="G30" s="347">
        <v>5.86</v>
      </c>
      <c r="H30" s="347"/>
      <c r="I30" s="347"/>
      <c r="J30" s="347"/>
      <c r="K30" s="348">
        <f t="shared" si="0"/>
        <v>8.0933333333333337</v>
      </c>
      <c r="L30" s="349">
        <f t="shared" si="1"/>
        <v>24.28</v>
      </c>
    </row>
    <row r="31" spans="1:13" s="204" customFormat="1" ht="13.5" thickBot="1" x14ac:dyDescent="0.3">
      <c r="A31" s="205">
        <v>22</v>
      </c>
      <c r="B31" s="359" t="s">
        <v>492</v>
      </c>
      <c r="C31" s="358" t="s">
        <v>471</v>
      </c>
      <c r="D31" s="355">
        <v>3</v>
      </c>
      <c r="E31" s="347">
        <v>12.9</v>
      </c>
      <c r="F31" s="347">
        <v>11.52</v>
      </c>
      <c r="G31" s="347">
        <v>8.98</v>
      </c>
      <c r="H31" s="347"/>
      <c r="I31" s="347"/>
      <c r="J31" s="347"/>
      <c r="K31" s="348">
        <f t="shared" si="0"/>
        <v>11.133333333333335</v>
      </c>
      <c r="L31" s="349">
        <f t="shared" si="1"/>
        <v>33.400000000000006</v>
      </c>
    </row>
    <row r="32" spans="1:13" s="204" customFormat="1" ht="91" x14ac:dyDescent="0.25">
      <c r="A32" s="205">
        <v>23</v>
      </c>
      <c r="B32" s="359" t="s">
        <v>493</v>
      </c>
      <c r="C32" s="358" t="s">
        <v>471</v>
      </c>
      <c r="D32" s="355">
        <v>48</v>
      </c>
      <c r="E32" s="347">
        <v>10.23</v>
      </c>
      <c r="F32" s="347">
        <v>3.14</v>
      </c>
      <c r="G32" s="347">
        <v>23.14</v>
      </c>
      <c r="H32" s="347"/>
      <c r="I32" s="347"/>
      <c r="J32" s="347"/>
      <c r="K32" s="348">
        <f t="shared" si="0"/>
        <v>12.170000000000002</v>
      </c>
      <c r="L32" s="349">
        <f t="shared" si="1"/>
        <v>584.16000000000008</v>
      </c>
    </row>
    <row r="33" spans="1:13" s="204" customFormat="1" x14ac:dyDescent="0.25">
      <c r="A33" s="294">
        <v>23</v>
      </c>
      <c r="B33" s="295"/>
      <c r="C33" s="295"/>
      <c r="D33" s="296"/>
      <c r="E33" s="270"/>
      <c r="F33" s="270"/>
      <c r="G33" s="270"/>
      <c r="H33" s="243"/>
      <c r="I33" s="243"/>
      <c r="J33" s="243"/>
      <c r="K33" s="244"/>
      <c r="L33" s="245"/>
      <c r="M33" s="239"/>
    </row>
    <row r="34" spans="1:13" s="204" customFormat="1" x14ac:dyDescent="0.25">
      <c r="A34" s="294">
        <v>24</v>
      </c>
      <c r="B34" s="295"/>
      <c r="C34" s="295"/>
      <c r="D34" s="296"/>
      <c r="E34" s="270"/>
      <c r="F34" s="270"/>
      <c r="G34" s="270"/>
      <c r="H34" s="243"/>
      <c r="I34" s="243"/>
      <c r="J34" s="243"/>
      <c r="K34" s="244"/>
      <c r="L34" s="245"/>
      <c r="M34" s="239"/>
    </row>
    <row r="35" spans="1:13" s="204" customFormat="1" x14ac:dyDescent="0.25">
      <c r="A35" s="294">
        <v>25</v>
      </c>
      <c r="B35" s="295"/>
      <c r="C35" s="295"/>
      <c r="D35" s="296"/>
      <c r="E35" s="270"/>
      <c r="F35" s="270"/>
      <c r="G35" s="270"/>
      <c r="H35" s="243"/>
      <c r="I35" s="243"/>
      <c r="J35" s="243"/>
      <c r="K35" s="244"/>
      <c r="L35" s="245"/>
      <c r="M35" s="239"/>
    </row>
    <row r="36" spans="1:13" s="204" customFormat="1" x14ac:dyDescent="0.25">
      <c r="A36" s="294">
        <v>26</v>
      </c>
      <c r="B36" s="295"/>
      <c r="C36" s="295"/>
      <c r="D36" s="296"/>
      <c r="E36" s="270"/>
      <c r="F36" s="270"/>
      <c r="G36" s="270"/>
      <c r="H36" s="243"/>
      <c r="I36" s="243"/>
      <c r="J36" s="243"/>
      <c r="K36" s="244"/>
      <c r="L36" s="245"/>
      <c r="M36" s="239"/>
    </row>
    <row r="37" spans="1:13" s="204" customFormat="1" x14ac:dyDescent="0.25">
      <c r="A37" s="294">
        <v>27</v>
      </c>
      <c r="B37" s="295"/>
      <c r="C37" s="295"/>
      <c r="D37" s="296"/>
      <c r="E37" s="270"/>
      <c r="F37" s="270"/>
      <c r="G37" s="270"/>
      <c r="H37" s="243"/>
      <c r="I37" s="243"/>
      <c r="J37" s="243"/>
      <c r="K37" s="244"/>
      <c r="L37" s="245"/>
      <c r="M37" s="239"/>
    </row>
    <row r="38" spans="1:13" s="204" customFormat="1" ht="19.5" customHeight="1" x14ac:dyDescent="0.25">
      <c r="A38" s="294">
        <v>28</v>
      </c>
      <c r="B38" s="295"/>
      <c r="C38" s="295"/>
      <c r="D38" s="296"/>
      <c r="E38" s="270"/>
      <c r="F38" s="270"/>
      <c r="G38" s="270"/>
      <c r="H38" s="243"/>
      <c r="I38" s="243"/>
      <c r="J38" s="243"/>
      <c r="K38" s="244"/>
      <c r="L38" s="245"/>
      <c r="M38" s="239"/>
    </row>
    <row r="39" spans="1:13" s="204" customFormat="1" x14ac:dyDescent="0.25">
      <c r="A39" s="294">
        <v>29</v>
      </c>
      <c r="B39" s="295"/>
      <c r="C39" s="295"/>
      <c r="D39" s="296"/>
      <c r="E39" s="270"/>
      <c r="F39" s="270"/>
      <c r="G39" s="270"/>
      <c r="H39" s="243"/>
      <c r="I39" s="243"/>
      <c r="J39" s="243"/>
      <c r="K39" s="244"/>
      <c r="L39" s="245"/>
      <c r="M39" s="239"/>
    </row>
    <row r="40" spans="1:13" s="204" customFormat="1" x14ac:dyDescent="0.25">
      <c r="A40" s="294">
        <v>30</v>
      </c>
      <c r="B40" s="295"/>
      <c r="C40" s="295"/>
      <c r="D40" s="296"/>
      <c r="E40" s="270"/>
      <c r="F40" s="270"/>
      <c r="G40" s="270"/>
      <c r="H40" s="243"/>
      <c r="I40" s="243"/>
      <c r="J40" s="243"/>
      <c r="K40" s="244"/>
      <c r="L40" s="245"/>
      <c r="M40" s="239"/>
    </row>
    <row r="41" spans="1:13" s="204" customFormat="1" x14ac:dyDescent="0.25">
      <c r="A41" s="205"/>
      <c r="B41" s="297"/>
      <c r="C41" s="298"/>
      <c r="D41" s="299"/>
      <c r="E41" s="243"/>
      <c r="F41" s="243"/>
      <c r="G41" s="243"/>
      <c r="H41" s="243"/>
      <c r="I41" s="243"/>
      <c r="J41" s="243"/>
      <c r="K41" s="244"/>
      <c r="L41" s="245"/>
      <c r="M41" s="239"/>
    </row>
    <row r="42" spans="1:13" s="204" customFormat="1" x14ac:dyDescent="0.25">
      <c r="A42" s="205"/>
      <c r="B42" s="297"/>
      <c r="C42" s="298"/>
      <c r="D42" s="299"/>
      <c r="E42" s="243"/>
      <c r="F42" s="243"/>
      <c r="G42" s="243"/>
      <c r="H42" s="243"/>
      <c r="I42" s="243"/>
      <c r="J42" s="243"/>
      <c r="K42" s="244"/>
      <c r="L42" s="245"/>
      <c r="M42" s="239"/>
    </row>
    <row r="43" spans="1:13" s="204" customFormat="1" x14ac:dyDescent="0.25">
      <c r="A43" s="205"/>
      <c r="B43" s="297"/>
      <c r="C43" s="298"/>
      <c r="D43" s="299"/>
      <c r="E43" s="243"/>
      <c r="F43" s="243"/>
      <c r="G43" s="243"/>
      <c r="H43" s="243"/>
      <c r="I43" s="243"/>
      <c r="J43" s="243"/>
      <c r="K43" s="244"/>
      <c r="L43" s="245"/>
      <c r="M43" s="239"/>
    </row>
    <row r="44" spans="1:13" s="204" customFormat="1" x14ac:dyDescent="0.25">
      <c r="A44" s="205"/>
      <c r="B44" s="297"/>
      <c r="C44" s="298"/>
      <c r="D44" s="299"/>
      <c r="E44" s="243"/>
      <c r="F44" s="243"/>
      <c r="G44" s="243"/>
      <c r="H44" s="243"/>
      <c r="I44" s="243"/>
      <c r="J44" s="243"/>
      <c r="K44" s="244"/>
      <c r="L44" s="245"/>
      <c r="M44" s="239"/>
    </row>
    <row r="45" spans="1:13" s="204" customFormat="1" x14ac:dyDescent="0.25">
      <c r="A45" s="205"/>
      <c r="B45" s="297"/>
      <c r="C45" s="298"/>
      <c r="D45" s="299"/>
      <c r="E45" s="243"/>
      <c r="F45" s="243"/>
      <c r="G45" s="243"/>
      <c r="H45" s="243"/>
      <c r="I45" s="243"/>
      <c r="J45" s="243"/>
      <c r="K45" s="244"/>
      <c r="L45" s="245"/>
      <c r="M45" s="239"/>
    </row>
    <row r="46" spans="1:13" s="204" customFormat="1" ht="12.75" customHeight="1" x14ac:dyDescent="0.25">
      <c r="A46" s="205"/>
      <c r="B46" s="300"/>
      <c r="C46" s="193"/>
      <c r="D46" s="193"/>
      <c r="E46" s="243"/>
      <c r="F46" s="243"/>
      <c r="G46" s="243"/>
      <c r="H46" s="243"/>
      <c r="I46" s="243"/>
      <c r="J46" s="243"/>
      <c r="K46" s="244"/>
      <c r="L46" s="245"/>
    </row>
    <row r="47" spans="1:13" ht="13.5" thickBot="1" x14ac:dyDescent="0.3">
      <c r="A47" s="593" t="s">
        <v>268</v>
      </c>
      <c r="B47" s="594"/>
      <c r="C47" s="594"/>
      <c r="D47" s="594"/>
      <c r="E47" s="594"/>
      <c r="F47" s="594"/>
      <c r="G47" s="594"/>
      <c r="H47" s="594"/>
      <c r="I47" s="594"/>
      <c r="J47" s="595"/>
      <c r="K47" s="596">
        <f>SUM(L11:L46)</f>
        <v>2397.8266666666668</v>
      </c>
      <c r="L47" s="597"/>
    </row>
    <row r="48" spans="1:13" ht="13" thickBot="1" x14ac:dyDescent="0.3"/>
    <row r="49" spans="1:12" ht="13.5" thickBot="1" x14ac:dyDescent="0.35">
      <c r="A49" s="481" t="s">
        <v>269</v>
      </c>
      <c r="B49" s="482"/>
      <c r="C49" s="482"/>
      <c r="D49" s="482"/>
      <c r="E49" s="482"/>
      <c r="F49" s="482"/>
      <c r="G49" s="482"/>
      <c r="H49" s="482"/>
      <c r="I49" s="482"/>
      <c r="J49" s="483"/>
      <c r="K49" s="598">
        <f>K47/Resumo!I6</f>
        <v>1081.3198045847428</v>
      </c>
      <c r="L49" s="599"/>
    </row>
    <row r="50" spans="1:12" ht="13" x14ac:dyDescent="0.3">
      <c r="A50" s="233"/>
      <c r="B50" s="233"/>
      <c r="C50" s="233"/>
      <c r="D50" s="233"/>
      <c r="E50" s="233"/>
      <c r="F50" s="233"/>
      <c r="G50" s="233"/>
      <c r="H50" s="233"/>
      <c r="I50" s="233"/>
      <c r="J50" s="233"/>
      <c r="K50" s="234"/>
      <c r="L50" s="234"/>
    </row>
    <row r="52" spans="1:12" ht="13" thickBot="1" x14ac:dyDescent="0.3"/>
    <row r="53" spans="1:12" ht="13" x14ac:dyDescent="0.25">
      <c r="A53" s="512" t="s">
        <v>247</v>
      </c>
      <c r="B53" s="515" t="s">
        <v>270</v>
      </c>
      <c r="C53" s="518" t="s">
        <v>249</v>
      </c>
      <c r="D53" s="521" t="s">
        <v>250</v>
      </c>
      <c r="E53" s="524" t="s">
        <v>251</v>
      </c>
      <c r="F53" s="525"/>
      <c r="G53" s="525"/>
      <c r="H53" s="525"/>
      <c r="I53" s="525"/>
      <c r="J53" s="526"/>
      <c r="K53" s="527" t="s">
        <v>252</v>
      </c>
      <c r="L53" s="528"/>
    </row>
    <row r="54" spans="1:12" ht="13.5" x14ac:dyDescent="0.25">
      <c r="A54" s="513"/>
      <c r="B54" s="577"/>
      <c r="C54" s="519"/>
      <c r="D54" s="522"/>
      <c r="E54" s="197" t="s">
        <v>50</v>
      </c>
      <c r="F54" s="198" t="s">
        <v>51</v>
      </c>
      <c r="G54" s="198" t="s">
        <v>52</v>
      </c>
      <c r="H54" s="198" t="s">
        <v>63</v>
      </c>
      <c r="I54" s="198" t="s">
        <v>97</v>
      </c>
      <c r="J54" s="199" t="s">
        <v>99</v>
      </c>
      <c r="K54" s="529" t="s">
        <v>253</v>
      </c>
      <c r="L54" s="531" t="s">
        <v>254</v>
      </c>
    </row>
    <row r="55" spans="1:12" ht="13" thickBot="1" x14ac:dyDescent="0.3">
      <c r="A55" s="514"/>
      <c r="B55" s="600"/>
      <c r="C55" s="520"/>
      <c r="D55" s="523"/>
      <c r="E55" s="200" t="s">
        <v>255</v>
      </c>
      <c r="F55" s="201" t="s">
        <v>255</v>
      </c>
      <c r="G55" s="201" t="s">
        <v>255</v>
      </c>
      <c r="H55" s="201" t="s">
        <v>255</v>
      </c>
      <c r="I55" s="201" t="s">
        <v>255</v>
      </c>
      <c r="J55" s="202" t="s">
        <v>255</v>
      </c>
      <c r="K55" s="530"/>
      <c r="L55" s="532"/>
    </row>
    <row r="56" spans="1:12" x14ac:dyDescent="0.25">
      <c r="A56" s="361">
        <v>1</v>
      </c>
      <c r="B56" s="362" t="s">
        <v>510</v>
      </c>
      <c r="C56" s="363" t="s">
        <v>249</v>
      </c>
      <c r="D56" s="364">
        <v>6</v>
      </c>
      <c r="E56" s="365">
        <v>16.899999999999999</v>
      </c>
      <c r="F56" s="365">
        <v>18.72</v>
      </c>
      <c r="G56" s="365">
        <v>19.89</v>
      </c>
      <c r="H56" s="365"/>
      <c r="I56" s="365"/>
      <c r="J56" s="365"/>
      <c r="K56" s="215">
        <f t="shared" ref="K56:K68" si="2">AVERAGE(E56:J56)</f>
        <v>18.503333333333334</v>
      </c>
      <c r="L56" s="216">
        <f t="shared" ref="L56:L68" si="3">K56*D56</f>
        <v>111.02000000000001</v>
      </c>
    </row>
    <row r="57" spans="1:12" x14ac:dyDescent="0.25">
      <c r="A57" s="227">
        <v>2</v>
      </c>
      <c r="B57" s="362" t="s">
        <v>511</v>
      </c>
      <c r="C57" s="206" t="s">
        <v>249</v>
      </c>
      <c r="D57" s="364">
        <v>2</v>
      </c>
      <c r="E57" s="228">
        <v>4.99</v>
      </c>
      <c r="F57" s="228">
        <v>7.18</v>
      </c>
      <c r="G57" s="228">
        <v>8.36</v>
      </c>
      <c r="H57" s="228"/>
      <c r="I57" s="228"/>
      <c r="J57" s="228"/>
      <c r="K57" s="215">
        <f t="shared" si="2"/>
        <v>6.8433333333333337</v>
      </c>
      <c r="L57" s="216">
        <f t="shared" si="3"/>
        <v>13.686666666666667</v>
      </c>
    </row>
    <row r="58" spans="1:12" x14ac:dyDescent="0.25">
      <c r="A58" s="227">
        <v>3</v>
      </c>
      <c r="B58" s="362" t="s">
        <v>512</v>
      </c>
      <c r="C58" s="345" t="s">
        <v>249</v>
      </c>
      <c r="D58" s="364">
        <v>4</v>
      </c>
      <c r="E58" s="228">
        <v>12.9</v>
      </c>
      <c r="F58" s="228">
        <v>10.71</v>
      </c>
      <c r="G58" s="228">
        <v>15.09</v>
      </c>
      <c r="H58" s="228"/>
      <c r="I58" s="228"/>
      <c r="J58" s="228"/>
      <c r="K58" s="215">
        <f t="shared" si="2"/>
        <v>12.9</v>
      </c>
      <c r="L58" s="216">
        <f t="shared" si="3"/>
        <v>51.6</v>
      </c>
    </row>
    <row r="59" spans="1:12" x14ac:dyDescent="0.25">
      <c r="A59" s="227">
        <v>4</v>
      </c>
      <c r="B59" s="362" t="s">
        <v>513</v>
      </c>
      <c r="C59" s="206" t="s">
        <v>249</v>
      </c>
      <c r="D59" s="364">
        <v>4</v>
      </c>
      <c r="E59" s="228">
        <v>4.8</v>
      </c>
      <c r="F59" s="228">
        <v>7.02</v>
      </c>
      <c r="G59" s="228">
        <v>4.01</v>
      </c>
      <c r="H59" s="228"/>
      <c r="I59" s="228"/>
      <c r="J59" s="228"/>
      <c r="K59" s="215">
        <f t="shared" si="2"/>
        <v>5.2766666666666664</v>
      </c>
      <c r="L59" s="216">
        <f t="shared" si="3"/>
        <v>21.106666666666666</v>
      </c>
    </row>
    <row r="60" spans="1:12" x14ac:dyDescent="0.25">
      <c r="A60" s="227">
        <v>5</v>
      </c>
      <c r="B60" s="362" t="s">
        <v>514</v>
      </c>
      <c r="C60" s="206" t="s">
        <v>249</v>
      </c>
      <c r="D60" s="364">
        <v>12</v>
      </c>
      <c r="E60" s="228">
        <v>6.99</v>
      </c>
      <c r="F60" s="228">
        <v>6.29</v>
      </c>
      <c r="G60" s="228">
        <v>15.13</v>
      </c>
      <c r="H60" s="228"/>
      <c r="I60" s="228"/>
      <c r="J60" s="228"/>
      <c r="K60" s="215">
        <f t="shared" si="2"/>
        <v>9.4700000000000006</v>
      </c>
      <c r="L60" s="216">
        <f t="shared" si="3"/>
        <v>113.64000000000001</v>
      </c>
    </row>
    <row r="61" spans="1:12" x14ac:dyDescent="0.25">
      <c r="A61" s="227">
        <v>6</v>
      </c>
      <c r="B61" s="362" t="s">
        <v>515</v>
      </c>
      <c r="C61" s="206" t="s">
        <v>249</v>
      </c>
      <c r="D61" s="364">
        <v>2</v>
      </c>
      <c r="E61" s="228">
        <v>14.8</v>
      </c>
      <c r="F61" s="228">
        <v>37.619999999999997</v>
      </c>
      <c r="G61" s="228">
        <v>15.76</v>
      </c>
      <c r="H61" s="228"/>
      <c r="I61" s="228"/>
      <c r="J61" s="228"/>
      <c r="K61" s="215">
        <f t="shared" si="2"/>
        <v>22.72666666666667</v>
      </c>
      <c r="L61" s="216">
        <f t="shared" si="3"/>
        <v>45.45333333333334</v>
      </c>
    </row>
    <row r="62" spans="1:12" ht="56" x14ac:dyDescent="0.25">
      <c r="A62" s="227">
        <v>7</v>
      </c>
      <c r="B62" s="362" t="s">
        <v>516</v>
      </c>
      <c r="C62" s="206" t="s">
        <v>257</v>
      </c>
      <c r="D62" s="364">
        <v>6</v>
      </c>
      <c r="E62" s="228">
        <v>3.99</v>
      </c>
      <c r="F62" s="228">
        <v>10.62</v>
      </c>
      <c r="G62" s="228">
        <v>9.1300000000000008</v>
      </c>
      <c r="H62" s="228"/>
      <c r="I62" s="228"/>
      <c r="J62" s="228"/>
      <c r="K62" s="215">
        <f t="shared" si="2"/>
        <v>7.913333333333334</v>
      </c>
      <c r="L62" s="216">
        <f t="shared" si="3"/>
        <v>47.480000000000004</v>
      </c>
    </row>
    <row r="63" spans="1:12" x14ac:dyDescent="0.25">
      <c r="A63" s="227">
        <v>8</v>
      </c>
      <c r="B63" s="362" t="s">
        <v>517</v>
      </c>
      <c r="C63" s="206" t="s">
        <v>249</v>
      </c>
      <c r="D63" s="364">
        <v>2</v>
      </c>
      <c r="E63" s="228">
        <v>39.9</v>
      </c>
      <c r="F63" s="228">
        <v>39.42</v>
      </c>
      <c r="G63" s="228">
        <v>60.98</v>
      </c>
      <c r="H63" s="228"/>
      <c r="I63" s="228"/>
      <c r="J63" s="228"/>
      <c r="K63" s="215">
        <f t="shared" si="2"/>
        <v>46.766666666666659</v>
      </c>
      <c r="L63" s="216">
        <f t="shared" si="3"/>
        <v>93.533333333333317</v>
      </c>
    </row>
    <row r="64" spans="1:12" x14ac:dyDescent="0.25">
      <c r="A64" s="227">
        <v>9</v>
      </c>
      <c r="B64" s="366" t="s">
        <v>518</v>
      </c>
      <c r="C64" s="206" t="s">
        <v>249</v>
      </c>
      <c r="D64" s="364">
        <v>2</v>
      </c>
      <c r="E64" s="228">
        <v>10.89</v>
      </c>
      <c r="F64" s="228">
        <v>26.91</v>
      </c>
      <c r="G64" s="228">
        <v>16.11</v>
      </c>
      <c r="H64" s="228"/>
      <c r="I64" s="228"/>
      <c r="J64" s="228"/>
      <c r="K64" s="215">
        <f t="shared" si="2"/>
        <v>17.97</v>
      </c>
      <c r="L64" s="216">
        <f t="shared" si="3"/>
        <v>35.94</v>
      </c>
    </row>
    <row r="65" spans="1:12" x14ac:dyDescent="0.25">
      <c r="A65" s="227">
        <v>10</v>
      </c>
      <c r="B65" s="366" t="s">
        <v>519</v>
      </c>
      <c r="C65" s="206" t="s">
        <v>249</v>
      </c>
      <c r="D65" s="364">
        <v>8</v>
      </c>
      <c r="E65" s="228">
        <v>12.9</v>
      </c>
      <c r="F65" s="228">
        <v>1.32</v>
      </c>
      <c r="G65" s="228">
        <v>14.32</v>
      </c>
      <c r="H65" s="228"/>
      <c r="I65" s="228"/>
      <c r="J65" s="228"/>
      <c r="K65" s="215">
        <f t="shared" si="2"/>
        <v>9.5133333333333336</v>
      </c>
      <c r="L65" s="216">
        <f t="shared" si="3"/>
        <v>76.106666666666669</v>
      </c>
    </row>
    <row r="66" spans="1:12" x14ac:dyDescent="0.25">
      <c r="A66" s="227">
        <v>11</v>
      </c>
      <c r="B66" s="366" t="s">
        <v>520</v>
      </c>
      <c r="C66" s="206" t="s">
        <v>249</v>
      </c>
      <c r="D66" s="364">
        <v>0</v>
      </c>
      <c r="E66" s="228">
        <v>34.9</v>
      </c>
      <c r="F66" s="228">
        <v>24.12</v>
      </c>
      <c r="G66" s="228">
        <v>30.75</v>
      </c>
      <c r="H66" s="228"/>
      <c r="I66" s="228"/>
      <c r="J66" s="228"/>
      <c r="K66" s="215">
        <f t="shared" si="2"/>
        <v>29.923333333333332</v>
      </c>
      <c r="L66" s="216">
        <f t="shared" si="3"/>
        <v>0</v>
      </c>
    </row>
    <row r="67" spans="1:12" x14ac:dyDescent="0.25">
      <c r="A67" s="227">
        <v>12</v>
      </c>
      <c r="B67" s="366" t="s">
        <v>521</v>
      </c>
      <c r="C67" s="206" t="s">
        <v>249</v>
      </c>
      <c r="D67" s="364">
        <v>2</v>
      </c>
      <c r="E67" s="228">
        <v>12.99</v>
      </c>
      <c r="F67" s="228">
        <v>21.42</v>
      </c>
      <c r="G67" s="228">
        <v>21.65</v>
      </c>
      <c r="H67" s="228"/>
      <c r="I67" s="228"/>
      <c r="J67" s="228"/>
      <c r="K67" s="215">
        <f t="shared" si="2"/>
        <v>18.686666666666667</v>
      </c>
      <c r="L67" s="216">
        <f t="shared" si="3"/>
        <v>37.373333333333335</v>
      </c>
    </row>
    <row r="68" spans="1:12" ht="25" x14ac:dyDescent="0.25">
      <c r="A68" s="227">
        <v>13</v>
      </c>
      <c r="B68" s="350" t="s">
        <v>522</v>
      </c>
      <c r="C68" s="206" t="s">
        <v>249</v>
      </c>
      <c r="D68" s="364">
        <v>0</v>
      </c>
      <c r="E68" s="228">
        <v>34.9</v>
      </c>
      <c r="F68" s="228">
        <v>31.32</v>
      </c>
      <c r="G68" s="228">
        <v>24.9</v>
      </c>
      <c r="H68" s="228"/>
      <c r="I68" s="228"/>
      <c r="J68" s="228"/>
      <c r="K68" s="215">
        <f t="shared" si="2"/>
        <v>30.373333333333335</v>
      </c>
      <c r="L68" s="216">
        <f t="shared" si="3"/>
        <v>0</v>
      </c>
    </row>
    <row r="69" spans="1:12" x14ac:dyDescent="0.25">
      <c r="A69" s="294">
        <v>15</v>
      </c>
      <c r="B69" s="295"/>
      <c r="C69" s="302"/>
      <c r="D69" s="303"/>
      <c r="E69" s="270"/>
      <c r="F69" s="270"/>
      <c r="G69" s="270"/>
      <c r="H69" s="243"/>
      <c r="I69" s="243"/>
      <c r="J69" s="243"/>
      <c r="K69" s="248"/>
      <c r="L69" s="249"/>
    </row>
    <row r="70" spans="1:12" x14ac:dyDescent="0.25">
      <c r="A70" s="294">
        <v>16</v>
      </c>
      <c r="B70" s="295"/>
      <c r="C70" s="302"/>
      <c r="D70" s="303"/>
      <c r="E70" s="270"/>
      <c r="F70" s="270"/>
      <c r="G70" s="270"/>
      <c r="H70" s="243"/>
      <c r="I70" s="243"/>
      <c r="J70" s="243"/>
      <c r="K70" s="248"/>
      <c r="L70" s="249"/>
    </row>
    <row r="71" spans="1:12" x14ac:dyDescent="0.25">
      <c r="A71" s="301">
        <v>17</v>
      </c>
      <c r="B71" s="295"/>
      <c r="C71" s="302"/>
      <c r="D71" s="303"/>
      <c r="E71" s="270"/>
      <c r="F71" s="270"/>
      <c r="G71" s="270"/>
      <c r="H71" s="243"/>
      <c r="I71" s="243"/>
      <c r="J71" s="243"/>
      <c r="K71" s="248"/>
      <c r="L71" s="249"/>
    </row>
    <row r="72" spans="1:12" x14ac:dyDescent="0.25">
      <c r="A72" s="294">
        <v>18</v>
      </c>
      <c r="B72" s="295"/>
      <c r="C72" s="302"/>
      <c r="D72" s="303"/>
      <c r="E72" s="270"/>
      <c r="F72" s="270"/>
      <c r="G72" s="270"/>
      <c r="H72" s="243"/>
      <c r="I72" s="243"/>
      <c r="J72" s="243"/>
      <c r="K72" s="248"/>
      <c r="L72" s="249"/>
    </row>
    <row r="73" spans="1:12" x14ac:dyDescent="0.25">
      <c r="A73" s="294">
        <v>19</v>
      </c>
      <c r="B73" s="295"/>
      <c r="C73" s="302"/>
      <c r="D73" s="303"/>
      <c r="E73" s="274"/>
      <c r="F73" s="274"/>
      <c r="G73" s="274"/>
      <c r="H73" s="243"/>
      <c r="I73" s="243"/>
      <c r="J73" s="243"/>
      <c r="K73" s="248"/>
      <c r="L73" s="249"/>
    </row>
    <row r="74" spans="1:12" x14ac:dyDescent="0.25">
      <c r="A74" s="294">
        <v>20</v>
      </c>
      <c r="B74" s="304"/>
      <c r="C74" s="305"/>
      <c r="D74" s="306"/>
      <c r="E74" s="270"/>
      <c r="F74" s="270"/>
      <c r="G74" s="270"/>
      <c r="H74" s="243"/>
      <c r="I74" s="243"/>
      <c r="J74" s="243"/>
      <c r="K74" s="248"/>
      <c r="L74" s="249"/>
    </row>
    <row r="75" spans="1:12" ht="13.5" thickBot="1" x14ac:dyDescent="0.3">
      <c r="A75" s="227"/>
      <c r="B75" s="211"/>
      <c r="C75" s="206"/>
      <c r="D75" s="229"/>
      <c r="E75" s="228"/>
      <c r="F75" s="228"/>
      <c r="G75" s="228"/>
      <c r="H75" s="228"/>
      <c r="I75" s="228"/>
      <c r="J75" s="228"/>
      <c r="K75" s="215"/>
      <c r="L75" s="216"/>
    </row>
    <row r="76" spans="1:12" ht="13.5" thickBot="1" x14ac:dyDescent="0.3">
      <c r="A76" s="481" t="s">
        <v>271</v>
      </c>
      <c r="B76" s="482"/>
      <c r="C76" s="482"/>
      <c r="D76" s="482"/>
      <c r="E76" s="482"/>
      <c r="F76" s="482"/>
      <c r="G76" s="482"/>
      <c r="H76" s="482"/>
      <c r="I76" s="482"/>
      <c r="J76" s="483"/>
      <c r="K76" s="601">
        <f>SUM(L56:L75)</f>
        <v>646.94000000000005</v>
      </c>
      <c r="L76" s="602"/>
    </row>
    <row r="77" spans="1:12" ht="13.5" thickBot="1" x14ac:dyDescent="0.3">
      <c r="A77" s="189"/>
      <c r="B77" s="189"/>
      <c r="C77" s="235"/>
      <c r="D77" s="236"/>
      <c r="E77" s="237"/>
      <c r="F77" s="237"/>
      <c r="G77" s="237"/>
      <c r="H77" s="237"/>
      <c r="I77" s="237"/>
      <c r="J77" s="237"/>
      <c r="K77" s="238"/>
      <c r="L77" s="238"/>
    </row>
    <row r="78" spans="1:12" ht="13.5" thickBot="1" x14ac:dyDescent="0.35">
      <c r="A78" s="603" t="s">
        <v>272</v>
      </c>
      <c r="B78" s="604"/>
      <c r="C78" s="604"/>
      <c r="D78" s="604"/>
      <c r="E78" s="604"/>
      <c r="F78" s="604"/>
      <c r="G78" s="604"/>
      <c r="H78" s="604"/>
      <c r="I78" s="604"/>
      <c r="J78" s="605"/>
      <c r="K78" s="598">
        <f>K76/12/Resumo!I6</f>
        <v>24.311912814731308</v>
      </c>
      <c r="L78" s="599"/>
    </row>
    <row r="79" spans="1:12" ht="13.5" thickBot="1" x14ac:dyDescent="0.35">
      <c r="A79" s="233"/>
      <c r="B79" s="233"/>
      <c r="C79" s="233"/>
      <c r="D79" s="233"/>
      <c r="E79" s="233"/>
      <c r="F79" s="233"/>
      <c r="G79" s="233"/>
      <c r="H79" s="233"/>
      <c r="I79" s="233"/>
      <c r="J79" s="233"/>
      <c r="K79" s="234"/>
      <c r="L79" s="234"/>
    </row>
    <row r="80" spans="1:12" ht="13.5" thickBot="1" x14ac:dyDescent="0.35">
      <c r="A80" s="606" t="s">
        <v>273</v>
      </c>
      <c r="B80" s="607"/>
      <c r="C80" s="607"/>
      <c r="D80" s="607"/>
      <c r="E80" s="607"/>
      <c r="F80" s="607"/>
      <c r="G80" s="607"/>
      <c r="H80" s="607"/>
      <c r="I80" s="607"/>
      <c r="J80" s="608"/>
      <c r="K80" s="609" t="s">
        <v>274</v>
      </c>
      <c r="L80" s="610"/>
    </row>
    <row r="81" spans="1:12" ht="13" x14ac:dyDescent="0.3">
      <c r="A81" s="620" t="s">
        <v>275</v>
      </c>
      <c r="B81" s="621"/>
      <c r="C81" s="621"/>
      <c r="D81" s="621"/>
      <c r="E81" s="621"/>
      <c r="F81" s="621"/>
      <c r="G81" s="621"/>
      <c r="H81" s="621"/>
      <c r="I81" s="621"/>
      <c r="J81" s="621"/>
      <c r="K81" s="611">
        <f>K49</f>
        <v>1081.3198045847428</v>
      </c>
      <c r="L81" s="612"/>
    </row>
    <row r="82" spans="1:12" ht="13.5" thickBot="1" x14ac:dyDescent="0.35">
      <c r="A82" s="618" t="s">
        <v>276</v>
      </c>
      <c r="B82" s="619"/>
      <c r="C82" s="619"/>
      <c r="D82" s="619"/>
      <c r="E82" s="619"/>
      <c r="F82" s="619"/>
      <c r="G82" s="619"/>
      <c r="H82" s="619"/>
      <c r="I82" s="619"/>
      <c r="J82" s="619"/>
      <c r="K82" s="622">
        <f>K78</f>
        <v>24.311912814731308</v>
      </c>
      <c r="L82" s="623"/>
    </row>
    <row r="83" spans="1:12" ht="13.5" thickBot="1" x14ac:dyDescent="0.35">
      <c r="A83" s="613" t="s">
        <v>277</v>
      </c>
      <c r="B83" s="614"/>
      <c r="C83" s="614"/>
      <c r="D83" s="614"/>
      <c r="E83" s="614"/>
      <c r="F83" s="614"/>
      <c r="G83" s="614"/>
      <c r="H83" s="614"/>
      <c r="I83" s="614"/>
      <c r="J83" s="615"/>
      <c r="K83" s="616">
        <f>SUM(K81:L82)</f>
        <v>1105.6317173994742</v>
      </c>
      <c r="L83" s="617"/>
    </row>
    <row r="85" spans="1:12" ht="13" thickBot="1" x14ac:dyDescent="0.3"/>
    <row r="86" spans="1:12" ht="20.25" customHeight="1" x14ac:dyDescent="0.25">
      <c r="A86" s="539"/>
      <c r="B86" s="540"/>
      <c r="C86" s="545" t="s">
        <v>261</v>
      </c>
      <c r="D86" s="548"/>
      <c r="E86" s="549"/>
      <c r="F86" s="549"/>
      <c r="G86" s="549"/>
      <c r="H86" s="549"/>
      <c r="I86" s="549"/>
      <c r="J86" s="549"/>
      <c r="K86" s="549"/>
      <c r="L86" s="550"/>
    </row>
    <row r="87" spans="1:12" ht="28.5" customHeight="1" x14ac:dyDescent="0.25">
      <c r="A87" s="541"/>
      <c r="B87" s="542"/>
      <c r="C87" s="546"/>
      <c r="D87" s="551"/>
      <c r="E87" s="552"/>
      <c r="F87" s="552"/>
      <c r="G87" s="552"/>
      <c r="H87" s="552"/>
      <c r="I87" s="552"/>
      <c r="J87" s="552"/>
      <c r="K87" s="552"/>
      <c r="L87" s="553"/>
    </row>
    <row r="88" spans="1:12" ht="14.25" customHeight="1" x14ac:dyDescent="0.25">
      <c r="A88" s="541"/>
      <c r="B88" s="542"/>
      <c r="C88" s="546"/>
      <c r="D88" s="551"/>
      <c r="E88" s="552"/>
      <c r="F88" s="552"/>
      <c r="G88" s="552"/>
      <c r="H88" s="552"/>
      <c r="I88" s="552"/>
      <c r="J88" s="552"/>
      <c r="K88" s="552"/>
      <c r="L88" s="553"/>
    </row>
    <row r="89" spans="1:12" ht="13" thickBot="1" x14ac:dyDescent="0.3">
      <c r="A89" s="543"/>
      <c r="B89" s="544"/>
      <c r="C89" s="547"/>
      <c r="D89" s="554"/>
      <c r="E89" s="555"/>
      <c r="F89" s="555"/>
      <c r="G89" s="555"/>
      <c r="H89" s="555"/>
      <c r="I89" s="555"/>
      <c r="J89" s="555"/>
      <c r="K89" s="555"/>
      <c r="L89" s="556"/>
    </row>
  </sheetData>
  <mergeCells count="54">
    <mergeCell ref="K81:L81"/>
    <mergeCell ref="A83:J83"/>
    <mergeCell ref="K83:L83"/>
    <mergeCell ref="A86:B89"/>
    <mergeCell ref="C86:C89"/>
    <mergeCell ref="D86:L89"/>
    <mergeCell ref="A82:J82"/>
    <mergeCell ref="A81:J81"/>
    <mergeCell ref="K82:L82"/>
    <mergeCell ref="K76:L76"/>
    <mergeCell ref="A78:J78"/>
    <mergeCell ref="K78:L78"/>
    <mergeCell ref="A80:J80"/>
    <mergeCell ref="K80:L80"/>
    <mergeCell ref="A76:J76"/>
    <mergeCell ref="A47:J47"/>
    <mergeCell ref="K47:L47"/>
    <mergeCell ref="A49:J49"/>
    <mergeCell ref="K49:L49"/>
    <mergeCell ref="A53:A55"/>
    <mergeCell ref="B53:B55"/>
    <mergeCell ref="C53:C55"/>
    <mergeCell ref="D53:D55"/>
    <mergeCell ref="E53:J53"/>
    <mergeCell ref="K53:L53"/>
    <mergeCell ref="K54:K55"/>
    <mergeCell ref="L54:L55"/>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hyperlinks>
    <hyperlink ref="F2" r:id="rId1" xr:uid="{EE94D23E-9CC1-4E58-A422-EF3221544666}"/>
    <hyperlink ref="F3" r:id="rId2" xr:uid="{E8565B3B-2E22-4672-A42C-84F7E2917A23}"/>
  </hyperlinks>
  <pageMargins left="0.511811024" right="0.511811024" top="0.78740157499999996" bottom="0.78740157499999996" header="0.31496062000000002" footer="0.31496062000000002"/>
  <pageSetup paperSize="9" orientation="landscape" verticalDpi="0" r:id="rId3"/>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7"/>
  <sheetViews>
    <sheetView topLeftCell="C10" zoomScale="120" zoomScaleNormal="120" workbookViewId="0">
      <selection activeCell="K27" sqref="K27"/>
    </sheetView>
  </sheetViews>
  <sheetFormatPr defaultRowHeight="12.5" x14ac:dyDescent="0.25"/>
  <cols>
    <col min="1" max="1" width="3.7265625" style="210"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38" t="s">
        <v>278</v>
      </c>
      <c r="B1" s="639"/>
      <c r="C1" s="639"/>
      <c r="D1" s="639"/>
      <c r="E1" s="639"/>
      <c r="F1" s="639"/>
      <c r="G1" s="639"/>
      <c r="H1" s="639"/>
      <c r="I1" s="639"/>
      <c r="J1" s="639"/>
      <c r="K1" s="639"/>
      <c r="L1" s="640"/>
    </row>
    <row r="2" spans="1:14" ht="13" customHeight="1" x14ac:dyDescent="0.25">
      <c r="A2" s="277" t="s">
        <v>50</v>
      </c>
      <c r="B2" s="495" t="s">
        <v>525</v>
      </c>
      <c r="C2" s="495"/>
      <c r="D2" s="495"/>
      <c r="E2" s="360" t="s">
        <v>244</v>
      </c>
      <c r="F2" s="506" t="s">
        <v>266</v>
      </c>
      <c r="G2" s="495"/>
      <c r="H2" s="495"/>
      <c r="I2" s="495"/>
      <c r="J2" s="259" t="s">
        <v>245</v>
      </c>
      <c r="K2" s="641"/>
      <c r="L2" s="642"/>
    </row>
    <row r="3" spans="1:14" ht="13" customHeight="1" x14ac:dyDescent="0.25">
      <c r="A3" s="278" t="s">
        <v>51</v>
      </c>
      <c r="B3" s="501" t="s">
        <v>508</v>
      </c>
      <c r="C3" s="501"/>
      <c r="D3" s="501"/>
      <c r="E3" s="367" t="s">
        <v>244</v>
      </c>
      <c r="F3" s="503" t="s">
        <v>265</v>
      </c>
      <c r="G3" s="497"/>
      <c r="H3" s="497"/>
      <c r="I3" s="497"/>
      <c r="J3" s="261" t="s">
        <v>245</v>
      </c>
      <c r="K3" s="643"/>
      <c r="L3" s="644"/>
    </row>
    <row r="4" spans="1:14" ht="13" customHeight="1" x14ac:dyDescent="0.25">
      <c r="A4" s="279" t="s">
        <v>52</v>
      </c>
      <c r="B4" s="499" t="s">
        <v>526</v>
      </c>
      <c r="C4" s="499"/>
      <c r="D4" s="499"/>
      <c r="E4" s="194" t="s">
        <v>244</v>
      </c>
      <c r="F4" s="504" t="s">
        <v>527</v>
      </c>
      <c r="G4" s="588"/>
      <c r="H4" s="588"/>
      <c r="I4" s="588"/>
      <c r="J4" s="263" t="s">
        <v>245</v>
      </c>
      <c r="K4" s="635"/>
      <c r="L4" s="636"/>
    </row>
    <row r="5" spans="1:14" ht="13" x14ac:dyDescent="0.25">
      <c r="A5" s="218" t="s">
        <v>63</v>
      </c>
      <c r="B5" s="501" t="s">
        <v>528</v>
      </c>
      <c r="C5" s="501"/>
      <c r="D5" s="501"/>
      <c r="E5" s="193" t="s">
        <v>244</v>
      </c>
      <c r="F5" s="503" t="s">
        <v>529</v>
      </c>
      <c r="G5" s="497"/>
      <c r="H5" s="497"/>
      <c r="I5" s="497"/>
      <c r="J5" s="193" t="s">
        <v>245</v>
      </c>
      <c r="K5" s="637"/>
      <c r="L5" s="502"/>
    </row>
    <row r="6" spans="1:14" ht="13" x14ac:dyDescent="0.25">
      <c r="A6" s="219" t="s">
        <v>97</v>
      </c>
      <c r="B6" s="499"/>
      <c r="C6" s="499"/>
      <c r="D6" s="499"/>
      <c r="E6" s="194" t="s">
        <v>244</v>
      </c>
      <c r="F6" s="504"/>
      <c r="G6" s="499"/>
      <c r="H6" s="499"/>
      <c r="I6" s="499"/>
      <c r="J6" s="194" t="s">
        <v>245</v>
      </c>
      <c r="K6" s="499"/>
      <c r="L6" s="500"/>
    </row>
    <row r="7" spans="1:14" ht="13.5" thickBot="1" x14ac:dyDescent="0.3">
      <c r="A7" s="220" t="s">
        <v>99</v>
      </c>
      <c r="B7" s="619"/>
      <c r="C7" s="619"/>
      <c r="D7" s="619"/>
      <c r="E7" s="221" t="s">
        <v>244</v>
      </c>
      <c r="F7" s="632"/>
      <c r="G7" s="633"/>
      <c r="H7" s="633"/>
      <c r="I7" s="633"/>
      <c r="J7" s="222" t="s">
        <v>245</v>
      </c>
      <c r="K7" s="619"/>
      <c r="L7" s="634"/>
    </row>
    <row r="8" spans="1:14" ht="13" x14ac:dyDescent="0.25">
      <c r="A8" s="512" t="s">
        <v>247</v>
      </c>
      <c r="B8" s="515" t="s">
        <v>279</v>
      </c>
      <c r="C8" s="518" t="s">
        <v>249</v>
      </c>
      <c r="D8" s="518" t="s">
        <v>250</v>
      </c>
      <c r="E8" s="627" t="s">
        <v>251</v>
      </c>
      <c r="F8" s="627"/>
      <c r="G8" s="627"/>
      <c r="H8" s="627"/>
      <c r="I8" s="627"/>
      <c r="J8" s="627"/>
      <c r="K8" s="628" t="s">
        <v>252</v>
      </c>
      <c r="L8" s="629"/>
    </row>
    <row r="9" spans="1:14" ht="13.5" x14ac:dyDescent="0.25">
      <c r="A9" s="513"/>
      <c r="B9" s="516"/>
      <c r="C9" s="519"/>
      <c r="D9" s="519"/>
      <c r="E9" s="223" t="s">
        <v>50</v>
      </c>
      <c r="F9" s="198" t="s">
        <v>51</v>
      </c>
      <c r="G9" s="198" t="s">
        <v>52</v>
      </c>
      <c r="H9" s="198" t="s">
        <v>63</v>
      </c>
      <c r="I9" s="198" t="s">
        <v>97</v>
      </c>
      <c r="J9" s="198" t="s">
        <v>99</v>
      </c>
      <c r="K9" s="516" t="s">
        <v>253</v>
      </c>
      <c r="L9" s="630" t="s">
        <v>254</v>
      </c>
    </row>
    <row r="10" spans="1:14" ht="13" thickBot="1" x14ac:dyDescent="0.3">
      <c r="A10" s="514"/>
      <c r="B10" s="517"/>
      <c r="C10" s="520"/>
      <c r="D10" s="520"/>
      <c r="E10" s="201" t="s">
        <v>255</v>
      </c>
      <c r="F10" s="201" t="s">
        <v>255</v>
      </c>
      <c r="G10" s="201" t="s">
        <v>255</v>
      </c>
      <c r="H10" s="201" t="s">
        <v>255</v>
      </c>
      <c r="I10" s="201" t="s">
        <v>255</v>
      </c>
      <c r="J10" s="201" t="s">
        <v>255</v>
      </c>
      <c r="K10" s="517"/>
      <c r="L10" s="631"/>
    </row>
    <row r="11" spans="1:14" s="204" customFormat="1" x14ac:dyDescent="0.25">
      <c r="A11" s="203">
        <v>1</v>
      </c>
      <c r="B11" s="344" t="s">
        <v>523</v>
      </c>
      <c r="C11" s="231" t="s">
        <v>249</v>
      </c>
      <c r="D11" s="346">
        <v>1</v>
      </c>
      <c r="E11" s="347">
        <v>499.9</v>
      </c>
      <c r="F11" s="347">
        <v>437</v>
      </c>
      <c r="G11" s="347">
        <v>699.9</v>
      </c>
      <c r="H11" s="347">
        <v>419.9</v>
      </c>
      <c r="I11" s="347"/>
      <c r="J11" s="347"/>
      <c r="K11" s="215">
        <f>AVERAGE(E11:J11)</f>
        <v>514.17499999999995</v>
      </c>
      <c r="L11" s="216">
        <f>K11*D11</f>
        <v>514.17499999999995</v>
      </c>
    </row>
    <row r="12" spans="1:14" s="204" customFormat="1" ht="12.75" customHeight="1" x14ac:dyDescent="0.25">
      <c r="A12" s="205">
        <v>2</v>
      </c>
      <c r="B12" s="344" t="s">
        <v>524</v>
      </c>
      <c r="C12" s="206" t="s">
        <v>249</v>
      </c>
      <c r="D12" s="346">
        <v>1</v>
      </c>
      <c r="E12" s="347">
        <v>306.24</v>
      </c>
      <c r="F12" s="347">
        <v>406</v>
      </c>
      <c r="G12" s="347">
        <v>452.62</v>
      </c>
      <c r="H12" s="347">
        <v>451.73</v>
      </c>
      <c r="I12" s="347"/>
      <c r="J12" s="347"/>
      <c r="K12" s="215">
        <f t="shared" ref="K12" si="0">AVERAGE(E12:J12)</f>
        <v>404.14750000000004</v>
      </c>
      <c r="L12" s="216">
        <f t="shared" ref="L12" si="1">K12*D12</f>
        <v>404.14750000000004</v>
      </c>
    </row>
    <row r="13" spans="1:14" s="204" customFormat="1" ht="13" x14ac:dyDescent="0.3">
      <c r="A13" s="205">
        <v>3</v>
      </c>
      <c r="B13" s="286"/>
      <c r="C13" s="286"/>
      <c r="D13" s="287"/>
      <c r="E13" s="283"/>
      <c r="F13" s="280"/>
      <c r="G13" s="283"/>
      <c r="H13" s="283"/>
      <c r="I13" s="283"/>
      <c r="J13" s="283"/>
      <c r="K13" s="281"/>
      <c r="L13" s="282"/>
    </row>
    <row r="14" spans="1:14" s="204" customFormat="1" ht="13" x14ac:dyDescent="0.3">
      <c r="A14" s="205">
        <v>4</v>
      </c>
      <c r="B14" s="286"/>
      <c r="C14" s="286"/>
      <c r="D14" s="287"/>
      <c r="E14" s="283"/>
      <c r="F14" s="280"/>
      <c r="G14" s="283"/>
      <c r="H14" s="283"/>
      <c r="I14" s="283"/>
      <c r="J14" s="283"/>
      <c r="K14" s="281"/>
      <c r="L14" s="282"/>
      <c r="N14" s="217"/>
    </row>
    <row r="15" spans="1:14" s="204" customFormat="1" ht="13" x14ac:dyDescent="0.3">
      <c r="A15" s="205">
        <v>5</v>
      </c>
      <c r="B15" s="286"/>
      <c r="C15" s="286"/>
      <c r="D15" s="287"/>
      <c r="E15" s="283"/>
      <c r="F15" s="280"/>
      <c r="G15" s="283"/>
      <c r="H15" s="283"/>
      <c r="I15" s="283"/>
      <c r="J15" s="283"/>
      <c r="K15" s="281"/>
      <c r="L15" s="282"/>
    </row>
    <row r="16" spans="1:14" s="204" customFormat="1" ht="13" x14ac:dyDescent="0.3">
      <c r="A16" s="205">
        <v>6</v>
      </c>
      <c r="B16" s="286"/>
      <c r="C16" s="286"/>
      <c r="D16" s="287"/>
      <c r="E16" s="283"/>
      <c r="F16" s="280"/>
      <c r="G16" s="283"/>
      <c r="H16" s="283"/>
      <c r="I16" s="283"/>
      <c r="J16" s="283"/>
      <c r="K16" s="281"/>
      <c r="L16" s="282"/>
    </row>
    <row r="17" spans="1:12" s="204" customFormat="1" ht="13" x14ac:dyDescent="0.25">
      <c r="A17" s="205">
        <v>7</v>
      </c>
      <c r="B17" s="286"/>
      <c r="C17" s="286"/>
      <c r="D17" s="287"/>
      <c r="E17" s="283"/>
      <c r="F17" s="307"/>
      <c r="G17" s="283"/>
      <c r="H17" s="283"/>
      <c r="I17" s="283"/>
      <c r="J17" s="283"/>
      <c r="K17" s="281"/>
      <c r="L17" s="282"/>
    </row>
    <row r="18" spans="1:12" s="204" customFormat="1" ht="13" x14ac:dyDescent="0.25">
      <c r="A18" s="205">
        <v>14</v>
      </c>
      <c r="B18" s="286"/>
      <c r="C18" s="289"/>
      <c r="D18" s="288"/>
      <c r="E18" s="283"/>
      <c r="F18" s="283"/>
      <c r="G18" s="283"/>
      <c r="H18" s="283"/>
      <c r="I18" s="283"/>
      <c r="J18" s="283"/>
      <c r="K18" s="281"/>
      <c r="L18" s="282"/>
    </row>
    <row r="19" spans="1:12" s="204" customFormat="1" ht="13" x14ac:dyDescent="0.25">
      <c r="A19" s="205">
        <v>15</v>
      </c>
      <c r="B19" s="286"/>
      <c r="C19" s="289"/>
      <c r="D19" s="288"/>
      <c r="E19" s="283"/>
      <c r="F19" s="283"/>
      <c r="G19" s="283"/>
      <c r="H19" s="283"/>
      <c r="I19" s="283"/>
      <c r="J19" s="283"/>
      <c r="K19" s="281"/>
      <c r="L19" s="282"/>
    </row>
    <row r="20" spans="1:12" s="204" customFormat="1" ht="13" x14ac:dyDescent="0.25">
      <c r="A20" s="205">
        <v>16</v>
      </c>
      <c r="B20" s="286"/>
      <c r="C20" s="289"/>
      <c r="D20" s="288"/>
      <c r="E20" s="283"/>
      <c r="F20" s="283"/>
      <c r="G20" s="283"/>
      <c r="H20" s="283"/>
      <c r="I20" s="283"/>
      <c r="J20" s="283"/>
      <c r="K20" s="281"/>
      <c r="L20" s="282"/>
    </row>
    <row r="21" spans="1:12" s="204" customFormat="1" ht="13" x14ac:dyDescent="0.25">
      <c r="A21" s="205">
        <v>17</v>
      </c>
      <c r="B21" s="286"/>
      <c r="C21" s="289"/>
      <c r="D21" s="288"/>
      <c r="E21" s="283"/>
      <c r="F21" s="283"/>
      <c r="G21" s="283"/>
      <c r="H21" s="283"/>
      <c r="I21" s="283"/>
      <c r="J21" s="283"/>
      <c r="K21" s="281"/>
      <c r="L21" s="282"/>
    </row>
    <row r="22" spans="1:12" s="204" customFormat="1" ht="13" x14ac:dyDescent="0.25">
      <c r="A22" s="205">
        <v>18</v>
      </c>
      <c r="B22" s="290"/>
      <c r="C22" s="289"/>
      <c r="D22" s="288"/>
      <c r="E22" s="283"/>
      <c r="F22" s="283"/>
      <c r="G22" s="283"/>
      <c r="H22" s="283"/>
      <c r="I22" s="283"/>
      <c r="J22" s="283"/>
      <c r="K22" s="281"/>
      <c r="L22" s="282"/>
    </row>
    <row r="23" spans="1:12" s="204" customFormat="1" ht="13" x14ac:dyDescent="0.25">
      <c r="A23" s="205">
        <v>19</v>
      </c>
      <c r="B23" s="290"/>
      <c r="C23" s="289"/>
      <c r="D23" s="288"/>
      <c r="E23" s="283"/>
      <c r="F23" s="283"/>
      <c r="G23" s="283"/>
      <c r="H23" s="283"/>
      <c r="I23" s="283"/>
      <c r="J23" s="283"/>
      <c r="K23" s="281"/>
      <c r="L23" s="282"/>
    </row>
    <row r="24" spans="1:12" s="204" customFormat="1" ht="13" x14ac:dyDescent="0.25">
      <c r="A24" s="481" t="s">
        <v>280</v>
      </c>
      <c r="B24" s="482"/>
      <c r="C24" s="482"/>
      <c r="D24" s="482"/>
      <c r="E24" s="482"/>
      <c r="F24" s="482"/>
      <c r="G24" s="482"/>
      <c r="H24" s="482"/>
      <c r="I24" s="482"/>
      <c r="J24" s="483"/>
      <c r="K24" s="625">
        <f>SUM(L11:L23)</f>
        <v>918.32249999999999</v>
      </c>
      <c r="L24" s="626"/>
    </row>
    <row r="25" spans="1:12" s="204" customFormat="1" ht="13" x14ac:dyDescent="0.25">
      <c r="A25" s="189"/>
      <c r="B25" s="189"/>
      <c r="C25" s="189"/>
      <c r="D25" s="189"/>
      <c r="E25" s="189"/>
      <c r="F25" s="189"/>
      <c r="G25" s="189"/>
      <c r="H25" s="189"/>
      <c r="I25" s="189"/>
      <c r="J25" s="189"/>
      <c r="K25" s="250"/>
      <c r="L25" s="250"/>
    </row>
    <row r="26" spans="1:12" s="204" customFormat="1" ht="13" x14ac:dyDescent="0.3">
      <c r="A26" s="481" t="s">
        <v>281</v>
      </c>
      <c r="B26" s="482"/>
      <c r="C26" s="482"/>
      <c r="D26" s="482"/>
      <c r="E26" s="482"/>
      <c r="F26" s="482"/>
      <c r="G26" s="482"/>
      <c r="H26" s="482"/>
      <c r="I26" s="482"/>
      <c r="J26" s="483"/>
      <c r="K26" s="486">
        <f>(K24*10%)/12/Resumo!I6</f>
        <v>3.4510428410372045</v>
      </c>
      <c r="L26" s="487"/>
    </row>
    <row r="27" spans="1:12" s="204" customFormat="1" ht="13" x14ac:dyDescent="0.25">
      <c r="A27" s="189"/>
      <c r="B27" s="189"/>
      <c r="C27" s="189"/>
      <c r="D27" s="189"/>
      <c r="E27" s="189"/>
      <c r="F27" s="189"/>
      <c r="G27" s="189"/>
      <c r="H27" s="189"/>
      <c r="I27" s="189"/>
      <c r="J27" s="189"/>
      <c r="K27" s="238"/>
      <c r="L27" s="238"/>
    </row>
    <row r="28" spans="1:12" s="204" customFormat="1" x14ac:dyDescent="0.25">
      <c r="A28" s="539"/>
      <c r="B28" s="540"/>
      <c r="C28" s="545" t="s">
        <v>261</v>
      </c>
      <c r="D28" s="548"/>
      <c r="E28" s="549"/>
      <c r="F28" s="549"/>
      <c r="G28" s="549"/>
      <c r="H28" s="549"/>
      <c r="I28" s="549"/>
      <c r="J28" s="549"/>
      <c r="K28" s="549"/>
      <c r="L28" s="550"/>
    </row>
    <row r="29" spans="1:12" s="204" customFormat="1" x14ac:dyDescent="0.25">
      <c r="A29" s="541"/>
      <c r="B29" s="542"/>
      <c r="C29" s="546"/>
      <c r="D29" s="551"/>
      <c r="E29" s="552"/>
      <c r="F29" s="552"/>
      <c r="G29" s="552"/>
      <c r="H29" s="552"/>
      <c r="I29" s="552"/>
      <c r="J29" s="552"/>
      <c r="K29" s="552"/>
      <c r="L29" s="553"/>
    </row>
    <row r="30" spans="1:12" x14ac:dyDescent="0.25">
      <c r="A30" s="541"/>
      <c r="B30" s="542"/>
      <c r="C30" s="546"/>
      <c r="D30" s="551"/>
      <c r="E30" s="552"/>
      <c r="F30" s="552"/>
      <c r="G30" s="552"/>
      <c r="H30" s="552"/>
      <c r="I30" s="552"/>
      <c r="J30" s="552"/>
      <c r="K30" s="552"/>
      <c r="L30" s="553"/>
    </row>
    <row r="31" spans="1:12" x14ac:dyDescent="0.25">
      <c r="A31" s="543"/>
      <c r="B31" s="544"/>
      <c r="C31" s="547"/>
      <c r="D31" s="554"/>
      <c r="E31" s="555"/>
      <c r="F31" s="555"/>
      <c r="G31" s="555"/>
      <c r="H31" s="555"/>
      <c r="I31" s="555"/>
      <c r="J31" s="555"/>
      <c r="K31" s="555"/>
      <c r="L31" s="556"/>
    </row>
    <row r="33" spans="1:12" x14ac:dyDescent="0.25">
      <c r="A33" s="624" t="s">
        <v>282</v>
      </c>
      <c r="B33" s="558"/>
      <c r="C33" s="558"/>
      <c r="D33" s="558"/>
      <c r="E33" s="558"/>
      <c r="F33" s="558"/>
      <c r="G33" s="558"/>
      <c r="H33" s="558"/>
      <c r="I33" s="558"/>
      <c r="J33" s="558"/>
      <c r="K33" s="558"/>
      <c r="L33" s="559"/>
    </row>
    <row r="34" spans="1:12" ht="20.25" customHeight="1" x14ac:dyDescent="0.25">
      <c r="A34" s="560"/>
      <c r="B34" s="480"/>
      <c r="C34" s="480"/>
      <c r="D34" s="480"/>
      <c r="E34" s="480"/>
      <c r="F34" s="480"/>
      <c r="G34" s="480"/>
      <c r="H34" s="480"/>
      <c r="I34" s="480"/>
      <c r="J34" s="480"/>
      <c r="K34" s="480"/>
      <c r="L34" s="561"/>
    </row>
    <row r="35" spans="1:12" x14ac:dyDescent="0.25">
      <c r="A35" s="560"/>
      <c r="B35" s="480"/>
      <c r="C35" s="480"/>
      <c r="D35" s="480"/>
      <c r="E35" s="480"/>
      <c r="F35" s="480"/>
      <c r="G35" s="480"/>
      <c r="H35" s="480"/>
      <c r="I35" s="480"/>
      <c r="J35" s="480"/>
      <c r="K35" s="480"/>
      <c r="L35" s="561"/>
    </row>
    <row r="36" spans="1:12" ht="14.25" customHeight="1" x14ac:dyDescent="0.25">
      <c r="A36" s="560"/>
      <c r="B36" s="480"/>
      <c r="C36" s="480"/>
      <c r="D36" s="480"/>
      <c r="E36" s="480"/>
      <c r="F36" s="480"/>
      <c r="G36" s="480"/>
      <c r="H36" s="480"/>
      <c r="I36" s="480"/>
      <c r="J36" s="480"/>
      <c r="K36" s="480"/>
      <c r="L36" s="561"/>
    </row>
    <row r="37" spans="1:12" x14ac:dyDescent="0.25">
      <c r="A37" s="562"/>
      <c r="B37" s="563"/>
      <c r="C37" s="563"/>
      <c r="D37" s="563"/>
      <c r="E37" s="563"/>
      <c r="F37" s="563"/>
      <c r="G37" s="563"/>
      <c r="H37" s="563"/>
      <c r="I37" s="563"/>
      <c r="J37" s="563"/>
      <c r="K37" s="563"/>
      <c r="L37" s="564"/>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3:L37"/>
    <mergeCell ref="A24:J24"/>
    <mergeCell ref="K24:L24"/>
    <mergeCell ref="A26:J26"/>
    <mergeCell ref="K26:L26"/>
    <mergeCell ref="A28:B31"/>
    <mergeCell ref="C28:C31"/>
    <mergeCell ref="D28:L31"/>
  </mergeCells>
  <hyperlinks>
    <hyperlink ref="F2" r:id="rId1" xr:uid="{1781DA70-9730-4147-9E5D-DDD6EB5C0FAE}"/>
    <hyperlink ref="F3" r:id="rId2" xr:uid="{4E35AB20-D067-4CF6-B527-6220A515A277}"/>
    <hyperlink ref="F4" r:id="rId3" xr:uid="{0A11B42E-690C-40EE-A9F4-AFF95D4A9DF5}"/>
    <hyperlink ref="F5" r:id="rId4" xr:uid="{5A0BE5D6-7CB4-43E1-93F3-EF724FB14359}"/>
  </hyperlinks>
  <pageMargins left="0.511811024" right="0.511811024" top="0.78740157499999996" bottom="0.78740157499999996" header="0.31496062000000002" footer="0.31496062000000002"/>
  <pageSetup paperSize="9" orientation="landscape" verticalDpi="0" r:id="rId5"/>
  <drawing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16</vt:i4>
      </vt:variant>
    </vt:vector>
  </HeadingPairs>
  <TitlesOfParts>
    <vt:vector size="16" baseType="lpstr">
      <vt:lpstr>Mód2.2</vt:lpstr>
      <vt:lpstr>Resumo</vt:lpstr>
      <vt:lpstr>Servente-Florianópolis</vt:lpstr>
      <vt:lpstr>Servente-Criciuma</vt:lpstr>
      <vt:lpstr>Mód2.3 </vt:lpstr>
      <vt:lpstr>Observações</vt:lpstr>
      <vt:lpstr>Uniform&amp;EPIs </vt:lpstr>
      <vt:lpstr>Materiais Florianópolis</vt:lpstr>
      <vt:lpstr>Eqp Florianópolis</vt:lpstr>
      <vt:lpstr>Mód3</vt:lpstr>
      <vt:lpstr>Mód6</vt:lpstr>
      <vt:lpstr>Mód4</vt:lpstr>
      <vt:lpstr>Materiais Criciuma</vt:lpstr>
      <vt:lpstr>Eqp Criciuma</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2023-08-14T11:56:20Z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