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iago\Downloads\"/>
    </mc:Choice>
  </mc:AlternateContent>
  <xr:revisionPtr revIDLastSave="0" documentId="8_{FAF9B258-EFB5-4315-A721-68746A90F90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ilha1" sheetId="1" r:id="rId1"/>
    <sheet name="Planilha3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" i="1" l="1"/>
  <c r="Z4" i="1" s="1"/>
  <c r="Z21" i="1"/>
  <c r="Y5" i="1"/>
  <c r="Z5" i="1" s="1"/>
  <c r="Y6" i="1"/>
  <c r="Z6" i="1" s="1"/>
  <c r="Y7" i="1"/>
  <c r="Z7" i="1" s="1"/>
  <c r="Y8" i="1"/>
  <c r="Z8" i="1" s="1"/>
  <c r="Y9" i="1"/>
  <c r="Z9" i="1" s="1"/>
  <c r="Y10" i="1"/>
  <c r="Z10" i="1" s="1"/>
  <c r="Y11" i="1"/>
  <c r="Z11" i="1" s="1"/>
  <c r="Y12" i="1"/>
  <c r="Z12" i="1" s="1"/>
  <c r="Y13" i="1"/>
  <c r="Z13" i="1" s="1"/>
  <c r="Y14" i="1"/>
  <c r="Z14" i="1" s="1"/>
  <c r="Y15" i="1"/>
  <c r="Z15" i="1" s="1"/>
  <c r="Y16" i="1"/>
  <c r="Z16" i="1" s="1"/>
  <c r="Y17" i="1"/>
  <c r="Z17" i="1" s="1"/>
  <c r="Y18" i="1"/>
  <c r="Z18" i="1" s="1"/>
  <c r="Y19" i="1"/>
  <c r="Z19" i="1" s="1"/>
  <c r="Y20" i="1"/>
  <c r="Z20" i="1" s="1"/>
  <c r="Y21" i="1"/>
  <c r="Y22" i="1"/>
  <c r="Z22" i="1" s="1"/>
  <c r="Y23" i="1"/>
  <c r="Z23" i="1" s="1"/>
  <c r="Y24" i="1"/>
  <c r="Z24" i="1" s="1"/>
  <c r="Y25" i="1"/>
  <c r="Z25" i="1" s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O16" i="1"/>
  <c r="O17" i="1"/>
  <c r="O15" i="1"/>
  <c r="O9" i="1"/>
  <c r="O7" i="1"/>
  <c r="I11" i="1"/>
  <c r="O11" i="1" s="1"/>
  <c r="L4" i="1"/>
  <c r="H8" i="3"/>
  <c r="F8" i="3"/>
  <c r="F7" i="3"/>
  <c r="F6" i="3"/>
  <c r="E6" i="3"/>
  <c r="I21" i="1"/>
  <c r="O21" i="1" s="1"/>
  <c r="I22" i="1"/>
  <c r="O22" i="1" s="1"/>
  <c r="I20" i="1"/>
  <c r="O20" i="1" s="1"/>
  <c r="I18" i="1"/>
  <c r="O18" i="1" s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N4" i="1"/>
  <c r="M4" i="1"/>
  <c r="E2" i="3"/>
  <c r="D2" i="3"/>
  <c r="Z26" i="1" l="1"/>
  <c r="V26" i="1"/>
  <c r="P6" i="1"/>
  <c r="S6" i="1" s="1"/>
  <c r="P18" i="1"/>
  <c r="Q18" i="1" s="1"/>
  <c r="R18" i="1" s="1"/>
  <c r="P17" i="1"/>
  <c r="Q17" i="1" s="1"/>
  <c r="R17" i="1" s="1"/>
  <c r="P16" i="1"/>
  <c r="Q16" i="1" s="1"/>
  <c r="R16" i="1" s="1"/>
  <c r="P10" i="1"/>
  <c r="Q10" i="1" s="1"/>
  <c r="P9" i="1"/>
  <c r="Q9" i="1" s="1"/>
  <c r="R9" i="1" s="1"/>
  <c r="P24" i="1"/>
  <c r="Q24" i="1" s="1"/>
  <c r="R24" i="1" s="1"/>
  <c r="P25" i="1"/>
  <c r="Q25" i="1" s="1"/>
  <c r="P7" i="1"/>
  <c r="Q7" i="1" s="1"/>
  <c r="P14" i="1"/>
  <c r="P22" i="1"/>
  <c r="P21" i="1"/>
  <c r="P13" i="1"/>
  <c r="P23" i="1"/>
  <c r="P15" i="1"/>
  <c r="P8" i="1"/>
  <c r="P19" i="1"/>
  <c r="S19" i="1" s="1"/>
  <c r="P11" i="1"/>
  <c r="S11" i="1" s="1"/>
  <c r="P4" i="1"/>
  <c r="Q4" i="1" s="1"/>
  <c r="P20" i="1"/>
  <c r="P12" i="1"/>
  <c r="P5" i="1"/>
  <c r="S16" i="1"/>
  <c r="S24" i="1"/>
  <c r="S18" i="1" l="1"/>
  <c r="S17" i="1"/>
  <c r="Q6" i="1"/>
  <c r="R6" i="1" s="1"/>
  <c r="S25" i="1"/>
  <c r="R25" i="1"/>
  <c r="S10" i="1"/>
  <c r="S9" i="1"/>
  <c r="R10" i="1"/>
  <c r="S7" i="1"/>
  <c r="R7" i="1"/>
  <c r="R4" i="1"/>
  <c r="Q5" i="1"/>
  <c r="R5" i="1" s="1"/>
  <c r="S21" i="1"/>
  <c r="Q21" i="1"/>
  <c r="R21" i="1" s="1"/>
  <c r="Q15" i="1"/>
  <c r="R15" i="1" s="1"/>
  <c r="Q12" i="1"/>
  <c r="R12" i="1" s="1"/>
  <c r="Q20" i="1"/>
  <c r="R20" i="1" s="1"/>
  <c r="Q11" i="1"/>
  <c r="R11" i="1" s="1"/>
  <c r="S22" i="1"/>
  <c r="Q22" i="1"/>
  <c r="R22" i="1" s="1"/>
  <c r="Q8" i="1"/>
  <c r="R8" i="1" s="1"/>
  <c r="Q23" i="1"/>
  <c r="R23" i="1" s="1"/>
  <c r="S13" i="1"/>
  <c r="Q13" i="1"/>
  <c r="R13" i="1" s="1"/>
  <c r="Q19" i="1"/>
  <c r="R19" i="1" s="1"/>
  <c r="S14" i="1"/>
  <c r="Q14" i="1"/>
  <c r="R14" i="1" s="1"/>
  <c r="S8" i="1"/>
  <c r="S15" i="1"/>
  <c r="S5" i="1"/>
  <c r="S23" i="1"/>
  <c r="S12" i="1"/>
  <c r="S20" i="1"/>
  <c r="S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tc={46983871-894B-46DE-ABB9-C9132F3067C9}</author>
  </authors>
  <commentList>
    <comment ref="O11" authorId="0" shapeId="0" xr:uid="{46983871-894B-46DE-ABB9-C9132F3067C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Semana=7dias</t>
      </text>
    </comment>
  </commentList>
</comments>
</file>

<file path=xl/sharedStrings.xml><?xml version="1.0" encoding="utf-8"?>
<sst xmlns="http://schemas.openxmlformats.org/spreadsheetml/2006/main" count="114" uniqueCount="74">
  <si>
    <t>AQUISIÇÃO DE ÁGUA MINERAL - LICITAÇÃO NACIONAL</t>
  </si>
  <si>
    <t>ORDEM</t>
  </si>
  <si>
    <t>Unidade Responsável</t>
  </si>
  <si>
    <t>UASG</t>
  </si>
  <si>
    <t>Nome da Futura Contratação</t>
  </si>
  <si>
    <t>Unidade de Fornecimento</t>
  </si>
  <si>
    <t>Quantidade de colaboradores em regime presencial - 8 horas diárias</t>
  </si>
  <si>
    <t>Quantidade de colaboradores em regime presencial - 6 horas diárias</t>
  </si>
  <si>
    <t>Quantidade de colaboradores em regime presencial - 4 horas diárias</t>
  </si>
  <si>
    <t>Outras Jornadas (por hora/semana)</t>
  </si>
  <si>
    <t>Quantidade de colaboradores em regime presencial - outras jornadas de trabalhos (especificar cada caso)</t>
  </si>
  <si>
    <t>OBS</t>
  </si>
  <si>
    <t>CÁLCULO DO QUANTITATIVO EM RAZÃO DO Nº DE COLABORADORES E JORADA DE TRABALHO</t>
  </si>
  <si>
    <t>CUSTO UNITÁRIO</t>
  </si>
  <si>
    <t>VALOR ANUAL ESTIMADO (COM ADICIONAL)</t>
  </si>
  <si>
    <t>Jornada de 8 HORAS (galões/dia)</t>
  </si>
  <si>
    <t>Jornada de 6 HORAS (galões/dia)</t>
  </si>
  <si>
    <t>Jornada de 4 HORAS (galões/dia)</t>
  </si>
  <si>
    <t>Outras Jornadas (galões/dia)</t>
  </si>
  <si>
    <t>GALÕES DE 20l/DIA</t>
  </si>
  <si>
    <t>Adicional + 15%/dia (força tarefa, visitantes, clientes, verão)</t>
  </si>
  <si>
    <t>GALÕES DE 20l/MÊS (com adicional)</t>
  </si>
  <si>
    <t>GALÕES DE 20l/MÊS (sem adicional)</t>
  </si>
  <si>
    <t>GER-MG</t>
  </si>
  <si>
    <t>Aquisição de água mineral</t>
  </si>
  <si>
    <t>Garafão de 20L</t>
  </si>
  <si>
    <t>GER-MG/UAGV</t>
  </si>
  <si>
    <t>GER-MG/UAPM</t>
  </si>
  <si>
    <t>GER-MT</t>
  </si>
  <si>
    <t>1 (pessoa com jornada de 4hs 2 x na semana)</t>
  </si>
  <si>
    <t>1 estudante de mestrado 8hs por dia 5 dias por semana; 6 servidores em força tarefa 8hs por dia por 5 dias por semana</t>
  </si>
  <si>
    <t>GER-PA</t>
  </si>
  <si>
    <t>Garrafão de 20L</t>
  </si>
  <si>
    <t>GER-SC</t>
  </si>
  <si>
    <t>Aquisição de Água mineral</t>
  </si>
  <si>
    <t>2 (1 dia na semana, 4h)</t>
  </si>
  <si>
    <t>GER-SC/UAC</t>
  </si>
  <si>
    <t>GER-CE</t>
  </si>
  <si>
    <t>1 (24h - 7 dias por semana)</t>
  </si>
  <si>
    <t>Obs.: 13 usuários externos/mês (média dos últimos 6 meses)</t>
  </si>
  <si>
    <t>GER-PB</t>
  </si>
  <si>
    <t>Obs.: 45 usuários externos/mês (Média de Janeiro a Junho/2023)</t>
  </si>
  <si>
    <t>GER-PE</t>
  </si>
  <si>
    <t>GER-RO</t>
  </si>
  <si>
    <t>2 (2 dias da semana 04/horas)</t>
  </si>
  <si>
    <t>GER-TO</t>
  </si>
  <si>
    <t>1 (1 dia na semana, 4h)</t>
  </si>
  <si>
    <t>GER-AL</t>
  </si>
  <si>
    <t>1 (1 dia com 4h/semana)</t>
  </si>
  <si>
    <t>GER-RR</t>
  </si>
  <si>
    <t>1 (24h 7 dias semanais)</t>
  </si>
  <si>
    <t>média de 4 usuários externos por dia</t>
  </si>
  <si>
    <t>GER-GO</t>
  </si>
  <si>
    <t>4 (2 vezes por semana, meio período) e 3 usuários externos por dia, em média</t>
  </si>
  <si>
    <t>GER-AP</t>
  </si>
  <si>
    <t>4 (12h/36h) vigilância</t>
  </si>
  <si>
    <t>GER-PI</t>
  </si>
  <si>
    <t>1 ( 4h diárias 2 vezes na semana)</t>
  </si>
  <si>
    <t>GER-RN</t>
  </si>
  <si>
    <t>2 (6h diárias, 2 vezes na semana); 3 (veem ao menos 1 dia por semana).</t>
  </si>
  <si>
    <t>GER-BA</t>
  </si>
  <si>
    <t>4 (6h diárias, 2 vezes na semana); 3 (veem ao menos 1 dia por semana).</t>
  </si>
  <si>
    <t>GER-RJ</t>
  </si>
  <si>
    <t>12  servidores em teletrabalho parcial ; com no mínimo 1 e no máximo de 2 presenças semanais.</t>
  </si>
  <si>
    <t>GER-SP</t>
  </si>
  <si>
    <t>GER-MA</t>
  </si>
  <si>
    <t>8 HORAS</t>
  </si>
  <si>
    <t>6 HORAS</t>
  </si>
  <si>
    <t>POR DIA</t>
  </si>
  <si>
    <t>POR MÊS</t>
  </si>
  <si>
    <t>QTD GALÕES DE 20l/30 MESES</t>
  </si>
  <si>
    <t>ÍNDICE DE CORREÇÃO (IPCA)</t>
  </si>
  <si>
    <t>CUSTO UNITÁRIO (CORRIGIDO)</t>
  </si>
  <si>
    <t>VALOR ANUAL ESTIMADO (COM ADICIONAL) (CORRIGIDO)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</si>
</sst>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000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44" fontId="0" fillId="0" borderId="0" xfId="0" applyNumberFormat="1"/>
    <xf numFmtId="44" fontId="2" fillId="0" borderId="7" xfId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44" fontId="8" fillId="0" borderId="1" xfId="1" applyFont="1" applyBorder="1" applyAlignment="1">
      <alignment horizontal="center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44" fontId="0" fillId="0" borderId="1" xfId="1" applyFon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osé Iago Pereira dos Santos" id="{2F55DAC7-BE63-4414-8BFD-808B63BD698A}" userId="S::jose.iago@anm.gov.br::2752c812-b611-41d0-8af7-114ced3d0827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11" dT="2023-07-20T22:07:01.89" personId="{2F55DAC7-BE63-4414-8BFD-808B63BD698A}" id="{46983871-894B-46DE-ABB9-C9132F3067C9}">
    <text>Semana=7dias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6"/>
  <sheetViews>
    <sheetView tabSelected="1" topLeftCell="O2" zoomScale="85" zoomScaleNormal="85" workbookViewId="0">
      <pane ySplit="2" topLeftCell="A4" activePane="bottomLeft" state="frozen"/>
      <selection pane="bottomLeft" activeCell="Y2" sqref="Y2:Y3"/>
    </sheetView>
  </sheetViews>
  <sheetFormatPr defaultRowHeight="14.5" x14ac:dyDescent="0.35"/>
  <cols>
    <col min="1" max="1" width="14.26953125" style="9" customWidth="1"/>
    <col min="2" max="2" width="34.453125" style="9" customWidth="1"/>
    <col min="3" max="3" width="20.81640625" style="9" customWidth="1"/>
    <col min="4" max="4" width="27.453125" style="9" customWidth="1"/>
    <col min="5" max="6" width="21.1796875" style="9" customWidth="1"/>
    <col min="7" max="8" width="20.81640625" style="9" customWidth="1"/>
    <col min="9" max="9" width="20.81640625" style="6" customWidth="1"/>
    <col min="10" max="10" width="26.1796875" style="5" customWidth="1"/>
    <col min="11" max="11" width="20.7265625" style="8" customWidth="1"/>
    <col min="12" max="12" width="21" customWidth="1"/>
    <col min="13" max="13" width="20.81640625" customWidth="1"/>
    <col min="14" max="14" width="21.81640625" customWidth="1"/>
    <col min="15" max="15" width="23.1796875" style="6" customWidth="1"/>
    <col min="16" max="16" width="29" style="9" customWidth="1"/>
    <col min="17" max="17" width="29.54296875" style="9" customWidth="1"/>
    <col min="18" max="18" width="24.7265625" style="9" customWidth="1"/>
    <col min="19" max="20" width="25.7265625" style="9" customWidth="1"/>
    <col min="21" max="21" width="16" bestFit="1" customWidth="1"/>
    <col min="22" max="22" width="18.1796875" style="14" customWidth="1"/>
    <col min="25" max="25" width="26.90625" bestFit="1" customWidth="1"/>
    <col min="26" max="26" width="27.7265625" bestFit="1" customWidth="1"/>
    <col min="28" max="28" width="9.26953125" bestFit="1" customWidth="1"/>
  </cols>
  <sheetData>
    <row r="1" spans="1:26" ht="33.75" customHeight="1" x14ac:dyDescent="0.3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</row>
    <row r="2" spans="1:26" ht="33.75" customHeight="1" x14ac:dyDescent="0.35">
      <c r="A2" s="44" t="s">
        <v>1</v>
      </c>
      <c r="B2" s="44" t="s">
        <v>2</v>
      </c>
      <c r="C2" s="44" t="s">
        <v>3</v>
      </c>
      <c r="D2" s="44" t="s">
        <v>4</v>
      </c>
      <c r="E2" s="46" t="s">
        <v>5</v>
      </c>
      <c r="F2" s="46" t="s">
        <v>6</v>
      </c>
      <c r="G2" s="46" t="s">
        <v>7</v>
      </c>
      <c r="H2" s="46" t="s">
        <v>8</v>
      </c>
      <c r="I2" s="48" t="s">
        <v>9</v>
      </c>
      <c r="J2" s="48" t="s">
        <v>10</v>
      </c>
      <c r="K2" s="50" t="s">
        <v>11</v>
      </c>
      <c r="L2" s="51" t="s">
        <v>12</v>
      </c>
      <c r="M2" s="52"/>
      <c r="N2" s="52"/>
      <c r="O2" s="52"/>
      <c r="P2" s="52"/>
      <c r="Q2" s="52"/>
      <c r="R2" s="52"/>
      <c r="S2" s="52"/>
      <c r="T2" s="53"/>
      <c r="U2" s="40" t="s">
        <v>13</v>
      </c>
      <c r="V2" s="42" t="s">
        <v>14</v>
      </c>
      <c r="W2" s="27" t="s">
        <v>71</v>
      </c>
      <c r="X2" s="28"/>
      <c r="Y2" s="31" t="s">
        <v>72</v>
      </c>
      <c r="Z2" s="32" t="s">
        <v>73</v>
      </c>
    </row>
    <row r="3" spans="1:26" ht="101.25" customHeight="1" x14ac:dyDescent="0.35">
      <c r="A3" s="45"/>
      <c r="B3" s="45"/>
      <c r="C3" s="45"/>
      <c r="D3" s="45"/>
      <c r="E3" s="47"/>
      <c r="F3" s="47"/>
      <c r="G3" s="47"/>
      <c r="H3" s="47"/>
      <c r="I3" s="49"/>
      <c r="J3" s="49"/>
      <c r="K3" s="47"/>
      <c r="L3" s="7" t="s">
        <v>15</v>
      </c>
      <c r="M3" s="7" t="s">
        <v>16</v>
      </c>
      <c r="N3" s="7" t="s">
        <v>17</v>
      </c>
      <c r="O3" s="13" t="s">
        <v>18</v>
      </c>
      <c r="P3" s="4" t="s">
        <v>19</v>
      </c>
      <c r="Q3" s="7" t="s">
        <v>20</v>
      </c>
      <c r="R3" s="7" t="s">
        <v>21</v>
      </c>
      <c r="S3" s="7" t="s">
        <v>22</v>
      </c>
      <c r="T3" s="7" t="s">
        <v>70</v>
      </c>
      <c r="U3" s="41"/>
      <c r="V3" s="42"/>
      <c r="W3" s="29"/>
      <c r="X3" s="30"/>
      <c r="Y3" s="31"/>
      <c r="Z3" s="33"/>
    </row>
    <row r="4" spans="1:26" ht="42.5" customHeight="1" x14ac:dyDescent="0.35">
      <c r="A4" s="2">
        <v>1</v>
      </c>
      <c r="B4" s="2" t="s">
        <v>23</v>
      </c>
      <c r="C4" s="2">
        <v>323104</v>
      </c>
      <c r="D4" s="2" t="s">
        <v>24</v>
      </c>
      <c r="E4" s="2" t="s">
        <v>25</v>
      </c>
      <c r="F4" s="3">
        <v>120</v>
      </c>
      <c r="G4" s="2"/>
      <c r="H4" s="2"/>
      <c r="I4" s="11"/>
      <c r="J4" s="10"/>
      <c r="K4" s="3"/>
      <c r="L4" s="2">
        <f t="shared" ref="L4:L25" si="0">((F4*8)*0.25)/20</f>
        <v>12</v>
      </c>
      <c r="M4" s="2">
        <f t="shared" ref="M4:M25" si="1">((G4*6)*0.25)/20</f>
        <v>0</v>
      </c>
      <c r="N4" s="2">
        <f t="shared" ref="N4:N25" si="2">((H4*4)*0.25)/20</f>
        <v>0</v>
      </c>
      <c r="O4" s="11"/>
      <c r="P4" s="2">
        <f>SUM(L4:O4)</f>
        <v>12</v>
      </c>
      <c r="Q4" s="2">
        <f>(P4*15%)</f>
        <v>1.7999999999999998</v>
      </c>
      <c r="R4" s="18">
        <f>(P4+Q4)*22</f>
        <v>303.60000000000002</v>
      </c>
      <c r="S4" s="18">
        <f>P4*22</f>
        <v>264</v>
      </c>
      <c r="T4" s="20">
        <v>9120</v>
      </c>
      <c r="U4" s="23">
        <v>10.82</v>
      </c>
      <c r="V4" s="24">
        <f>T4*U4</f>
        <v>98678.400000000009</v>
      </c>
      <c r="W4" s="34">
        <v>1.34641E-2</v>
      </c>
      <c r="X4" s="35"/>
      <c r="Y4" s="54">
        <f>ROUND(U4+(U4*$W$4),2)</f>
        <v>10.97</v>
      </c>
      <c r="Z4" s="54">
        <f>ROUND(Y4*T4,2)</f>
        <v>100046.39999999999</v>
      </c>
    </row>
    <row r="5" spans="1:26" ht="41.5" customHeight="1" x14ac:dyDescent="0.35">
      <c r="A5" s="2">
        <v>2</v>
      </c>
      <c r="B5" s="2" t="s">
        <v>26</v>
      </c>
      <c r="C5" s="2">
        <v>323104</v>
      </c>
      <c r="D5" s="2" t="s">
        <v>24</v>
      </c>
      <c r="E5" s="2" t="s">
        <v>25</v>
      </c>
      <c r="F5" s="2">
        <v>12</v>
      </c>
      <c r="G5" s="2"/>
      <c r="H5" s="2"/>
      <c r="I5" s="11"/>
      <c r="J5" s="10"/>
      <c r="K5" s="3"/>
      <c r="L5" s="2">
        <f t="shared" si="0"/>
        <v>1.2</v>
      </c>
      <c r="M5" s="2">
        <f t="shared" si="1"/>
        <v>0</v>
      </c>
      <c r="N5" s="2">
        <f t="shared" si="2"/>
        <v>0</v>
      </c>
      <c r="O5" s="11"/>
      <c r="P5" s="2">
        <f t="shared" ref="P5:P25" si="3">SUM(L5:O5)</f>
        <v>1.2</v>
      </c>
      <c r="Q5" s="2">
        <f t="shared" ref="Q5:Q25" si="4">(P5*15%)</f>
        <v>0.18</v>
      </c>
      <c r="R5" s="18">
        <f t="shared" ref="R5:R25" si="5">(P5+Q5)*22</f>
        <v>30.36</v>
      </c>
      <c r="S5" s="18">
        <f t="shared" ref="S5:S25" si="6">P5*22</f>
        <v>26.4</v>
      </c>
      <c r="T5" s="20">
        <v>900</v>
      </c>
      <c r="U5" s="23">
        <v>11.43</v>
      </c>
      <c r="V5" s="24">
        <f t="shared" ref="V5:V25" si="7">T5*U5</f>
        <v>10287</v>
      </c>
      <c r="W5" s="36"/>
      <c r="X5" s="37"/>
      <c r="Y5" s="54">
        <f>ROUND(U5+(U5*$W$4),2)</f>
        <v>11.58</v>
      </c>
      <c r="Z5" s="54">
        <f>ROUND(Y5*T5,2)</f>
        <v>10422</v>
      </c>
    </row>
    <row r="6" spans="1:26" ht="38" customHeight="1" x14ac:dyDescent="0.35">
      <c r="A6" s="2">
        <v>3</v>
      </c>
      <c r="B6" s="2" t="s">
        <v>27</v>
      </c>
      <c r="C6" s="2">
        <v>323104</v>
      </c>
      <c r="D6" s="2" t="s">
        <v>24</v>
      </c>
      <c r="E6" s="2" t="s">
        <v>25</v>
      </c>
      <c r="F6" s="2">
        <v>5</v>
      </c>
      <c r="G6" s="2"/>
      <c r="H6" s="2"/>
      <c r="I6" s="11"/>
      <c r="J6" s="10"/>
      <c r="K6" s="3"/>
      <c r="L6" s="2">
        <f t="shared" si="0"/>
        <v>0.5</v>
      </c>
      <c r="M6" s="2">
        <f t="shared" si="1"/>
        <v>0</v>
      </c>
      <c r="N6" s="2">
        <f t="shared" si="2"/>
        <v>0</v>
      </c>
      <c r="O6" s="11"/>
      <c r="P6" s="2">
        <f t="shared" si="3"/>
        <v>0.5</v>
      </c>
      <c r="Q6" s="2">
        <f t="shared" si="4"/>
        <v>7.4999999999999997E-2</v>
      </c>
      <c r="R6" s="18">
        <f t="shared" si="5"/>
        <v>12.649999999999999</v>
      </c>
      <c r="S6" s="18">
        <f t="shared" si="6"/>
        <v>11</v>
      </c>
      <c r="T6" s="20">
        <v>390</v>
      </c>
      <c r="U6" s="23">
        <v>15</v>
      </c>
      <c r="V6" s="24">
        <f t="shared" si="7"/>
        <v>5850</v>
      </c>
      <c r="W6" s="36"/>
      <c r="X6" s="37"/>
      <c r="Y6" s="54">
        <f>ROUND(U6+(U6*$W$4),2)</f>
        <v>15.2</v>
      </c>
      <c r="Z6" s="54">
        <f>ROUND(Y6*T6,2)</f>
        <v>5928</v>
      </c>
    </row>
    <row r="7" spans="1:26" ht="87" x14ac:dyDescent="0.35">
      <c r="A7" s="2">
        <v>4</v>
      </c>
      <c r="B7" s="2" t="s">
        <v>28</v>
      </c>
      <c r="C7" s="2">
        <v>323107</v>
      </c>
      <c r="D7" s="2" t="s">
        <v>24</v>
      </c>
      <c r="E7" s="2" t="s">
        <v>25</v>
      </c>
      <c r="F7" s="2">
        <v>24</v>
      </c>
      <c r="G7" s="2">
        <v>2</v>
      </c>
      <c r="H7" s="2">
        <v>1</v>
      </c>
      <c r="I7" s="11">
        <v>8</v>
      </c>
      <c r="J7" s="10" t="s">
        <v>29</v>
      </c>
      <c r="K7" s="3" t="s">
        <v>30</v>
      </c>
      <c r="L7" s="2">
        <f t="shared" si="0"/>
        <v>2.4</v>
      </c>
      <c r="M7" s="2">
        <f t="shared" si="1"/>
        <v>0.15</v>
      </c>
      <c r="N7" s="2">
        <f t="shared" si="2"/>
        <v>0.05</v>
      </c>
      <c r="O7" s="11">
        <f>((I7*0.25)/5)/20</f>
        <v>0.02</v>
      </c>
      <c r="P7" s="2">
        <f t="shared" si="3"/>
        <v>2.6199999999999997</v>
      </c>
      <c r="Q7" s="2">
        <f t="shared" si="4"/>
        <v>0.39299999999999996</v>
      </c>
      <c r="R7" s="18">
        <f t="shared" si="5"/>
        <v>66.285999999999987</v>
      </c>
      <c r="S7" s="18">
        <f t="shared" si="6"/>
        <v>57.639999999999993</v>
      </c>
      <c r="T7" s="20">
        <v>1980</v>
      </c>
      <c r="U7" s="23">
        <v>10.27</v>
      </c>
      <c r="V7" s="24">
        <f t="shared" si="7"/>
        <v>20334.599999999999</v>
      </c>
      <c r="W7" s="36"/>
      <c r="X7" s="37"/>
      <c r="Y7" s="54">
        <f>ROUND(U7+(U7*$W$4),2)</f>
        <v>10.41</v>
      </c>
      <c r="Z7" s="54">
        <f>ROUND(Y7*T7,2)</f>
        <v>20611.8</v>
      </c>
    </row>
    <row r="8" spans="1:26" ht="41" customHeight="1" x14ac:dyDescent="0.35">
      <c r="A8" s="2">
        <v>5</v>
      </c>
      <c r="B8" s="2" t="s">
        <v>31</v>
      </c>
      <c r="C8" s="2">
        <v>323108</v>
      </c>
      <c r="D8" s="2" t="s">
        <v>24</v>
      </c>
      <c r="E8" s="2" t="s">
        <v>32</v>
      </c>
      <c r="F8" s="2">
        <v>59</v>
      </c>
      <c r="G8" s="2"/>
      <c r="H8" s="2">
        <v>6</v>
      </c>
      <c r="I8" s="11"/>
      <c r="J8" s="10"/>
      <c r="K8" s="3"/>
      <c r="L8" s="2">
        <f t="shared" si="0"/>
        <v>5.9</v>
      </c>
      <c r="M8" s="2">
        <f t="shared" si="1"/>
        <v>0</v>
      </c>
      <c r="N8" s="2">
        <f t="shared" si="2"/>
        <v>0.3</v>
      </c>
      <c r="O8" s="11"/>
      <c r="P8" s="2">
        <f t="shared" si="3"/>
        <v>6.2</v>
      </c>
      <c r="Q8" s="2">
        <f t="shared" si="4"/>
        <v>0.92999999999999994</v>
      </c>
      <c r="R8" s="18">
        <f t="shared" si="5"/>
        <v>156.85999999999999</v>
      </c>
      <c r="S8" s="18">
        <f t="shared" si="6"/>
        <v>136.4</v>
      </c>
      <c r="T8" s="20">
        <v>4710</v>
      </c>
      <c r="U8" s="23">
        <v>12.57</v>
      </c>
      <c r="V8" s="24">
        <f t="shared" si="7"/>
        <v>59204.700000000004</v>
      </c>
      <c r="W8" s="36"/>
      <c r="X8" s="37"/>
      <c r="Y8" s="54">
        <f>ROUND(U8+(U8*$W$4),2)</f>
        <v>12.74</v>
      </c>
      <c r="Z8" s="54">
        <f>ROUND(Y8*T8,2)</f>
        <v>60005.4</v>
      </c>
    </row>
    <row r="9" spans="1:26" ht="36" customHeight="1" x14ac:dyDescent="0.35">
      <c r="A9" s="2">
        <v>6</v>
      </c>
      <c r="B9" s="12" t="s">
        <v>33</v>
      </c>
      <c r="C9" s="2">
        <v>323109</v>
      </c>
      <c r="D9" s="2" t="s">
        <v>34</v>
      </c>
      <c r="E9" s="2" t="s">
        <v>25</v>
      </c>
      <c r="F9" s="2">
        <v>28</v>
      </c>
      <c r="G9" s="2">
        <v>2</v>
      </c>
      <c r="H9" s="2">
        <v>3</v>
      </c>
      <c r="I9" s="11">
        <v>8</v>
      </c>
      <c r="J9" s="10" t="s">
        <v>35</v>
      </c>
      <c r="K9" s="3"/>
      <c r="L9" s="2">
        <f t="shared" si="0"/>
        <v>2.8</v>
      </c>
      <c r="M9" s="2">
        <f t="shared" si="1"/>
        <v>0.15</v>
      </c>
      <c r="N9" s="2">
        <f t="shared" si="2"/>
        <v>0.15</v>
      </c>
      <c r="O9" s="11">
        <f t="shared" ref="O9" si="8">((I9*0.25)/5)/20</f>
        <v>0.02</v>
      </c>
      <c r="P9" s="2">
        <f t="shared" si="3"/>
        <v>3.1199999999999997</v>
      </c>
      <c r="Q9" s="2">
        <f t="shared" si="4"/>
        <v>0.46799999999999992</v>
      </c>
      <c r="R9" s="18">
        <f t="shared" si="5"/>
        <v>78.935999999999993</v>
      </c>
      <c r="S9" s="18">
        <f t="shared" si="6"/>
        <v>68.639999999999986</v>
      </c>
      <c r="T9" s="20">
        <v>2370</v>
      </c>
      <c r="U9" s="23">
        <v>12.94</v>
      </c>
      <c r="V9" s="24">
        <f t="shared" si="7"/>
        <v>30667.8</v>
      </c>
      <c r="W9" s="36"/>
      <c r="X9" s="37"/>
      <c r="Y9" s="54">
        <f>ROUND(U9+(U9*$W$4),2)</f>
        <v>13.11</v>
      </c>
      <c r="Z9" s="54">
        <f>ROUND(Y9*T9,2)</f>
        <v>31070.7</v>
      </c>
    </row>
    <row r="10" spans="1:26" ht="43" customHeight="1" x14ac:dyDescent="0.35">
      <c r="A10" s="2">
        <v>7</v>
      </c>
      <c r="B10" s="12" t="s">
        <v>36</v>
      </c>
      <c r="C10" s="2">
        <v>323109</v>
      </c>
      <c r="D10" s="2" t="s">
        <v>34</v>
      </c>
      <c r="E10" s="2" t="s">
        <v>25</v>
      </c>
      <c r="F10" s="2">
        <v>3</v>
      </c>
      <c r="G10" s="2"/>
      <c r="H10" s="2">
        <v>2</v>
      </c>
      <c r="I10" s="11"/>
      <c r="J10" s="10"/>
      <c r="K10" s="3"/>
      <c r="L10" s="2">
        <f t="shared" si="0"/>
        <v>0.3</v>
      </c>
      <c r="M10" s="2">
        <f t="shared" si="1"/>
        <v>0</v>
      </c>
      <c r="N10" s="2">
        <f t="shared" si="2"/>
        <v>0.1</v>
      </c>
      <c r="O10" s="11"/>
      <c r="P10" s="2">
        <f t="shared" si="3"/>
        <v>0.4</v>
      </c>
      <c r="Q10" s="2">
        <f t="shared" si="4"/>
        <v>0.06</v>
      </c>
      <c r="R10" s="18">
        <f t="shared" si="5"/>
        <v>10.120000000000001</v>
      </c>
      <c r="S10" s="18">
        <f t="shared" si="6"/>
        <v>8.8000000000000007</v>
      </c>
      <c r="T10" s="20">
        <v>300</v>
      </c>
      <c r="U10" s="25">
        <v>13</v>
      </c>
      <c r="V10" s="24">
        <f t="shared" si="7"/>
        <v>3900</v>
      </c>
      <c r="W10" s="36"/>
      <c r="X10" s="37"/>
      <c r="Y10" s="54">
        <f>ROUND(U10+(U10*$W$4),2)</f>
        <v>13.18</v>
      </c>
      <c r="Z10" s="54">
        <f>ROUND(Y10*T10,2)</f>
        <v>3954</v>
      </c>
    </row>
    <row r="11" spans="1:26" ht="43.5" x14ac:dyDescent="0.35">
      <c r="A11" s="2">
        <v>8</v>
      </c>
      <c r="B11" s="2" t="s">
        <v>37</v>
      </c>
      <c r="C11" s="2">
        <v>323116</v>
      </c>
      <c r="D11" s="2" t="s">
        <v>24</v>
      </c>
      <c r="E11" s="2" t="s">
        <v>25</v>
      </c>
      <c r="F11" s="2">
        <v>18</v>
      </c>
      <c r="G11" s="2">
        <v>1</v>
      </c>
      <c r="H11" s="2">
        <v>2</v>
      </c>
      <c r="I11" s="11">
        <f>24*7</f>
        <v>168</v>
      </c>
      <c r="J11" s="10" t="s">
        <v>38</v>
      </c>
      <c r="K11" s="3" t="s">
        <v>39</v>
      </c>
      <c r="L11" s="2">
        <f t="shared" si="0"/>
        <v>1.8</v>
      </c>
      <c r="M11" s="2">
        <f t="shared" si="1"/>
        <v>7.4999999999999997E-2</v>
      </c>
      <c r="N11" s="2">
        <f t="shared" si="2"/>
        <v>0.1</v>
      </c>
      <c r="O11" s="11">
        <f>(((I11*0.25)/7)/20)</f>
        <v>0.3</v>
      </c>
      <c r="P11" s="2">
        <f t="shared" si="3"/>
        <v>2.2749999999999999</v>
      </c>
      <c r="Q11" s="2">
        <f t="shared" si="4"/>
        <v>0.34125</v>
      </c>
      <c r="R11" s="18">
        <f t="shared" si="5"/>
        <v>57.557499999999997</v>
      </c>
      <c r="S11" s="18">
        <f t="shared" si="6"/>
        <v>50.05</v>
      </c>
      <c r="T11" s="20">
        <v>1740</v>
      </c>
      <c r="U11" s="23">
        <v>9.5</v>
      </c>
      <c r="V11" s="24">
        <f t="shared" si="7"/>
        <v>16530</v>
      </c>
      <c r="W11" s="36"/>
      <c r="X11" s="37"/>
      <c r="Y11" s="54">
        <f>ROUND(U11+(U11*$W$4),2)</f>
        <v>9.6300000000000008</v>
      </c>
      <c r="Z11" s="54">
        <f>ROUND(Y11*T11,2)</f>
        <v>16756.2</v>
      </c>
    </row>
    <row r="12" spans="1:26" ht="74.25" customHeight="1" x14ac:dyDescent="0.35">
      <c r="A12" s="2">
        <v>9</v>
      </c>
      <c r="B12" s="2" t="s">
        <v>40</v>
      </c>
      <c r="C12" s="2">
        <v>323118</v>
      </c>
      <c r="D12" s="2" t="s">
        <v>24</v>
      </c>
      <c r="E12" s="2" t="s">
        <v>25</v>
      </c>
      <c r="F12" s="2">
        <v>12</v>
      </c>
      <c r="G12" s="2">
        <v>1</v>
      </c>
      <c r="H12" s="2">
        <v>2</v>
      </c>
      <c r="I12" s="11"/>
      <c r="J12" s="10"/>
      <c r="K12" s="3" t="s">
        <v>41</v>
      </c>
      <c r="L12" s="2">
        <f t="shared" si="0"/>
        <v>1.2</v>
      </c>
      <c r="M12" s="2">
        <f t="shared" si="1"/>
        <v>7.4999999999999997E-2</v>
      </c>
      <c r="N12" s="2">
        <f t="shared" si="2"/>
        <v>0.1</v>
      </c>
      <c r="O12" s="11"/>
      <c r="P12" s="2">
        <f t="shared" si="3"/>
        <v>1.375</v>
      </c>
      <c r="Q12" s="2">
        <f t="shared" si="4"/>
        <v>0.20624999999999999</v>
      </c>
      <c r="R12" s="18">
        <f t="shared" si="5"/>
        <v>34.787500000000001</v>
      </c>
      <c r="S12" s="18">
        <f t="shared" si="6"/>
        <v>30.25</v>
      </c>
      <c r="T12" s="20">
        <v>1050</v>
      </c>
      <c r="U12" s="23">
        <v>9.7100000000000009</v>
      </c>
      <c r="V12" s="24">
        <f t="shared" si="7"/>
        <v>10195.5</v>
      </c>
      <c r="W12" s="36"/>
      <c r="X12" s="37"/>
      <c r="Y12" s="54">
        <f>ROUND(U12+(U12*$W$4),2)</f>
        <v>9.84</v>
      </c>
      <c r="Z12" s="54">
        <f>ROUND(Y12*T12,2)</f>
        <v>10332</v>
      </c>
    </row>
    <row r="13" spans="1:26" ht="38" customHeight="1" x14ac:dyDescent="0.35">
      <c r="A13" s="2">
        <v>10</v>
      </c>
      <c r="B13" s="2" t="s">
        <v>42</v>
      </c>
      <c r="C13" s="2">
        <v>323119</v>
      </c>
      <c r="D13" s="2" t="s">
        <v>24</v>
      </c>
      <c r="E13" s="2" t="s">
        <v>25</v>
      </c>
      <c r="F13" s="2">
        <v>22</v>
      </c>
      <c r="G13" s="2"/>
      <c r="H13" s="2"/>
      <c r="I13" s="11"/>
      <c r="J13" s="10"/>
      <c r="K13" s="3"/>
      <c r="L13" s="2">
        <f t="shared" si="0"/>
        <v>2.2000000000000002</v>
      </c>
      <c r="M13" s="2">
        <f t="shared" si="1"/>
        <v>0</v>
      </c>
      <c r="N13" s="2">
        <f t="shared" si="2"/>
        <v>0</v>
      </c>
      <c r="O13" s="11"/>
      <c r="P13" s="2">
        <f t="shared" si="3"/>
        <v>2.2000000000000002</v>
      </c>
      <c r="Q13" s="2">
        <f t="shared" si="4"/>
        <v>0.33</v>
      </c>
      <c r="R13" s="18">
        <f t="shared" si="5"/>
        <v>55.660000000000004</v>
      </c>
      <c r="S13" s="18">
        <f t="shared" si="6"/>
        <v>48.400000000000006</v>
      </c>
      <c r="T13" s="20">
        <v>1680</v>
      </c>
      <c r="U13" s="23">
        <v>8.52</v>
      </c>
      <c r="V13" s="24">
        <f t="shared" si="7"/>
        <v>14313.599999999999</v>
      </c>
      <c r="W13" s="36"/>
      <c r="X13" s="37"/>
      <c r="Y13" s="54">
        <f>ROUND(U13+(U13*$W$4),2)</f>
        <v>8.6300000000000008</v>
      </c>
      <c r="Z13" s="54">
        <f>ROUND(Y13*T13,2)</f>
        <v>14498.4</v>
      </c>
    </row>
    <row r="14" spans="1:26" ht="42" customHeight="1" x14ac:dyDescent="0.35">
      <c r="A14" s="2">
        <v>11</v>
      </c>
      <c r="B14" s="2" t="s">
        <v>43</v>
      </c>
      <c r="C14" s="2">
        <v>323121</v>
      </c>
      <c r="D14" s="2" t="s">
        <v>24</v>
      </c>
      <c r="E14" s="2" t="s">
        <v>25</v>
      </c>
      <c r="F14" s="2">
        <v>12</v>
      </c>
      <c r="G14" s="2"/>
      <c r="H14" s="2">
        <v>4</v>
      </c>
      <c r="I14" s="11"/>
      <c r="J14" s="10" t="s">
        <v>44</v>
      </c>
      <c r="K14" s="3"/>
      <c r="L14" s="2">
        <f t="shared" si="0"/>
        <v>1.2</v>
      </c>
      <c r="M14" s="2">
        <f t="shared" si="1"/>
        <v>0</v>
      </c>
      <c r="N14" s="2">
        <f t="shared" si="2"/>
        <v>0.2</v>
      </c>
      <c r="O14" s="11"/>
      <c r="P14" s="2">
        <f t="shared" si="3"/>
        <v>1.4</v>
      </c>
      <c r="Q14" s="2">
        <f t="shared" si="4"/>
        <v>0.21</v>
      </c>
      <c r="R14" s="18">
        <f t="shared" si="5"/>
        <v>35.419999999999995</v>
      </c>
      <c r="S14" s="18">
        <f t="shared" si="6"/>
        <v>30.799999999999997</v>
      </c>
      <c r="T14" s="20">
        <v>1050</v>
      </c>
      <c r="U14" s="23">
        <v>8.43</v>
      </c>
      <c r="V14" s="24">
        <f t="shared" si="7"/>
        <v>8851.5</v>
      </c>
      <c r="W14" s="36"/>
      <c r="X14" s="37"/>
      <c r="Y14" s="54">
        <f>ROUND(U14+(U14*$W$4),2)</f>
        <v>8.5399999999999991</v>
      </c>
      <c r="Z14" s="54">
        <f>ROUND(Y14*T14,2)</f>
        <v>8967</v>
      </c>
    </row>
    <row r="15" spans="1:26" ht="41.5" customHeight="1" x14ac:dyDescent="0.35">
      <c r="A15" s="2">
        <v>12</v>
      </c>
      <c r="B15" s="2" t="s">
        <v>45</v>
      </c>
      <c r="C15" s="2">
        <v>323122</v>
      </c>
      <c r="D15" s="2" t="s">
        <v>24</v>
      </c>
      <c r="E15" s="2" t="s">
        <v>25</v>
      </c>
      <c r="F15" s="2">
        <v>10</v>
      </c>
      <c r="G15" s="2"/>
      <c r="H15" s="2">
        <v>2</v>
      </c>
      <c r="I15" s="11">
        <v>4</v>
      </c>
      <c r="J15" s="10" t="s">
        <v>46</v>
      </c>
      <c r="K15" s="3"/>
      <c r="L15" s="2">
        <f t="shared" si="0"/>
        <v>1</v>
      </c>
      <c r="M15" s="2">
        <f t="shared" si="1"/>
        <v>0</v>
      </c>
      <c r="N15" s="2">
        <f t="shared" si="2"/>
        <v>0.1</v>
      </c>
      <c r="O15" s="11">
        <f>((I15*0.25)/5)/20</f>
        <v>0.01</v>
      </c>
      <c r="P15" s="2">
        <f t="shared" si="3"/>
        <v>1.1100000000000001</v>
      </c>
      <c r="Q15" s="2">
        <f t="shared" si="4"/>
        <v>0.16650000000000001</v>
      </c>
      <c r="R15" s="18">
        <f t="shared" si="5"/>
        <v>28.083000000000006</v>
      </c>
      <c r="S15" s="18">
        <f t="shared" si="6"/>
        <v>24.42</v>
      </c>
      <c r="T15" s="20">
        <v>840</v>
      </c>
      <c r="U15" s="23">
        <v>15.13</v>
      </c>
      <c r="V15" s="24">
        <f t="shared" si="7"/>
        <v>12709.2</v>
      </c>
      <c r="W15" s="36"/>
      <c r="X15" s="37"/>
      <c r="Y15" s="54">
        <f>ROUND(U15+(U15*$W$4),2)</f>
        <v>15.33</v>
      </c>
      <c r="Z15" s="54">
        <f>ROUND(Y15*T15,2)</f>
        <v>12877.2</v>
      </c>
    </row>
    <row r="16" spans="1:26" ht="39" customHeight="1" x14ac:dyDescent="0.35">
      <c r="A16" s="2">
        <v>13</v>
      </c>
      <c r="B16" s="2" t="s">
        <v>47</v>
      </c>
      <c r="C16" s="2">
        <v>323123</v>
      </c>
      <c r="D16" s="2" t="s">
        <v>24</v>
      </c>
      <c r="E16" s="2" t="s">
        <v>25</v>
      </c>
      <c r="F16" s="2">
        <v>6</v>
      </c>
      <c r="G16" s="2"/>
      <c r="H16" s="2"/>
      <c r="I16" s="11">
        <v>4</v>
      </c>
      <c r="J16" s="10" t="s">
        <v>48</v>
      </c>
      <c r="K16" s="3"/>
      <c r="L16" s="2">
        <f t="shared" si="0"/>
        <v>0.6</v>
      </c>
      <c r="M16" s="2">
        <f t="shared" si="1"/>
        <v>0</v>
      </c>
      <c r="N16" s="2">
        <f t="shared" si="2"/>
        <v>0</v>
      </c>
      <c r="O16" s="11">
        <f t="shared" ref="O16:O22" si="9">((I16*0.25)/5)/20</f>
        <v>0.01</v>
      </c>
      <c r="P16" s="2">
        <f t="shared" si="3"/>
        <v>0.61</v>
      </c>
      <c r="Q16" s="2">
        <f t="shared" si="4"/>
        <v>9.1499999999999998E-2</v>
      </c>
      <c r="R16" s="18">
        <f t="shared" si="5"/>
        <v>15.433</v>
      </c>
      <c r="S16" s="18">
        <f t="shared" si="6"/>
        <v>13.42</v>
      </c>
      <c r="T16" s="20">
        <v>450</v>
      </c>
      <c r="U16" s="23">
        <v>8.57</v>
      </c>
      <c r="V16" s="24">
        <f t="shared" si="7"/>
        <v>3856.5</v>
      </c>
      <c r="W16" s="36"/>
      <c r="X16" s="37"/>
      <c r="Y16" s="54">
        <f>ROUND(U16+(U16*$W$4),2)</f>
        <v>8.69</v>
      </c>
      <c r="Z16" s="54">
        <f>ROUND(Y16*T16,2)</f>
        <v>3910.5</v>
      </c>
    </row>
    <row r="17" spans="1:28" ht="29" x14ac:dyDescent="0.35">
      <c r="A17" s="2">
        <v>14</v>
      </c>
      <c r="B17" s="2" t="s">
        <v>49</v>
      </c>
      <c r="C17" s="2">
        <v>323127</v>
      </c>
      <c r="D17" s="2" t="s">
        <v>24</v>
      </c>
      <c r="E17" s="2" t="s">
        <v>25</v>
      </c>
      <c r="F17" s="2">
        <v>9</v>
      </c>
      <c r="G17" s="2">
        <v>1</v>
      </c>
      <c r="H17" s="2">
        <v>2</v>
      </c>
      <c r="I17" s="11">
        <v>24</v>
      </c>
      <c r="J17" s="10" t="s">
        <v>50</v>
      </c>
      <c r="K17" s="3" t="s">
        <v>51</v>
      </c>
      <c r="L17" s="2">
        <f t="shared" si="0"/>
        <v>0.9</v>
      </c>
      <c r="M17" s="2">
        <f t="shared" si="1"/>
        <v>7.4999999999999997E-2</v>
      </c>
      <c r="N17" s="2">
        <f t="shared" si="2"/>
        <v>0.1</v>
      </c>
      <c r="O17" s="11">
        <f t="shared" si="9"/>
        <v>0.06</v>
      </c>
      <c r="P17" s="2">
        <f t="shared" si="3"/>
        <v>1.135</v>
      </c>
      <c r="Q17" s="2">
        <f t="shared" si="4"/>
        <v>0.17024999999999998</v>
      </c>
      <c r="R17" s="18">
        <f t="shared" si="5"/>
        <v>28.715499999999999</v>
      </c>
      <c r="S17" s="18">
        <f t="shared" si="6"/>
        <v>24.97</v>
      </c>
      <c r="T17" s="20">
        <v>870</v>
      </c>
      <c r="U17" s="23">
        <v>13.14</v>
      </c>
      <c r="V17" s="24">
        <f t="shared" si="7"/>
        <v>11431.800000000001</v>
      </c>
      <c r="W17" s="36"/>
      <c r="X17" s="37"/>
      <c r="Y17" s="54">
        <f>ROUND(U17+(U17*$W$4),2)</f>
        <v>13.32</v>
      </c>
      <c r="Z17" s="54">
        <f>ROUND(Y17*T17,2)</f>
        <v>11588.4</v>
      </c>
    </row>
    <row r="18" spans="1:28" ht="44" customHeight="1" x14ac:dyDescent="0.35">
      <c r="A18" s="2">
        <v>15</v>
      </c>
      <c r="B18" s="2" t="s">
        <v>52</v>
      </c>
      <c r="C18" s="2">
        <v>323106</v>
      </c>
      <c r="D18" s="2" t="s">
        <v>24</v>
      </c>
      <c r="E18" s="2" t="s">
        <v>32</v>
      </c>
      <c r="F18" s="2">
        <v>17</v>
      </c>
      <c r="G18" s="2">
        <v>6</v>
      </c>
      <c r="H18" s="2">
        <v>8</v>
      </c>
      <c r="I18" s="11">
        <f>(4*(2*4))</f>
        <v>32</v>
      </c>
      <c r="J18" s="10" t="s">
        <v>53</v>
      </c>
      <c r="K18" s="3"/>
      <c r="L18" s="2">
        <f t="shared" si="0"/>
        <v>1.7</v>
      </c>
      <c r="M18" s="2">
        <f t="shared" si="1"/>
        <v>0.45</v>
      </c>
      <c r="N18" s="2">
        <f t="shared" si="2"/>
        <v>0.4</v>
      </c>
      <c r="O18" s="11">
        <f t="shared" si="9"/>
        <v>0.08</v>
      </c>
      <c r="P18" s="2">
        <f t="shared" si="3"/>
        <v>2.63</v>
      </c>
      <c r="Q18" s="2">
        <f t="shared" si="4"/>
        <v>0.39449999999999996</v>
      </c>
      <c r="R18" s="18">
        <f t="shared" si="5"/>
        <v>66.538999999999987</v>
      </c>
      <c r="S18" s="18">
        <f t="shared" si="6"/>
        <v>57.86</v>
      </c>
      <c r="T18" s="20">
        <v>2010</v>
      </c>
      <c r="U18" s="23">
        <v>12.81</v>
      </c>
      <c r="V18" s="24">
        <f t="shared" si="7"/>
        <v>25748.100000000002</v>
      </c>
      <c r="W18" s="36"/>
      <c r="X18" s="37"/>
      <c r="Y18" s="54">
        <f>ROUND(U18+(U18*$W$4),2)</f>
        <v>12.98</v>
      </c>
      <c r="Z18" s="54">
        <f>ROUND(Y18*T18,2)</f>
        <v>26089.8</v>
      </c>
    </row>
    <row r="19" spans="1:28" s="15" customFormat="1" ht="39.5" customHeight="1" x14ac:dyDescent="0.35">
      <c r="A19" s="16">
        <v>16</v>
      </c>
      <c r="B19" s="16" t="s">
        <v>54</v>
      </c>
      <c r="C19" s="16">
        <v>323124</v>
      </c>
      <c r="D19" s="16" t="s">
        <v>24</v>
      </c>
      <c r="E19" s="16" t="s">
        <v>32</v>
      </c>
      <c r="F19" s="16">
        <v>15</v>
      </c>
      <c r="G19" s="16">
        <v>0</v>
      </c>
      <c r="H19" s="16">
        <v>1</v>
      </c>
      <c r="I19" s="16"/>
      <c r="J19" s="17" t="s">
        <v>55</v>
      </c>
      <c r="K19" s="17"/>
      <c r="L19" s="16">
        <f t="shared" si="0"/>
        <v>1.5</v>
      </c>
      <c r="M19" s="16">
        <f t="shared" si="1"/>
        <v>0</v>
      </c>
      <c r="N19" s="16">
        <f t="shared" si="2"/>
        <v>0.05</v>
      </c>
      <c r="O19" s="16"/>
      <c r="P19" s="16">
        <f t="shared" si="3"/>
        <v>1.55</v>
      </c>
      <c r="Q19" s="16">
        <f t="shared" si="4"/>
        <v>0.23249999999999998</v>
      </c>
      <c r="R19" s="19">
        <f t="shared" si="5"/>
        <v>39.214999999999996</v>
      </c>
      <c r="S19" s="19">
        <f t="shared" si="6"/>
        <v>34.1</v>
      </c>
      <c r="T19" s="21">
        <v>1170</v>
      </c>
      <c r="U19" s="23">
        <v>10.56</v>
      </c>
      <c r="V19" s="24">
        <f t="shared" si="7"/>
        <v>12355.2</v>
      </c>
      <c r="W19" s="36"/>
      <c r="X19" s="37"/>
      <c r="Y19" s="54">
        <f>ROUND(U19+(U19*$W$4),2)</f>
        <v>10.7</v>
      </c>
      <c r="Z19" s="54">
        <f>ROUND(Y19*T19,2)</f>
        <v>12519</v>
      </c>
    </row>
    <row r="20" spans="1:28" ht="36" customHeight="1" x14ac:dyDescent="0.35">
      <c r="A20" s="2">
        <v>17</v>
      </c>
      <c r="B20" s="2" t="s">
        <v>56</v>
      </c>
      <c r="C20" s="2">
        <v>323126</v>
      </c>
      <c r="D20" s="2" t="s">
        <v>24</v>
      </c>
      <c r="E20" s="2" t="s">
        <v>32</v>
      </c>
      <c r="F20" s="2">
        <v>9</v>
      </c>
      <c r="G20" s="2"/>
      <c r="H20" s="2">
        <v>2</v>
      </c>
      <c r="I20" s="11">
        <f>1*(4*2)</f>
        <v>8</v>
      </c>
      <c r="J20" s="10" t="s">
        <v>57</v>
      </c>
      <c r="K20" s="3"/>
      <c r="L20" s="2">
        <f t="shared" si="0"/>
        <v>0.9</v>
      </c>
      <c r="M20" s="2">
        <f t="shared" si="1"/>
        <v>0</v>
      </c>
      <c r="N20" s="2">
        <f t="shared" si="2"/>
        <v>0.1</v>
      </c>
      <c r="O20" s="11">
        <f t="shared" si="9"/>
        <v>0.02</v>
      </c>
      <c r="P20" s="2">
        <f t="shared" si="3"/>
        <v>1.02</v>
      </c>
      <c r="Q20" s="2">
        <f t="shared" si="4"/>
        <v>0.153</v>
      </c>
      <c r="R20" s="18">
        <f t="shared" si="5"/>
        <v>25.806000000000001</v>
      </c>
      <c r="S20" s="18">
        <f t="shared" si="6"/>
        <v>22.44</v>
      </c>
      <c r="T20" s="20">
        <v>780</v>
      </c>
      <c r="U20" s="23">
        <v>9.43</v>
      </c>
      <c r="V20" s="24">
        <f t="shared" si="7"/>
        <v>7355.4</v>
      </c>
      <c r="W20" s="36"/>
      <c r="X20" s="37"/>
      <c r="Y20" s="54">
        <f>ROUND(U20+(U20*$W$4),2)</f>
        <v>9.56</v>
      </c>
      <c r="Z20" s="54">
        <f>ROUND(Y20*T20,2)</f>
        <v>7456.8</v>
      </c>
    </row>
    <row r="21" spans="1:28" ht="43.5" x14ac:dyDescent="0.35">
      <c r="A21" s="2">
        <v>18</v>
      </c>
      <c r="B21" s="2" t="s">
        <v>58</v>
      </c>
      <c r="C21" s="2">
        <v>323120</v>
      </c>
      <c r="D21" s="2" t="s">
        <v>24</v>
      </c>
      <c r="E21" s="2" t="s">
        <v>32</v>
      </c>
      <c r="F21" s="2">
        <v>16</v>
      </c>
      <c r="G21" s="2"/>
      <c r="H21" s="2"/>
      <c r="I21" s="11">
        <f>(2*(6*2))+(3*(1*8))</f>
        <v>48</v>
      </c>
      <c r="J21" s="10" t="s">
        <v>59</v>
      </c>
      <c r="K21" s="3"/>
      <c r="L21" s="2">
        <f t="shared" si="0"/>
        <v>1.6</v>
      </c>
      <c r="M21" s="2">
        <f t="shared" si="1"/>
        <v>0</v>
      </c>
      <c r="N21" s="2">
        <f t="shared" si="2"/>
        <v>0</v>
      </c>
      <c r="O21" s="11">
        <f t="shared" si="9"/>
        <v>0.12</v>
      </c>
      <c r="P21" s="2">
        <f t="shared" si="3"/>
        <v>1.7200000000000002</v>
      </c>
      <c r="Q21" s="2">
        <f t="shared" si="4"/>
        <v>0.25800000000000001</v>
      </c>
      <c r="R21" s="18">
        <f t="shared" si="5"/>
        <v>43.516000000000005</v>
      </c>
      <c r="S21" s="18">
        <f t="shared" si="6"/>
        <v>37.840000000000003</v>
      </c>
      <c r="T21" s="20">
        <v>1320</v>
      </c>
      <c r="U21" s="23">
        <v>9.42</v>
      </c>
      <c r="V21" s="24">
        <f t="shared" si="7"/>
        <v>12434.4</v>
      </c>
      <c r="W21" s="36"/>
      <c r="X21" s="37"/>
      <c r="Y21" s="54">
        <f>ROUND(U21+(U21*$W$4),2)</f>
        <v>9.5500000000000007</v>
      </c>
      <c r="Z21" s="54">
        <f>ROUND(Y21*T21,2)</f>
        <v>12606</v>
      </c>
    </row>
    <row r="22" spans="1:28" ht="43.5" x14ac:dyDescent="0.35">
      <c r="A22" s="2">
        <v>19</v>
      </c>
      <c r="B22" s="2" t="s">
        <v>60</v>
      </c>
      <c r="C22" s="2">
        <v>323105</v>
      </c>
      <c r="D22" s="2" t="s">
        <v>24</v>
      </c>
      <c r="E22" s="2" t="s">
        <v>32</v>
      </c>
      <c r="F22" s="2">
        <v>30</v>
      </c>
      <c r="G22" s="2"/>
      <c r="H22" s="2"/>
      <c r="I22" s="11">
        <f>(4*(6*2))+(3*(1*8))</f>
        <v>72</v>
      </c>
      <c r="J22" s="10" t="s">
        <v>61</v>
      </c>
      <c r="K22" s="3"/>
      <c r="L22" s="2">
        <f t="shared" si="0"/>
        <v>3</v>
      </c>
      <c r="M22" s="2">
        <f t="shared" si="1"/>
        <v>0</v>
      </c>
      <c r="N22" s="2">
        <f t="shared" si="2"/>
        <v>0</v>
      </c>
      <c r="O22" s="11">
        <f t="shared" si="9"/>
        <v>0.18</v>
      </c>
      <c r="P22" s="2">
        <f t="shared" si="3"/>
        <v>3.18</v>
      </c>
      <c r="Q22" s="2">
        <f t="shared" si="4"/>
        <v>0.47699999999999998</v>
      </c>
      <c r="R22" s="18">
        <f t="shared" si="5"/>
        <v>80.454000000000008</v>
      </c>
      <c r="S22" s="18">
        <f t="shared" si="6"/>
        <v>69.960000000000008</v>
      </c>
      <c r="T22" s="20">
        <v>2400</v>
      </c>
      <c r="U22" s="23">
        <v>8.83</v>
      </c>
      <c r="V22" s="24">
        <f t="shared" si="7"/>
        <v>21192</v>
      </c>
      <c r="W22" s="36"/>
      <c r="X22" s="37"/>
      <c r="Y22" s="54">
        <f>ROUND(U22+(U22*$W$4),2)</f>
        <v>8.9499999999999993</v>
      </c>
      <c r="Z22" s="54">
        <f>ROUND(Y22*T22,2)</f>
        <v>21480</v>
      </c>
    </row>
    <row r="23" spans="1:28" ht="58" x14ac:dyDescent="0.35">
      <c r="A23" s="2">
        <v>20</v>
      </c>
      <c r="B23" s="2" t="s">
        <v>62</v>
      </c>
      <c r="C23" s="2">
        <v>323107</v>
      </c>
      <c r="D23" s="2" t="s">
        <v>24</v>
      </c>
      <c r="E23" s="2" t="s">
        <v>32</v>
      </c>
      <c r="F23" s="2">
        <v>29</v>
      </c>
      <c r="G23" s="2"/>
      <c r="H23" s="2">
        <v>2</v>
      </c>
      <c r="I23" s="11"/>
      <c r="J23" s="10" t="s">
        <v>63</v>
      </c>
      <c r="K23" s="3"/>
      <c r="L23" s="2">
        <f t="shared" si="0"/>
        <v>2.9</v>
      </c>
      <c r="M23" s="2">
        <f t="shared" si="1"/>
        <v>0</v>
      </c>
      <c r="N23" s="2">
        <f t="shared" si="2"/>
        <v>0.1</v>
      </c>
      <c r="O23" s="11"/>
      <c r="P23" s="2">
        <f t="shared" si="3"/>
        <v>3</v>
      </c>
      <c r="Q23" s="2">
        <f t="shared" si="4"/>
        <v>0.44999999999999996</v>
      </c>
      <c r="R23" s="18">
        <f t="shared" si="5"/>
        <v>75.900000000000006</v>
      </c>
      <c r="S23" s="18">
        <f t="shared" si="6"/>
        <v>66</v>
      </c>
      <c r="T23" s="20">
        <v>2280</v>
      </c>
      <c r="U23" s="23">
        <v>10.17</v>
      </c>
      <c r="V23" s="24">
        <f t="shared" si="7"/>
        <v>23187.599999999999</v>
      </c>
      <c r="W23" s="36"/>
      <c r="X23" s="37"/>
      <c r="Y23" s="54">
        <f>ROUND(U23+(U23*$W$4),2)</f>
        <v>10.31</v>
      </c>
      <c r="Z23" s="54">
        <f>ROUND(Y23*T23,2)</f>
        <v>23506.799999999999</v>
      </c>
    </row>
    <row r="24" spans="1:28" ht="38" customHeight="1" x14ac:dyDescent="0.35">
      <c r="A24" s="2">
        <v>21</v>
      </c>
      <c r="B24" s="2" t="s">
        <v>64</v>
      </c>
      <c r="C24" s="2">
        <v>323110</v>
      </c>
      <c r="D24" s="2" t="s">
        <v>24</v>
      </c>
      <c r="E24" s="2" t="s">
        <v>32</v>
      </c>
      <c r="F24" s="2">
        <v>22</v>
      </c>
      <c r="G24" s="2"/>
      <c r="H24" s="2"/>
      <c r="I24" s="11"/>
      <c r="J24" s="10"/>
      <c r="K24" s="3"/>
      <c r="L24" s="2">
        <f t="shared" si="0"/>
        <v>2.2000000000000002</v>
      </c>
      <c r="M24" s="2">
        <f t="shared" si="1"/>
        <v>0</v>
      </c>
      <c r="N24" s="2">
        <f t="shared" si="2"/>
        <v>0</v>
      </c>
      <c r="O24" s="11"/>
      <c r="P24" s="2">
        <f t="shared" si="3"/>
        <v>2.2000000000000002</v>
      </c>
      <c r="Q24" s="2">
        <f t="shared" si="4"/>
        <v>0.33</v>
      </c>
      <c r="R24" s="18">
        <f t="shared" si="5"/>
        <v>55.660000000000004</v>
      </c>
      <c r="S24" s="18">
        <f t="shared" si="6"/>
        <v>48.400000000000006</v>
      </c>
      <c r="T24" s="20">
        <v>1680</v>
      </c>
      <c r="U24" s="23">
        <v>10.029999999999999</v>
      </c>
      <c r="V24" s="24">
        <f t="shared" si="7"/>
        <v>16850.399999999998</v>
      </c>
      <c r="W24" s="36"/>
      <c r="X24" s="37"/>
      <c r="Y24" s="54">
        <f>ROUND(U24+(U24*$W$4),2)</f>
        <v>10.17</v>
      </c>
      <c r="Z24" s="54">
        <f>ROUND(Y24*T24,2)</f>
        <v>17085.599999999999</v>
      </c>
    </row>
    <row r="25" spans="1:28" ht="42" customHeight="1" x14ac:dyDescent="0.35">
      <c r="A25" s="2">
        <v>22</v>
      </c>
      <c r="B25" s="2" t="s">
        <v>65</v>
      </c>
      <c r="C25" s="2">
        <v>323125</v>
      </c>
      <c r="D25" s="2" t="s">
        <v>24</v>
      </c>
      <c r="E25" s="2" t="s">
        <v>32</v>
      </c>
      <c r="F25" s="2">
        <v>9</v>
      </c>
      <c r="G25" s="2"/>
      <c r="H25" s="2">
        <v>3</v>
      </c>
      <c r="I25" s="11"/>
      <c r="J25" s="10"/>
      <c r="K25" s="3"/>
      <c r="L25" s="2">
        <f t="shared" si="0"/>
        <v>0.9</v>
      </c>
      <c r="M25" s="2">
        <f t="shared" si="1"/>
        <v>0</v>
      </c>
      <c r="N25" s="2">
        <f t="shared" si="2"/>
        <v>0.15</v>
      </c>
      <c r="O25" s="11"/>
      <c r="P25" s="2">
        <f t="shared" si="3"/>
        <v>1.05</v>
      </c>
      <c r="Q25" s="2">
        <f t="shared" si="4"/>
        <v>0.1575</v>
      </c>
      <c r="R25" s="18">
        <f t="shared" si="5"/>
        <v>26.565000000000001</v>
      </c>
      <c r="S25" s="18">
        <f t="shared" si="6"/>
        <v>23.1</v>
      </c>
      <c r="T25" s="20">
        <v>810</v>
      </c>
      <c r="U25" s="23">
        <v>6.67</v>
      </c>
      <c r="V25" s="24">
        <f t="shared" si="7"/>
        <v>5402.7</v>
      </c>
      <c r="W25" s="38"/>
      <c r="X25" s="39"/>
      <c r="Y25" s="54">
        <f>ROUND(U25+(U25*$W$4),2)</f>
        <v>6.76</v>
      </c>
      <c r="Z25" s="54">
        <f>ROUND(Y25*T25,2)</f>
        <v>5475.6</v>
      </c>
    </row>
    <row r="26" spans="1:28" ht="26.5" customHeight="1" x14ac:dyDescent="0.45">
      <c r="V26" s="26">
        <f>SUM(V4:V25)</f>
        <v>431336.4</v>
      </c>
      <c r="W26" s="22"/>
      <c r="X26" s="22"/>
      <c r="Z26" s="26">
        <f>ROUND(SUM(Z4:Z25),2)</f>
        <v>437187.6</v>
      </c>
      <c r="AB26" s="22"/>
    </row>
  </sheetData>
  <mergeCells count="19">
    <mergeCell ref="K2:K3"/>
    <mergeCell ref="L2:T2"/>
    <mergeCell ref="Z2:Z3"/>
    <mergeCell ref="Y2:Y3"/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W2:X3"/>
    <mergeCell ref="W4:X25"/>
    <mergeCell ref="U2:U3"/>
    <mergeCell ref="V2:V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5AF13-9B0D-4411-882E-73D7ADC1D415}">
  <dimension ref="A1:H8"/>
  <sheetViews>
    <sheetView zoomScale="160" zoomScaleNormal="160" workbookViewId="0">
      <selection activeCell="A7" sqref="A7"/>
    </sheetView>
  </sheetViews>
  <sheetFormatPr defaultRowHeight="14.5" x14ac:dyDescent="0.35"/>
  <cols>
    <col min="4" max="5" width="8.7265625" style="1"/>
  </cols>
  <sheetData>
    <row r="1" spans="1:8" x14ac:dyDescent="0.35">
      <c r="A1" t="s">
        <v>66</v>
      </c>
      <c r="B1" t="s">
        <v>67</v>
      </c>
    </row>
    <row r="2" spans="1:8" x14ac:dyDescent="0.35">
      <c r="A2" s="1">
        <v>1</v>
      </c>
      <c r="B2" s="1">
        <v>1</v>
      </c>
      <c r="C2" s="1"/>
      <c r="D2" s="1">
        <f>(A2*8)*0.25</f>
        <v>2</v>
      </c>
      <c r="E2" s="1">
        <f>(B2*6)*0.25</f>
        <v>1.5</v>
      </c>
    </row>
    <row r="5" spans="1:8" x14ac:dyDescent="0.35">
      <c r="E5" s="1" t="s">
        <v>68</v>
      </c>
      <c r="F5" t="s">
        <v>69</v>
      </c>
    </row>
    <row r="6" spans="1:8" x14ac:dyDescent="0.35">
      <c r="D6" s="1">
        <v>24</v>
      </c>
      <c r="E6" s="1">
        <f>D6*0.25</f>
        <v>6</v>
      </c>
      <c r="F6">
        <f>E6*30</f>
        <v>180</v>
      </c>
    </row>
    <row r="7" spans="1:8" x14ac:dyDescent="0.35">
      <c r="F7">
        <f>F6/20</f>
        <v>9</v>
      </c>
    </row>
    <row r="8" spans="1:8" x14ac:dyDescent="0.35">
      <c r="F8">
        <f>F7/30</f>
        <v>0.3</v>
      </c>
      <c r="H8">
        <f>0.02*20</f>
        <v>0.4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AE241EBEF1C847BD7D9E9773DC3D81" ma:contentTypeVersion="14" ma:contentTypeDescription="Crie um novo documento." ma:contentTypeScope="" ma:versionID="39fe65efd570b9989295a665b0342de6">
  <xsd:schema xmlns:xsd="http://www.w3.org/2001/XMLSchema" xmlns:xs="http://www.w3.org/2001/XMLSchema" xmlns:p="http://schemas.microsoft.com/office/2006/metadata/properties" xmlns:ns2="f664ba59-bd10-42fd-aad1-7c4cb888b93d" xmlns:ns3="8be9016c-abf9-4578-ad08-31348c4d38a2" targetNamespace="http://schemas.microsoft.com/office/2006/metadata/properties" ma:root="true" ma:fieldsID="5f3f0e6dc2b06aebcc48f212a29adb31" ns2:_="" ns3:_="">
    <xsd:import namespace="f664ba59-bd10-42fd-aad1-7c4cb888b93d"/>
    <xsd:import namespace="8be9016c-abf9-4578-ad08-31348c4d38a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4ba59-bd10-42fd-aad1-7c4cb888b9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7a2b49f-3c64-4bd4-aa57-caa87dfc3ca1}" ma:internalName="TaxCatchAll" ma:showField="CatchAllData" ma:web="f664ba59-bd10-42fd-aad1-7c4cb888b9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9016c-abf9-4578-ad08-31348c4d38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c054c73c-16f2-45fe-b7f4-a1768d2091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e9016c-abf9-4578-ad08-31348c4d38a2">
      <Terms xmlns="http://schemas.microsoft.com/office/infopath/2007/PartnerControls"/>
    </lcf76f155ced4ddcb4097134ff3c332f>
    <TaxCatchAll xmlns="f664ba59-bd10-42fd-aad1-7c4cb888b93d" xsi:nil="true"/>
  </documentManagement>
</p:properties>
</file>

<file path=customXml/itemProps1.xml><?xml version="1.0" encoding="utf-8"?>
<ds:datastoreItem xmlns:ds="http://schemas.openxmlformats.org/officeDocument/2006/customXml" ds:itemID="{9983518B-788D-4174-8617-6495FA0F3A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4ba59-bd10-42fd-aad1-7c4cb888b93d"/>
    <ds:schemaRef ds:uri="8be9016c-abf9-4578-ad08-31348c4d38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FF4050-4F73-44E4-B86A-22616CCBE3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53B96E-AF44-410E-8EC2-B4496723FB6C}">
  <ds:schemaRefs>
    <ds:schemaRef ds:uri="http://schemas.microsoft.com/office/2006/metadata/properties"/>
    <ds:schemaRef ds:uri="http://schemas.microsoft.com/office/infopath/2007/PartnerControls"/>
    <ds:schemaRef ds:uri="8be9016c-abf9-4578-ad08-31348c4d38a2"/>
    <ds:schemaRef ds:uri="f664ba59-bd10-42fd-aad1-7c4cb888b9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Iago Pereira dos Santos</dc:creator>
  <cp:keywords/>
  <dc:description/>
  <cp:lastModifiedBy>José Iago Pereira dos Santos</cp:lastModifiedBy>
  <cp:revision/>
  <dcterms:created xsi:type="dcterms:W3CDTF">2023-07-06T01:38:02Z</dcterms:created>
  <dcterms:modified xsi:type="dcterms:W3CDTF">2024-01-11T18:09:31Z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0x01010074AE241EBEF1C847BD7D9E9773DC3D81</vt:lpwstr>
  </property>
  <property fmtid="{D5CDD505-2E9C-101B-9397-08002B2CF9AE}" pid="3" name="MediaServiceImageTags">
    <vt:lpwstr/>
  </property>
</Properties>
</file>