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s_\Downloads\"/>
    </mc:Choice>
  </mc:AlternateContent>
  <xr:revisionPtr revIDLastSave="0" documentId="13_ncr:1_{69CC9307-C43F-4D29-AB9C-3BB9ECB6975F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PLANILHA ORÇAMENTÁRIA" sheetId="1" r:id="rId1"/>
    <sheet name="CRONOGRAMA" sheetId="2" r:id="rId2"/>
    <sheet name="TAD" sheetId="3" r:id="rId3"/>
    <sheet name="BDI NORMAL" sheetId="4" r:id="rId4"/>
    <sheet name="COMPOSIÇÃO PRÓPRIA " sheetId="5" r:id="rId5"/>
  </sheets>
  <externalReferences>
    <externalReference r:id="rId6"/>
  </externalReferences>
  <definedNames>
    <definedName name="BDI">[1]BDI!$F$9</definedName>
    <definedName name="BDIR">[1]BDI!$F$23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9" i="5" l="1"/>
  <c r="J68" i="5"/>
  <c r="J67" i="5"/>
  <c r="J66" i="5"/>
  <c r="J65" i="5"/>
  <c r="J64" i="5"/>
  <c r="J63" i="5"/>
  <c r="J57" i="5"/>
  <c r="J56" i="5"/>
  <c r="J55" i="5"/>
  <c r="J54" i="5"/>
  <c r="J53" i="5"/>
  <c r="J52" i="5"/>
  <c r="J51" i="5"/>
  <c r="J50" i="5"/>
  <c r="J58" i="5" s="1"/>
  <c r="H48" i="1" s="1"/>
  <c r="J44" i="5"/>
  <c r="H44" i="5"/>
  <c r="J43" i="5"/>
  <c r="J42" i="5"/>
  <c r="J41" i="5"/>
  <c r="J40" i="5"/>
  <c r="J39" i="5"/>
  <c r="J45" i="5" s="1"/>
  <c r="H24" i="1" s="1"/>
  <c r="J34" i="5"/>
  <c r="J33" i="5"/>
  <c r="J32" i="5"/>
  <c r="J31" i="5"/>
  <c r="J30" i="5"/>
  <c r="J29" i="5"/>
  <c r="J28" i="5"/>
  <c r="J22" i="5"/>
  <c r="J23" i="5" s="1"/>
  <c r="H15" i="1" s="1"/>
  <c r="J21" i="5"/>
  <c r="J20" i="5"/>
  <c r="J19" i="5"/>
  <c r="J18" i="5"/>
  <c r="J17" i="5"/>
  <c r="D21" i="4"/>
  <c r="K15" i="3"/>
  <c r="L15" i="3" s="1"/>
  <c r="F15" i="3"/>
  <c r="I15" i="3" s="1"/>
  <c r="L14" i="3"/>
  <c r="L16" i="3" s="1"/>
  <c r="L19" i="3" s="1"/>
  <c r="K14" i="3"/>
  <c r="F14" i="3"/>
  <c r="I14" i="3" s="1"/>
  <c r="N15" i="2"/>
  <c r="N12" i="2"/>
  <c r="N9" i="2"/>
  <c r="K51" i="1"/>
  <c r="L51" i="1" s="1"/>
  <c r="I51" i="1"/>
  <c r="K50" i="1"/>
  <c r="L50" i="1" s="1"/>
  <c r="I50" i="1"/>
  <c r="F50" i="1"/>
  <c r="H49" i="1"/>
  <c r="K49" i="1" s="1"/>
  <c r="L49" i="1" s="1"/>
  <c r="F49" i="1"/>
  <c r="F48" i="1"/>
  <c r="K45" i="1"/>
  <c r="L45" i="1" s="1"/>
  <c r="I45" i="1"/>
  <c r="F45" i="1"/>
  <c r="K44" i="1"/>
  <c r="L44" i="1" s="1"/>
  <c r="I44" i="1"/>
  <c r="F44" i="1"/>
  <c r="K43" i="1"/>
  <c r="F43" i="1"/>
  <c r="L43" i="1" s="1"/>
  <c r="L42" i="1"/>
  <c r="K42" i="1"/>
  <c r="F42" i="1"/>
  <c r="I42" i="1" s="1"/>
  <c r="K41" i="1"/>
  <c r="L41" i="1" s="1"/>
  <c r="I41" i="1"/>
  <c r="K40" i="1"/>
  <c r="L40" i="1" s="1"/>
  <c r="I40" i="1"/>
  <c r="F40" i="1"/>
  <c r="K39" i="1"/>
  <c r="L39" i="1" s="1"/>
  <c r="I39" i="1"/>
  <c r="F39" i="1"/>
  <c r="K38" i="1"/>
  <c r="F38" i="1"/>
  <c r="L38" i="1" s="1"/>
  <c r="L36" i="1"/>
  <c r="K36" i="1"/>
  <c r="F36" i="1"/>
  <c r="I36" i="1" s="1"/>
  <c r="K35" i="1"/>
  <c r="L35" i="1" s="1"/>
  <c r="I35" i="1"/>
  <c r="F35" i="1"/>
  <c r="K34" i="1"/>
  <c r="L34" i="1" s="1"/>
  <c r="F34" i="1"/>
  <c r="I34" i="1" s="1"/>
  <c r="L33" i="1"/>
  <c r="K33" i="1"/>
  <c r="F33" i="1"/>
  <c r="I33" i="1" s="1"/>
  <c r="K32" i="1"/>
  <c r="L32" i="1" s="1"/>
  <c r="F32" i="1"/>
  <c r="I32" i="1" s="1"/>
  <c r="K31" i="1"/>
  <c r="L31" i="1" s="1"/>
  <c r="I31" i="1"/>
  <c r="K30" i="1"/>
  <c r="L30" i="1" s="1"/>
  <c r="I30" i="1"/>
  <c r="F30" i="1"/>
  <c r="K29" i="1"/>
  <c r="L29" i="1" s="1"/>
  <c r="F29" i="1"/>
  <c r="I29" i="1" s="1"/>
  <c r="K25" i="1"/>
  <c r="F24" i="1"/>
  <c r="K23" i="1"/>
  <c r="L23" i="1" s="1"/>
  <c r="F23" i="1"/>
  <c r="I23" i="1" s="1"/>
  <c r="K22" i="1"/>
  <c r="K21" i="1"/>
  <c r="L21" i="1" s="1"/>
  <c r="F21" i="1"/>
  <c r="I21" i="1" s="1"/>
  <c r="K20" i="1"/>
  <c r="L20" i="1" s="1"/>
  <c r="F20" i="1"/>
  <c r="I20" i="1" s="1"/>
  <c r="K19" i="1"/>
  <c r="K18" i="1"/>
  <c r="H17" i="1"/>
  <c r="I17" i="1" s="1"/>
  <c r="F17" i="1"/>
  <c r="K16" i="1"/>
  <c r="L16" i="1" s="1"/>
  <c r="I16" i="1"/>
  <c r="F16" i="1"/>
  <c r="F15" i="1"/>
  <c r="K14" i="1"/>
  <c r="L14" i="1" s="1"/>
  <c r="F14" i="1"/>
  <c r="F18" i="1" s="1"/>
  <c r="K48" i="1" l="1"/>
  <c r="L48" i="1" s="1"/>
  <c r="I48" i="1"/>
  <c r="L18" i="1"/>
  <c r="I24" i="1"/>
  <c r="K24" i="1"/>
  <c r="L24" i="1" s="1"/>
  <c r="I18" i="1"/>
  <c r="F19" i="1"/>
  <c r="I19" i="1" s="1"/>
  <c r="K15" i="1"/>
  <c r="L15" i="1" s="1"/>
  <c r="I15" i="1"/>
  <c r="L46" i="1"/>
  <c r="I16" i="3"/>
  <c r="L17" i="3" s="1"/>
  <c r="L18" i="3" s="1"/>
  <c r="I14" i="1"/>
  <c r="I26" i="1" s="1"/>
  <c r="K17" i="1"/>
  <c r="L17" i="1" s="1"/>
  <c r="I49" i="1"/>
  <c r="F22" i="1"/>
  <c r="I22" i="1" s="1"/>
  <c r="F25" i="1"/>
  <c r="I25" i="1" s="1"/>
  <c r="I38" i="1"/>
  <c r="I46" i="1" s="1"/>
  <c r="I43" i="1"/>
  <c r="N14" i="2" l="1"/>
  <c r="L22" i="1"/>
  <c r="L19" i="1"/>
  <c r="L25" i="1"/>
  <c r="I52" i="1"/>
  <c r="M53" i="1" s="1"/>
  <c r="L52" i="1"/>
  <c r="N17" i="2" l="1"/>
  <c r="L26" i="1"/>
  <c r="M14" i="2"/>
  <c r="L14" i="2"/>
  <c r="K14" i="2"/>
  <c r="J14" i="2"/>
  <c r="I14" i="2"/>
  <c r="F14" i="2"/>
  <c r="H14" i="2"/>
  <c r="G14" i="2"/>
  <c r="N11" i="2" l="1"/>
  <c r="K17" i="2"/>
  <c r="J17" i="2"/>
  <c r="N18" i="2"/>
  <c r="I17" i="2"/>
  <c r="H17" i="2"/>
  <c r="G17" i="2"/>
  <c r="L17" i="2"/>
  <c r="F17" i="2"/>
  <c r="M17" i="2"/>
  <c r="M54" i="1"/>
  <c r="M55" i="1" s="1"/>
  <c r="M26" i="1" s="1"/>
  <c r="L20" i="3" l="1"/>
  <c r="L21" i="3" s="1"/>
  <c r="E19" i="2" s="1"/>
  <c r="M42" i="1"/>
  <c r="M36" i="1"/>
  <c r="M21" i="1"/>
  <c r="M41" i="1"/>
  <c r="M34" i="1"/>
  <c r="M23" i="1"/>
  <c r="M50" i="1"/>
  <c r="M44" i="1"/>
  <c r="M35" i="1"/>
  <c r="M32" i="1"/>
  <c r="M51" i="1"/>
  <c r="M14" i="1"/>
  <c r="M49" i="1"/>
  <c r="M20" i="1"/>
  <c r="M43" i="1"/>
  <c r="M40" i="1"/>
  <c r="M16" i="1"/>
  <c r="M39" i="1"/>
  <c r="M30" i="1"/>
  <c r="M45" i="1"/>
  <c r="M33" i="1"/>
  <c r="M38" i="1"/>
  <c r="M29" i="1"/>
  <c r="M31" i="1"/>
  <c r="M15" i="1"/>
  <c r="M24" i="1"/>
  <c r="M48" i="1"/>
  <c r="M18" i="1"/>
  <c r="M46" i="1"/>
  <c r="M17" i="1"/>
  <c r="M25" i="1"/>
  <c r="M19" i="1"/>
  <c r="M22" i="1"/>
  <c r="M52" i="1"/>
  <c r="G11" i="2"/>
  <c r="F11" i="2"/>
  <c r="M11" i="2"/>
  <c r="L11" i="2"/>
  <c r="K11" i="2"/>
  <c r="H11" i="2"/>
  <c r="J11" i="2"/>
  <c r="I11" i="2"/>
  <c r="J18" i="2" l="1"/>
  <c r="J19" i="2" s="1"/>
  <c r="F18" i="2"/>
  <c r="F19" i="2" l="1"/>
  <c r="F20" i="2"/>
  <c r="J20" i="2" s="1"/>
</calcChain>
</file>

<file path=xl/sharedStrings.xml><?xml version="1.0" encoding="utf-8"?>
<sst xmlns="http://schemas.openxmlformats.org/spreadsheetml/2006/main" count="506" uniqueCount="272">
  <si>
    <t>AGÊNCIA NACIONAL DE MINERAÇÃO - ANM</t>
  </si>
  <si>
    <t xml:space="preserve">ORÇAMENTO CORTINA DE CONTENÇÃO </t>
  </si>
  <si>
    <t>REFERÊNCIA: SINAPI/BA 11/2021 – DESONERADA</t>
  </si>
  <si>
    <t>ITEM</t>
  </si>
  <si>
    <t>BASE</t>
  </si>
  <si>
    <t>CÓDIGO</t>
  </si>
  <si>
    <t>DISCRIMINAÇÃO ORÇAMENTÁRIA</t>
  </si>
  <si>
    <t>UNIDADE</t>
  </si>
  <si>
    <t>QUANT.</t>
  </si>
  <si>
    <t>MEMÓRIA DE CÁLCULO</t>
  </si>
  <si>
    <t>VALOR UNITÁRIO SEM BDI</t>
  </si>
  <si>
    <t>VALOR TOTAL SEM BDI</t>
  </si>
  <si>
    <t>BDI</t>
  </si>
  <si>
    <t>VALOR UNIT. COM BDI</t>
  </si>
  <si>
    <t>VALOR TOTAL COM BDI</t>
  </si>
  <si>
    <t>% DO VALOR TOTAL</t>
  </si>
  <si>
    <t>SERVIÇOS PRELIMINARES E FINAL</t>
  </si>
  <si>
    <t>1.1</t>
  </si>
  <si>
    <t>SINAPI</t>
  </si>
  <si>
    <t>98524</t>
  </si>
  <si>
    <t>LIMPEZA MANUAL DE VEGETAÇÃO EM TERRENO COM ENXADA</t>
  </si>
  <si>
    <t>M2</t>
  </si>
  <si>
    <t>SOMAGEM DAS AREAS DOS PAINEIS  ((((5+6)*10,6)/2)+(((5+1)*12,04)/2)+(((1+6)*9,24)/2))+((((5+6)*9,74)/2)+(((5+1)*5,37)/2)+(((1+6)*6,87)/2))</t>
  </si>
  <si>
    <t>1.2</t>
  </si>
  <si>
    <t>COMP</t>
  </si>
  <si>
    <t>001</t>
  </si>
  <si>
    <t>PLACA DE OBRA</t>
  </si>
  <si>
    <t>1,8*1,1</t>
  </si>
  <si>
    <t>1.3</t>
  </si>
  <si>
    <t>93584</t>
  </si>
  <si>
    <t>EXECUÇÃO DE DEPÓSITO EM CANTEIRO DE OBRA EM CHAPA DE MADEIRA COMPENSADA, NÃO INCLUSO MOBILIÁRIO.</t>
  </si>
  <si>
    <t>DEPOSITO DIMENSIONADO EM 2,5*3</t>
  </si>
  <si>
    <t>1.4</t>
  </si>
  <si>
    <t>002</t>
  </si>
  <si>
    <t>EQUIPE DE TOPOGRAFIA COMPOSTA DE 1 TOPOGRAFO. AUXILIAR DE TOPOGRAFIA, TEODOLITO E DEMAIS ACESSÓRIOS, INCLUINDO DESENHO</t>
  </si>
  <si>
    <t>H</t>
  </si>
  <si>
    <t>SOMATORIA DAS ÁREAS FEITA NO CAD (94,35+193,08)</t>
  </si>
  <si>
    <t>1.5</t>
  </si>
  <si>
    <t>101114</t>
  </si>
  <si>
    <t>ESCAVAÇÃO HORIZONTAL EM SOLO DE 1A CATEGORIA COM TRATOR DE ESTEIRAS (100HP/LÂMINA: 2,19M3).</t>
  </si>
  <si>
    <t>M3</t>
  </si>
  <si>
    <t>AREA DAS FACES DO PAINEIS * ESPESSURA DE ESCAVAÇÃO ((((5+1)*12,04)/2)+(((1+6)*9,24)/2))+((((5+6)*9,74)/2)+(((5+1)*5,37)/2)+(((1+6)*6,87)/2)))*1</t>
  </si>
  <si>
    <t>1.6</t>
  </si>
  <si>
    <t>100973</t>
  </si>
  <si>
    <t>CARGA, MANOBRA E DESCARGA DE SOLOS E MATERIAIS GRANULARES EM CAMINHÃO M3 BASCULANTE 6 M³ - CARGA COM PÁ CARREGADEIRA</t>
  </si>
  <si>
    <t>AREA DAS FACES DO PAINEIS * ESPESSURA DE ESCAVAÇÃO ADICIONADO 10% DE EMPOLAÇÃO DO SOLO ((((5+1)*12,04)/2)+(((1+6)*9,24)/2))+((((5+6)*9,74)/2)+(((5+1)*5,37)/2)+(((1+6)*6,87)/2)))*1*1,1</t>
  </si>
  <si>
    <t>1.7</t>
  </si>
  <si>
    <t>96385</t>
  </si>
  <si>
    <t>EXECUÇÃO E COMPACTAÇÃO DE ATERRO COM SOLO PREDOMINANTEMENTE ARGILOSO – EXCLUSIVE SOLO, ESCAVAÇÃO, CARGA E TRANSPORTE.</t>
  </si>
  <si>
    <t>MULTIPLICAÇÃO DA LARGURA* COMPRIMENTO DO CORTE DO ATERRO * ESPESSURA DE COMPACTAÇÃO 0,2 (2,(2,86*1,5)+(8*1,5)+(2,91*1,68)+(8*1,5)+(2,99*1,68)+(16*1,5)+(2,93*1,68)+(16*1,5)+(3,14*1,64)+(16*1,5)+(2,96*1,68)+(16*1,5)+(1,5*1,7)</t>
  </si>
  <si>
    <t>1.8</t>
  </si>
  <si>
    <t>97914</t>
  </si>
  <si>
    <t>TRANSPORTE COM CAMINHÃO BASCULANTE DE 6 M³, EM VIA URBANA PAVIMENTADA,  ATÉ 30 KM (UNIDADE: M3XKM).</t>
  </si>
  <si>
    <t>M3xKM</t>
  </si>
  <si>
    <t>PRODUTO  DA QUANTIDADE DE ATERRO ESCAVADO * DISTANCIA PERCORRIDA ESTIMADA (3KM) (220,49*3)</t>
  </si>
  <si>
    <t>1.9</t>
  </si>
  <si>
    <t>00039323</t>
  </si>
  <si>
    <t>MANTA GEOTEXTIL TECIDO DE LAMINETES DE POLIPROPILENO, RESISTENCIA A TRACAO = *25* KN/M</t>
  </si>
  <si>
    <t>SOMATÓRIA DAS ÁREAS DE APLICAÇÃO DO CONCRETO (((5+1)*12,04)/2)+(((1+6)*9,24)/2))+((((5+6)*9,74)/2)+(((5+1)*5,37)/2)+(((1+6)*6,87)/2))</t>
  </si>
  <si>
    <t>1.10</t>
  </si>
  <si>
    <t>97913</t>
  </si>
  <si>
    <t>TRANSPORTE COM CAMINHÃO BASCULANTE DE 6 M³, EM VIA URBANA EM REVESTIME NTO PRIMÁRIO (UNIDADE: M3XKM).</t>
  </si>
  <si>
    <t>PRODUTO  DA QUANTIDADE DECONCRETO CALCULADO * DISTANCIA PERCORRIDA ESTIMADA (3KM) ((32,96+24,37)*30)</t>
  </si>
  <si>
    <t>1.11</t>
  </si>
  <si>
    <t>003</t>
  </si>
  <si>
    <t>TESTE DE FLUENCIA, RECEBIMENTO E QUALIFICAÇÃO</t>
  </si>
  <si>
    <t>UN</t>
  </si>
  <si>
    <t>SOMATÓRIA DA QUANTIDADE DE TIRANTES DO PROJETO : PAINEL1= 18 + PAINEL 2= 14</t>
  </si>
  <si>
    <t>1.12</t>
  </si>
  <si>
    <t>99814</t>
  </si>
  <si>
    <t>LIMPEZA DE SUPERFÍCIE COM JATO DE ALTA PRESSÃO</t>
  </si>
  <si>
    <t>TOTAL PARCIAL</t>
  </si>
  <si>
    <t>MURO DE CONTENÇÃO</t>
  </si>
  <si>
    <t>PAINEL 1</t>
  </si>
  <si>
    <t>2.1</t>
  </si>
  <si>
    <t>100344</t>
  </si>
  <si>
    <t>ARMAÇÃO DE CORTINA DE CONTENÇÃO EM CONCRETO ARMADO, COM AÇO CA-50 DE 10 MM – MONTAGEM</t>
  </si>
  <si>
    <t>KG</t>
  </si>
  <si>
    <t>SOMA DO COMPRIMENTO DA VARA * KG/M DO AÇO 10 MM + 10% (1192,8+54,1+1168,56+214,2+243,6+677,12+236,5+264,88+187,68+213,44+1374,56+300+440,64+246,84+280,72)*0,617*1,1</t>
  </si>
  <si>
    <t>2.2</t>
  </si>
  <si>
    <t>100349</t>
  </si>
  <si>
    <t>CONCRETAGEM DE CORTINA DE CONTENÇÃO, ATRAVÉS DE BOMBA LANÇAMENTO, ADENSAMENTO E ACABAMENTO.</t>
  </si>
  <si>
    <t>SOMATORIA DA ÁREA DOS PAINEIS  * ESPESSURA DA CORTINA ((((5+6)*10,6)/2)+(((5+1)*12,04)/2)+(((1+6)*9,24)/2))*0,26</t>
  </si>
  <si>
    <t>2.3</t>
  </si>
  <si>
    <t>95108</t>
  </si>
  <si>
    <t>EXECUÇÃO DE PROTEÇÃO DA CABEÇA DO TIRANTE COM USO DE FÔRMAS EM CHAPA COMPENSADA PLASTIFICADA DE MADEIRA E CONCRETO FCK =15 MPA.</t>
  </si>
  <si>
    <t>QUANTIDADE DE TIRANTES DESCRITOS NO PROJETO (18)</t>
  </si>
  <si>
    <t>2.4</t>
  </si>
  <si>
    <t>93971</t>
  </si>
  <si>
    <t>EXECUÇÃO DE GRAMPO PARA SOLO GRAMPEADO COM COMPRIMENTO MAIOR QUE 10 M, DIÂMETRO DE 7 CM, PERFURAÇÃO COM EQUIPAMENTO MANUAL E ARMADURA COM DIÂMETRO DE 20 MM.</t>
  </si>
  <si>
    <t>M</t>
  </si>
  <si>
    <t>SOMATORIA DA METRAGEM DO GRAMPOS * QUANTIDADE DE GRAMPOS (10,75*18)</t>
  </si>
  <si>
    <t>2.5</t>
  </si>
  <si>
    <t>98575</t>
  </si>
  <si>
    <t>TRATAMENTO DE JUNTA DE DILATAÇÃO, COM TARUGO DE POLIETILENO E SELANTE, INCLUSO PREENCHIMENTO COM ESPUMA EXPANSIVA PU.</t>
  </si>
  <si>
    <t>SOMATORIA DAS JUNTAS DE DILATAÇÃO (6,14+4,20)</t>
  </si>
  <si>
    <t>2.6</t>
  </si>
  <si>
    <t>100341</t>
  </si>
  <si>
    <t>FABRICAÇÃO, MONTAGEM E DESMONTAGEM DE FÔRMA PARA CORTINA DE CONTENÇÃO, EM CHAPA DE MADEIRA COMPENSADA PLASTIFICADA, E = 18 MM, 10 UTILIZAÇÕES. (INCLUSO ESCORAMENTO)</t>
  </si>
  <si>
    <t>SOMATORIA DAS AREAS DA FACE DO MURO DE CONTENÇÃO ((((5+6)*10,6)/2)+(((5+1)*12,04)/2)+(((1+6)*9,24)/2))</t>
  </si>
  <si>
    <t>2.7</t>
  </si>
  <si>
    <t>100346</t>
  </si>
  <si>
    <t>ARMAÇÃO DE CORTINA DE CONTENÇÃO EM CONCRETO ARMADO, COM AÇO CA-50 DE 16 MM – MONTAGEM.</t>
  </si>
  <si>
    <t>SOMA DO COMPRIMENTO DA VARA * KG/M DO AÇO 16 MM + 10% (96,84+84,84+188,16.+38,9+92,88+24+65,8+9,27+151,8+141,12*24+6,94)*1,578*1,1</t>
  </si>
  <si>
    <t>2.8</t>
  </si>
  <si>
    <t>100721</t>
  </si>
  <si>
    <t>PINTURA COM TINTA ALQUÍDICA DE FUNDO (TIPO ZARCÃO) PULVERIZADA SOBRE SUPERFÍCIES METÁLICAS (EXCETO PERFIL) EXECUTADO EM OBRA (POR DEMÃO).</t>
  </si>
  <si>
    <t>CALCULO DA ÁREA DA FACE EXTERNA DO CILINDRO (2.π.R * h)  (2*3,14*0,01*7805,20)+(2*3,14*0,016*1017,01)</t>
  </si>
  <si>
    <t>PAINEL 2</t>
  </si>
  <si>
    <t>SOMA DO COMPRIMENTO DA VARA * KG/M DO AÇO 10 MM + 10% (1101,92+1075,68+54,1+197,88+225,04+771,48+300+198,52+138,72+157,76+390,08+236,5+156,52+108,12+122,96)*0,617*1,1</t>
  </si>
  <si>
    <t>2.9</t>
  </si>
  <si>
    <t>SOMA DO COMPRIMENTO DA VARA * KG/M DO AÇO 16 MM + 10% (84,84+188,16+89,1+26,96+141,12+6,89+49,21+83,16+69,84)*1,578*1,1</t>
  </si>
  <si>
    <t>2.10</t>
  </si>
  <si>
    <t>SOMATORIA DA ÁREA DOS PAINEIS  * ESPESSURA DA CORTINA ((((5+6)*9,74)/2)+(((5+1)*5,37)/2)+(((1+6)*6,87)/2))*0,26</t>
  </si>
  <si>
    <t>2.11</t>
  </si>
  <si>
    <t>QUANTIDADE D E TIRANTES DESCRITOS NO PROJETO (14)</t>
  </si>
  <si>
    <t>2.12</t>
  </si>
  <si>
    <t>SOMATORIA DA METRAGEM DO GRAMPOS * QUANTIDADE DE GRAMPOS (10,75*14)</t>
  </si>
  <si>
    <t>2.13</t>
  </si>
  <si>
    <t>SOMATORIA DAS JUNTAS DE DILATAÇÃO (5,28+6,13)</t>
  </si>
  <si>
    <t>2.14</t>
  </si>
  <si>
    <t>FABRICAÇÃO, MONTAGEM E DESMONTAGEM DE FÔRMA PARA CORTINA DE CONTENÇÃO, EM CHAPA DE MADEIRA COMPENSADA PLASTIFICADA, E = 18 MM, 10 UTILIZAÇÕES (INCLUSO ESCORAMENTO)</t>
  </si>
  <si>
    <t>SOMATORIA DAS AREAS DA FACE DO MURO DE CONTEÇÃO ((((5+6)*9,74)/2)+(((5+1)*5,37)/2)+(((1+6)*6,87)/2))</t>
  </si>
  <si>
    <t>CALCULO DA ÁREA DA FACE EXTERNA DO CILINDRO (2.π.R * h)  (2*3,14*0,01*5758,81)+(2*3,14*0,016*813,21)</t>
  </si>
  <si>
    <t>DRENAGEM</t>
  </si>
  <si>
    <t>3.1</t>
  </si>
  <si>
    <t>004</t>
  </si>
  <si>
    <t>DRENO PROFUNDO</t>
  </si>
  <si>
    <t>COMPRIMENTO DOS TUBOS * QUANTIDADE DE TUBOS (10,31*18)</t>
  </si>
  <si>
    <t>3.2</t>
  </si>
  <si>
    <t>005</t>
  </si>
  <si>
    <t>DRENO RASO</t>
  </si>
  <si>
    <t>COMPRIMENTO DOS TUBOS * QUANTIDADE DE TUBOS (1,06*18)</t>
  </si>
  <si>
    <t>3.3</t>
  </si>
  <si>
    <t>102990</t>
  </si>
  <si>
    <t xml:space="preserve">CANALETA MEIA CANA PRÉ-MOLDADA DE CONCRETO (D = 30 CM) - FORNECIMENTO  E INSTALAÇÃO </t>
  </si>
  <si>
    <t>SOMATORIA DAOS COMPRIMENTOS DOS PAINEIS (11,67+10,01+9,06+5,11+9,08+6,5)</t>
  </si>
  <si>
    <t>3.4</t>
  </si>
  <si>
    <t>99251</t>
  </si>
  <si>
    <t>CAIXA ENTERRADA HIDRÁULICA RETANGULAR EM ALVENARIA COM TIJOLOS CERÂMICOS MACIÇOS, DIMENSÕES INTERNAS: 0,4X0,4X0,4 M PARA REDE DE DRENAGEM</t>
  </si>
  <si>
    <t>UNID</t>
  </si>
  <si>
    <t>CÁLCULO DA QUANTIDADE DE CAIXAS (1+1+1+1)</t>
  </si>
  <si>
    <t>TOTAL GERAL SEM BDI</t>
  </si>
  <si>
    <t>VALOR DO BDI</t>
  </si>
  <si>
    <t>TOTAL GERAL COM BDI</t>
  </si>
  <si>
    <t xml:space="preserve">
_________________________________________
CONSULTOP CONSULTORIA, PROJETOS E TOPOGRAFIA LTDA
Evilasio Manoel Silveira Chiacchio
ENG. CIVIL CREA-BA: N° 27.405/D</t>
  </si>
  <si>
    <t>CRONOGRAMA FÍSICO-FINANCEIRO -  GERÊNCIA DE  SALVADOR – BA</t>
  </si>
  <si>
    <t>1º mês</t>
  </si>
  <si>
    <t>2º mês</t>
  </si>
  <si>
    <t>CUSTO TOTAL COM BDI</t>
  </si>
  <si>
    <t>1ª semana</t>
  </si>
  <si>
    <t>2ª semana</t>
  </si>
  <si>
    <t>3ª semana</t>
  </si>
  <si>
    <t>4ª semana</t>
  </si>
  <si>
    <t>DESCRIÇÃO</t>
  </si>
  <si>
    <t xml:space="preserve">SERVIÇOS PRELIMINARES E FINAL </t>
  </si>
  <si>
    <t xml:space="preserve">MURO DE CONTENÇÃO </t>
  </si>
  <si>
    <t>MENSAL</t>
  </si>
  <si>
    <t>TAD</t>
  </si>
  <si>
    <t>ACUMULADO</t>
  </si>
  <si>
    <t>SALVADOR, 28 DE DEZEMBRO DE 2021</t>
  </si>
  <si>
    <t xml:space="preserve">
_________________________________________
CONSULTOP CONSULTORIA, PROJETOS E TOPOGRAFIA LTDA
Evilasio Manoel Silveira Chiacchio
ENG. CIVIL CREA-BA: N° 27.405/D</t>
  </si>
  <si>
    <t>TAXA DE ADMINISTRAÇÃO DA OBRA</t>
  </si>
  <si>
    <t>ADMINISTRAÇÃO DE OBRA</t>
  </si>
  <si>
    <t>ENGENHEIRO CIVIL DE OBRA JUNIOR COM ENCARGOS COMPLEMENTARES</t>
  </si>
  <si>
    <t>ENGENHEIRO EM MEIO PERÍODO NA OBRA DURANTE - 22 DIAS X 4 HORAS X 2 MESES = 440 HORAS</t>
  </si>
  <si>
    <t>ENCARREGADO GERAL COM ENCARGOS COMPLEMENTARES</t>
  </si>
  <si>
    <t>ENCARREGADO EM PERÍODO INTEGRAL NA OBRA - 22 DIAS X 8 HORAS X 2 MESES = 352 HORAS</t>
  </si>
  <si>
    <t>VALOR DA OBRA</t>
  </si>
  <si>
    <t>PORCENTAGEM DO TAD SOBRE O VALOR DA OBRA</t>
  </si>
  <si>
    <t xml:space="preserve">
_________________________________________
CONSULTOP CONSULTORIA, PROJETOS E TOPOGRAFIA LTDA
Evilasio Manoel Silveira Chiacchio
ENG. CIVIL CREA-BA: N° 27.405/D</t>
  </si>
  <si>
    <t>COMPOSIÇÃO BDI NORMAL</t>
  </si>
  <si>
    <t>VALOR</t>
  </si>
  <si>
    <t>DESPESAS INDIRETAS</t>
  </si>
  <si>
    <t>AC – ADMINISTRAÇÃO CENTRAL</t>
  </si>
  <si>
    <t>1.1.1</t>
  </si>
  <si>
    <t>Administração Central</t>
  </si>
  <si>
    <t>%</t>
  </si>
  <si>
    <t>SEGUROS RISCOS E GARANTIAS</t>
  </si>
  <si>
    <t>1.2.1</t>
  </si>
  <si>
    <t>S – Seguros + G – Garantias exigidas em edital</t>
  </si>
  <si>
    <t>1.2.2</t>
  </si>
  <si>
    <t>R – Riscos e Imprevistos (Obras medianas em área e/ou prazo, em condições normais  de execução)</t>
  </si>
  <si>
    <t>DF – DESPESAS FINANCEIRAS</t>
  </si>
  <si>
    <t>1.3.1</t>
  </si>
  <si>
    <t>Despesas Financeiras</t>
  </si>
  <si>
    <t>I – IMPOSTOS E TRIBUTOS</t>
  </si>
  <si>
    <t>1.4.1</t>
  </si>
  <si>
    <t>ISS</t>
  </si>
  <si>
    <t>1.4.2</t>
  </si>
  <si>
    <t>COFINS</t>
  </si>
  <si>
    <t>1.4.3</t>
  </si>
  <si>
    <t>PIS</t>
  </si>
  <si>
    <t>1.4.4</t>
  </si>
  <si>
    <t>CPRB</t>
  </si>
  <si>
    <t>L – BENEFÍCIOS</t>
  </si>
  <si>
    <t>LUCRO</t>
  </si>
  <si>
    <t>2.1.1</t>
  </si>
  <si>
    <t>Lucro bruto</t>
  </si>
  <si>
    <t>BDI SERVIÇOS DA ADMINISTRAÇÃO – FÓRMULA                              BDI = {[(1+(AC + S + R + G))(1 + DF) (1 + L)] / (1 – I)}-1</t>
  </si>
  <si>
    <t>REFERÊNCIA: SETOP/MG - 01/2021</t>
  </si>
  <si>
    <t>ACÓRDÃO 2622/13 E LEI Nº 13.161 DE 31/08/15</t>
  </si>
  <si>
    <t>SERVIÇO</t>
  </si>
  <si>
    <t>DESCRIÇÃO DO SERVIÇO</t>
  </si>
  <si>
    <t>PRÓPRIA</t>
  </si>
  <si>
    <t>COMPOSIÇÃO DE PREÇO</t>
  </si>
  <si>
    <t>DESCRIÇÃO DA COMPOSIÇÃO</t>
  </si>
  <si>
    <t>QUANTIDADE</t>
  </si>
  <si>
    <t>CUSTO UNIT.</t>
  </si>
  <si>
    <t>CUSTO TOTAL</t>
  </si>
  <si>
    <t>20209/SINAPI</t>
  </si>
  <si>
    <t>CAIBRO APARELHADO *7,5 X 7,5* CM, EM MACARANDUBA, ANGELIM OU EQUIVALENTE DA REGIÃO</t>
  </si>
  <si>
    <t>m</t>
  </si>
  <si>
    <t>00004813/SINAPI</t>
  </si>
  <si>
    <t>PLACA DE OBRA (PARA CONSTRUCAO CIVIL) EM CHAPA GALVANIZADA *N. 22*, ADESIVADA, M2 300,00 DE *2,0 X 1,125* M (SEM POSTES PARA FIXACAO)</t>
  </si>
  <si>
    <t>m2</t>
  </si>
  <si>
    <t>00004512/SINAPI</t>
  </si>
  <si>
    <t>SARRAFO *2,5 X 5* CM EM PINUS, MISTA OU EQUIVALENTE DA REGIAO – BRUTA</t>
  </si>
  <si>
    <t>88262/SINAPI</t>
  </si>
  <si>
    <t>CARPINTEIRO DE FORMAS COM ENCARGOS COMPLEMENTARES</t>
  </si>
  <si>
    <t>h</t>
  </si>
  <si>
    <t>00005075/SINAPI</t>
  </si>
  <si>
    <t>PREGO DE ACO POLIDO COM CABECA 18 X 30 (2 3/4 X 10)</t>
  </si>
  <si>
    <t>kg</t>
  </si>
  <si>
    <t>88316/SINAPI</t>
  </si>
  <si>
    <t>SERVENTE COM ENCARGOS COMPLEMENTARES</t>
  </si>
  <si>
    <t>TOTAL</t>
  </si>
  <si>
    <t xml:space="preserve">EQUIPE DE TOPOGRAFIA COMPOSTA DE 1 TOPOGRAFO. AUXILIAR DE TOPOGRAFIA, TEODOLITO E DEMAIS ACESSÓRIOS, INCLUINDO DESENHO </t>
  </si>
  <si>
    <t>90781/SINAPI</t>
  </si>
  <si>
    <t>TOPOGRAFO COM ENCARGOS COMPLEMENTARES</t>
  </si>
  <si>
    <t>88253/SINAPI</t>
  </si>
  <si>
    <t>AUXILIAR DE TOPÓGRAFO COM ENCARGOS COMPLEMENTARES</t>
  </si>
  <si>
    <t>00043469/SINAPI</t>
  </si>
  <si>
    <t>FERRAMENTAS - FAMILIA TOPOGRAFO - HORISTA (ENCARGOS COMPLEMENTARES -  COLETADO CAIXA)</t>
  </si>
  <si>
    <t>00043493/SINAPI</t>
  </si>
  <si>
    <t>EPI - FAMILIA TOPOGRAFO - HORISTA (ENCARGOS COMPLEMENTARES - COLETADO CAIXA)</t>
  </si>
  <si>
    <t>7247/SINAPI</t>
  </si>
  <si>
    <t>LOCACAO DE TEODOLITO ELETRONICO, PRECISAO ANGULAR DE 5 A 7 SEGUNDOS, INCLUINDO TRIPE</t>
  </si>
  <si>
    <t>90773/SINAPI</t>
  </si>
  <si>
    <t>DESENHISTA COPISTA COM ENCARGOS COMPLEMENTARES</t>
  </si>
  <si>
    <t xml:space="preserve">TESTE DE FLUENCIA, RECEBIMENTO E QUALIFICAÇÃO </t>
  </si>
  <si>
    <t>UNI.</t>
  </si>
  <si>
    <t>100533/SINAPI</t>
  </si>
  <si>
    <t xml:space="preserve">TEC. EDIFICAÇÕES </t>
  </si>
  <si>
    <t>88242/SINAPI</t>
  </si>
  <si>
    <t>AJUDANTE PRATICO</t>
  </si>
  <si>
    <t>102826/SINAPI</t>
  </si>
  <si>
    <t>CONJUNTO MACACO E BOMBA HIDRÁULICA</t>
  </si>
  <si>
    <t>CONJUNTO DE APOIO</t>
  </si>
  <si>
    <t>uni</t>
  </si>
  <si>
    <t>43056/SINAPI</t>
  </si>
  <si>
    <t>TIRANTE 25MM 30TON</t>
  </si>
  <si>
    <t>100263/SINAPI</t>
  </si>
  <si>
    <t xml:space="preserve">TRANSPORTE DO CONJUNTO DE PROTENSÃO </t>
  </si>
  <si>
    <t>Kg x m</t>
  </si>
  <si>
    <t>TRANSPORTE DO CONJUNTO DE PROTENÇÃO</t>
  </si>
  <si>
    <t>4021/SINAPI</t>
  </si>
  <si>
    <t>GEOTEXTIL NAO TECIDO AGULHADO DE FILAMENTOS CONTINUOS 100% POLIESTER, RESISTENCIA A TRACAO = 14 KN/M</t>
  </si>
  <si>
    <t>4718/SINAPI</t>
  </si>
  <si>
    <t>PEDRA BRITADA N. 2 (19 A 38 MM) POSTO PEDREIRA/FORNECEDOR, SEM FRETE</t>
  </si>
  <si>
    <t>m3</t>
  </si>
  <si>
    <t>5678/SINAPI</t>
  </si>
  <si>
    <t>RETROESCAVADEIRA SOBRE RODAS COM CARREGADEIRA, TRAÇÃO 4X4, POTÊNCIA LÍQ. 88 HP, CAÇAMBA CARREG. CAP. MÍN. 1 M3, CAÇAMBA RETRO CAP. 0,26 M3, PESO OPE RACIONAL MÍN. 6.674 KG, PROFUNDIDADE ESCAVAÇÃO MÁX. 4,37 M - CHP DIURNO.</t>
  </si>
  <si>
    <t>chp</t>
  </si>
  <si>
    <t>5679/SINAPI</t>
  </si>
  <si>
    <t>RETROESCAVADEIRA SOBRE RODAS COM CARREGADEIRA, TRAÇÃO 4X4, POTÊNCIA LÍQ. 88 HP, CAÇAMBA CARREG. CAP. MÍN. 1 M3, CAÇAMBA RETRO CAP. 0,26 M3, PESO OPE RACIONAL MÍN. 6.674 KG, PROFUNDIDADE ESCAVAÇÃO MÁX. 4,37 M - CHI DIURNO.</t>
  </si>
  <si>
    <t>00038051/SINAPI</t>
  </si>
  <si>
    <t>TUBO DRENO, CORRUGADO, ESPIRALADO, FLEXIVEL, PERFURADO, EM POLIETILENO DE ALTA DENSIDADE (PEAD), DN 65 MM, (2 1/2") PARA DRENAGEM - EM ROLO (NORMA DNIT 093/2006 – EM)</t>
  </si>
  <si>
    <t>88309/SINAPI</t>
  </si>
  <si>
    <t>PEDREIRO COM ENCARGOS COMPLEMENTARES</t>
  </si>
  <si>
    <t>90106/SINAPI</t>
  </si>
  <si>
    <t>ESCAVAÇÃO MECANIZADA DE VALA COM PROFUNDIDADE ATÉ 1,5 M (MÉDIA MONTANTE E  JUSANTE/UMA COMPOSIÇÃO POR TRECHO), RETROESCAV. (0,26 M3), LARGURA DE 0,8 M A 1,5 M, EM SOLO DE 1A CATEGORIA, LOCAIS COM BAIXO NÍVEL DE INTERFERÊNCIA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</si>
</sst>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 R$&quot;* #,##0.00\ ;&quot;-R$&quot;* #,##0.00\ ;&quot; R$&quot;* \-#\ ;@\ "/>
    <numFmt numFmtId="165" formatCode="&quot; R$ &quot;#,##0.00\ ;&quot; R$ (&quot;#,##0.00\);&quot; R$ -&quot;#\ ;@\ "/>
    <numFmt numFmtId="166" formatCode="#,##0.00\ ;&quot; (&quot;#,##0.00\);\-#\ ;@\ "/>
    <numFmt numFmtId="167" formatCode="* #,##0.00\ ;* \(#,##0.00\);* \-#\ ;@\ "/>
    <numFmt numFmtId="168" formatCode="&quot;R$ &quot;#,##0.00"/>
    <numFmt numFmtId="169" formatCode="&quot; R$&quot;* #,##0.00\ ;&quot; R$&quot;* \(#,##0.00\);&quot; R$&quot;* \-#\ ;@\ "/>
    <numFmt numFmtId="170" formatCode="* #,##0.00\ ;\-* #,##0.00\ ;* \-#\ ;@\ "/>
    <numFmt numFmtId="171" formatCode="0.00000%"/>
  </numFmts>
  <fonts count="22" x14ac:knownFonts="1">
    <font>
      <sz val="11"/>
      <color rgb="FF000000"/>
      <name val="Arial"/>
      <family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/>
      <sz val="30"/>
      <color rgb="FF000000"/>
      <name val="Times New Roman"/>
      <family val="1"/>
      <charset val="1"/>
    </font>
    <font>
      <b/>
      <sz val="2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3366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  <charset val="1"/>
    </font>
    <font>
      <b/>
      <sz val="2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24"/>
      <name val="Times New Roman"/>
      <family val="1"/>
      <charset val="1"/>
    </font>
  </fonts>
  <fills count="14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AE3F3"/>
      </patternFill>
    </fill>
    <fill>
      <patternFill patternType="solid">
        <fgColor rgb="FFA6A6A6"/>
        <bgColor rgb="FF969696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DAE3F3"/>
        <bgColor rgb="FFD9D9D9"/>
      </patternFill>
    </fill>
    <fill>
      <patternFill patternType="solid">
        <fgColor rgb="FF2E75B6"/>
        <bgColor rgb="FF0066CC"/>
      </patternFill>
    </fill>
    <fill>
      <patternFill patternType="solid">
        <fgColor rgb="FFFFD966"/>
        <bgColor rgb="FFFFFF99"/>
      </patternFill>
    </fill>
    <fill>
      <patternFill patternType="solid">
        <fgColor rgb="FF92D050"/>
        <bgColor rgb="FFA6A6A6"/>
      </patternFill>
    </fill>
    <fill>
      <patternFill patternType="solid">
        <fgColor rgb="FFD9D9D9"/>
        <bgColor rgb="FFDAE3F3"/>
      </patternFill>
    </fill>
  </fills>
  <borders count="90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4">
    <xf numFmtId="0" fontId="0" fillId="0" borderId="0"/>
    <xf numFmtId="170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165" fontId="2" fillId="0" borderId="0" applyBorder="0" applyProtection="0"/>
    <xf numFmtId="0" fontId="3" fillId="0" borderId="0">
      <alignment vertical="top"/>
    </xf>
    <xf numFmtId="0" fontId="4" fillId="0" borderId="0"/>
    <xf numFmtId="0" fontId="2" fillId="0" borderId="0" applyBorder="0" applyProtection="0"/>
    <xf numFmtId="0" fontId="5" fillId="0" borderId="0"/>
    <xf numFmtId="9" fontId="1" fillId="0" borderId="0" applyBorder="0" applyProtection="0"/>
    <xf numFmtId="9" fontId="2" fillId="0" borderId="0" applyBorder="0" applyProtection="0"/>
    <xf numFmtId="166" fontId="2" fillId="0" borderId="0" applyBorder="0" applyProtection="0"/>
    <xf numFmtId="167" fontId="1" fillId="0" borderId="0" applyBorder="0" applyProtection="0"/>
    <xf numFmtId="0" fontId="1" fillId="0" borderId="0" applyBorder="0" applyProtection="0"/>
  </cellStyleXfs>
  <cellXfs count="227">
    <xf numFmtId="0" fontId="0" fillId="0" borderId="0" xfId="0"/>
    <xf numFmtId="0" fontId="0" fillId="6" borderId="26" xfId="0" applyFill="1" applyBorder="1" applyAlignment="1">
      <alignment horizontal="center"/>
    </xf>
    <xf numFmtId="0" fontId="14" fillId="3" borderId="25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/>
    </xf>
    <xf numFmtId="168" fontId="9" fillId="2" borderId="6" xfId="0" applyNumberFormat="1" applyFont="1" applyFill="1" applyBorder="1" applyAlignment="1">
      <alignment horizontal="center" vertical="center" wrapText="1"/>
    </xf>
    <xf numFmtId="10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4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168" fontId="10" fillId="0" borderId="11" xfId="0" applyNumberFormat="1" applyFont="1" applyBorder="1" applyAlignment="1">
      <alignment horizontal="center" vertical="center"/>
    </xf>
    <xf numFmtId="10" fontId="10" fillId="0" borderId="12" xfId="0" applyNumberFormat="1" applyFont="1" applyBorder="1" applyAlignment="1">
      <alignment horizontal="center" vertical="center"/>
    </xf>
    <xf numFmtId="10" fontId="10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168" fontId="10" fillId="0" borderId="12" xfId="0" applyNumberFormat="1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4" fontId="10" fillId="3" borderId="12" xfId="0" applyNumberFormat="1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168" fontId="10" fillId="3" borderId="12" xfId="0" applyNumberFormat="1" applyFont="1" applyFill="1" applyBorder="1" applyAlignment="1">
      <alignment horizontal="center" vertical="center"/>
    </xf>
    <xf numFmtId="10" fontId="10" fillId="3" borderId="12" xfId="0" applyNumberFormat="1" applyFont="1" applyFill="1" applyBorder="1" applyAlignment="1">
      <alignment horizontal="center" vertical="center"/>
    </xf>
    <xf numFmtId="10" fontId="10" fillId="3" borderId="13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3" borderId="0" xfId="0" applyFill="1"/>
    <xf numFmtId="168" fontId="11" fillId="4" borderId="15" xfId="0" applyNumberFormat="1" applyFont="1" applyFill="1" applyBorder="1" applyAlignment="1">
      <alignment horizontal="center" vertical="center"/>
    </xf>
    <xf numFmtId="10" fontId="11" fillId="4" borderId="15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10" fontId="10" fillId="0" borderId="17" xfId="0" applyNumberFormat="1" applyFont="1" applyBorder="1" applyAlignment="1">
      <alignment horizontal="center" vertical="center"/>
    </xf>
    <xf numFmtId="168" fontId="12" fillId="5" borderId="19" xfId="0" applyNumberFormat="1" applyFont="1" applyFill="1" applyBorder="1" applyAlignment="1">
      <alignment horizontal="center" vertical="center"/>
    </xf>
    <xf numFmtId="168" fontId="12" fillId="5" borderId="21" xfId="0" applyNumberFormat="1" applyFont="1" applyFill="1" applyBorder="1" applyAlignment="1">
      <alignment horizontal="center" vertical="center"/>
    </xf>
    <xf numFmtId="168" fontId="12" fillId="5" borderId="23" xfId="0" applyNumberFormat="1" applyFont="1" applyFill="1" applyBorder="1" applyAlignment="1">
      <alignment horizontal="center" vertical="center"/>
    </xf>
    <xf numFmtId="0" fontId="0" fillId="3" borderId="4" xfId="0" applyFill="1" applyBorder="1"/>
    <xf numFmtId="0" fontId="4" fillId="0" borderId="30" xfId="0" applyFont="1" applyBorder="1"/>
    <xf numFmtId="0" fontId="4" fillId="0" borderId="16" xfId="0" applyFont="1" applyBorder="1"/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/>
    <xf numFmtId="0" fontId="16" fillId="7" borderId="34" xfId="6" applyFont="1" applyFill="1" applyBorder="1" applyAlignment="1">
      <alignment horizontal="center" vertical="center"/>
    </xf>
    <xf numFmtId="0" fontId="16" fillId="7" borderId="35" xfId="6" applyFont="1" applyFill="1" applyBorder="1" applyAlignment="1">
      <alignment horizontal="justify" vertical="top"/>
    </xf>
    <xf numFmtId="0" fontId="0" fillId="8" borderId="36" xfId="0" applyFill="1" applyBorder="1"/>
    <xf numFmtId="0" fontId="0" fillId="8" borderId="12" xfId="0" applyFill="1" applyBorder="1"/>
    <xf numFmtId="0" fontId="0" fillId="8" borderId="17" xfId="0" applyFill="1" applyBorder="1"/>
    <xf numFmtId="0" fontId="0" fillId="8" borderId="37" xfId="0" applyFill="1" applyBorder="1"/>
    <xf numFmtId="0" fontId="0" fillId="5" borderId="37" xfId="0" applyFill="1" applyBorder="1"/>
    <xf numFmtId="0" fontId="0" fillId="3" borderId="38" xfId="0" applyFill="1" applyBorder="1"/>
    <xf numFmtId="0" fontId="17" fillId="7" borderId="34" xfId="6" applyFont="1" applyFill="1" applyBorder="1"/>
    <xf numFmtId="0" fontId="17" fillId="7" borderId="35" xfId="6" applyFont="1" applyFill="1" applyBorder="1" applyAlignment="1">
      <alignment horizontal="justify" vertical="top"/>
    </xf>
    <xf numFmtId="0" fontId="0" fillId="8" borderId="39" xfId="0" applyFill="1" applyBorder="1"/>
    <xf numFmtId="0" fontId="0" fillId="8" borderId="40" xfId="0" applyFill="1" applyBorder="1"/>
    <xf numFmtId="0" fontId="0" fillId="8" borderId="41" xfId="0" applyFill="1" applyBorder="1"/>
    <xf numFmtId="0" fontId="0" fillId="8" borderId="42" xfId="0" applyFill="1" applyBorder="1"/>
    <xf numFmtId="0" fontId="0" fillId="5" borderId="42" xfId="0" applyFill="1" applyBorder="1"/>
    <xf numFmtId="10" fontId="1" fillId="0" borderId="44" xfId="2" applyNumberFormat="1" applyFont="1" applyBorder="1" applyAlignment="1" applyProtection="1"/>
    <xf numFmtId="10" fontId="1" fillId="0" borderId="45" xfId="2" applyNumberFormat="1" applyFont="1" applyBorder="1" applyAlignment="1" applyProtection="1"/>
    <xf numFmtId="10" fontId="1" fillId="0" borderId="46" xfId="2" applyNumberFormat="1" applyFont="1" applyBorder="1" applyAlignment="1" applyProtection="1"/>
    <xf numFmtId="10" fontId="1" fillId="0" borderId="47" xfId="2" applyNumberFormat="1" applyFont="1" applyBorder="1" applyAlignment="1" applyProtection="1"/>
    <xf numFmtId="10" fontId="1" fillId="0" borderId="48" xfId="2" applyNumberFormat="1" applyFont="1" applyBorder="1" applyAlignment="1" applyProtection="1"/>
    <xf numFmtId="10" fontId="4" fillId="3" borderId="49" xfId="2" applyNumberFormat="1" applyFont="1" applyFill="1" applyBorder="1" applyAlignment="1" applyProtection="1"/>
    <xf numFmtId="0" fontId="0" fillId="10" borderId="30" xfId="0" applyFill="1" applyBorder="1"/>
    <xf numFmtId="0" fontId="0" fillId="10" borderId="16" xfId="0" applyFill="1" applyBorder="1"/>
    <xf numFmtId="0" fontId="0" fillId="0" borderId="16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167" fontId="0" fillId="0" borderId="50" xfId="0" applyNumberFormat="1" applyBorder="1"/>
    <xf numFmtId="167" fontId="0" fillId="0" borderId="51" xfId="0" applyNumberFormat="1" applyBorder="1"/>
    <xf numFmtId="167" fontId="0" fillId="0" borderId="52" xfId="0" applyNumberFormat="1" applyBorder="1"/>
    <xf numFmtId="167" fontId="0" fillId="0" borderId="53" xfId="0" applyNumberFormat="1" applyBorder="1"/>
    <xf numFmtId="167" fontId="0" fillId="0" borderId="54" xfId="0" applyNumberFormat="1" applyBorder="1"/>
    <xf numFmtId="169" fontId="4" fillId="3" borderId="55" xfId="3" applyNumberFormat="1" applyFont="1" applyFill="1" applyBorder="1" applyAlignment="1" applyProtection="1"/>
    <xf numFmtId="10" fontId="1" fillId="0" borderId="57" xfId="2" applyNumberFormat="1" applyFont="1" applyBorder="1" applyAlignment="1" applyProtection="1"/>
    <xf numFmtId="10" fontId="1" fillId="0" borderId="11" xfId="2" applyNumberFormat="1" applyFont="1" applyBorder="1" applyAlignment="1" applyProtection="1"/>
    <xf numFmtId="10" fontId="1" fillId="0" borderId="13" xfId="2" applyNumberFormat="1" applyFont="1" applyBorder="1" applyAlignment="1" applyProtection="1"/>
    <xf numFmtId="10" fontId="1" fillId="0" borderId="58" xfId="2" applyNumberFormat="1" applyFont="1" applyBorder="1" applyAlignment="1" applyProtection="1"/>
    <xf numFmtId="0" fontId="0" fillId="10" borderId="31" xfId="0" applyFill="1" applyBorder="1"/>
    <xf numFmtId="0" fontId="0" fillId="10" borderId="32" xfId="0" applyFill="1" applyBorder="1"/>
    <xf numFmtId="0" fontId="0" fillId="10" borderId="33" xfId="0" applyFill="1" applyBorder="1"/>
    <xf numFmtId="167" fontId="0" fillId="0" borderId="59" xfId="0" applyNumberFormat="1" applyBorder="1"/>
    <xf numFmtId="167" fontId="0" fillId="0" borderId="12" xfId="0" applyNumberFormat="1" applyBorder="1"/>
    <xf numFmtId="167" fontId="0" fillId="0" borderId="17" xfId="0" applyNumberFormat="1" applyBorder="1"/>
    <xf numFmtId="167" fontId="0" fillId="0" borderId="60" xfId="0" applyNumberFormat="1" applyBorder="1"/>
    <xf numFmtId="0" fontId="0" fillId="0" borderId="30" xfId="0" applyBorder="1"/>
    <xf numFmtId="0" fontId="0" fillId="0" borderId="4" xfId="0" applyBorder="1"/>
    <xf numFmtId="0" fontId="0" fillId="3" borderId="62" xfId="0" applyFill="1" applyBorder="1"/>
    <xf numFmtId="0" fontId="19" fillId="11" borderId="63" xfId="6" applyFont="1" applyFill="1" applyBorder="1" applyAlignment="1">
      <alignment vertical="center"/>
    </xf>
    <xf numFmtId="0" fontId="19" fillId="11" borderId="7" xfId="6" applyFont="1" applyFill="1" applyBorder="1" applyAlignment="1">
      <alignment vertical="center"/>
    </xf>
    <xf numFmtId="0" fontId="0" fillId="3" borderId="65" xfId="0" applyFill="1" applyBorder="1"/>
    <xf numFmtId="0" fontId="19" fillId="11" borderId="3" xfId="6" applyFont="1" applyFill="1" applyBorder="1" applyAlignment="1">
      <alignment vertical="center"/>
    </xf>
    <xf numFmtId="10" fontId="19" fillId="11" borderId="3" xfId="6" applyNumberFormat="1" applyFont="1" applyFill="1" applyBorder="1" applyAlignment="1">
      <alignment vertical="center"/>
    </xf>
    <xf numFmtId="0" fontId="19" fillId="12" borderId="66" xfId="0" applyFont="1" applyFill="1" applyBorder="1"/>
    <xf numFmtId="0" fontId="4" fillId="12" borderId="67" xfId="0" applyFont="1" applyFill="1" applyBorder="1"/>
    <xf numFmtId="0" fontId="4" fillId="3" borderId="0" xfId="0" applyFont="1" applyFill="1"/>
    <xf numFmtId="0" fontId="0" fillId="3" borderId="68" xfId="0" applyFill="1" applyBorder="1"/>
    <xf numFmtId="0" fontId="4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justify" vertical="top"/>
    </xf>
    <xf numFmtId="0" fontId="0" fillId="3" borderId="66" xfId="0" applyFill="1" applyBorder="1"/>
    <xf numFmtId="0" fontId="0" fillId="3" borderId="69" xfId="0" applyFill="1" applyBorder="1"/>
    <xf numFmtId="0" fontId="0" fillId="3" borderId="70" xfId="0" applyFill="1" applyBorder="1"/>
    <xf numFmtId="0" fontId="9" fillId="2" borderId="72" xfId="0" applyFont="1" applyFill="1" applyBorder="1" applyAlignment="1">
      <alignment horizontal="center" vertical="center"/>
    </xf>
    <xf numFmtId="168" fontId="9" fillId="2" borderId="73" xfId="0" applyNumberFormat="1" applyFont="1" applyFill="1" applyBorder="1" applyAlignment="1">
      <alignment horizontal="center" vertical="center" wrapText="1"/>
    </xf>
    <xf numFmtId="0" fontId="9" fillId="2" borderId="74" xfId="0" applyFont="1" applyFill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 wrapText="1"/>
    </xf>
    <xf numFmtId="168" fontId="10" fillId="0" borderId="11" xfId="0" applyNumberFormat="1" applyFont="1" applyBorder="1" applyAlignment="1">
      <alignment horizontal="center" vertical="center" wrapText="1"/>
    </xf>
    <xf numFmtId="10" fontId="10" fillId="0" borderId="11" xfId="0" applyNumberFormat="1" applyFont="1" applyBorder="1" applyAlignment="1">
      <alignment horizontal="center" vertical="center"/>
    </xf>
    <xf numFmtId="168" fontId="10" fillId="0" borderId="77" xfId="0" applyNumberFormat="1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 wrapText="1"/>
    </xf>
    <xf numFmtId="168" fontId="10" fillId="0" borderId="12" xfId="0" applyNumberFormat="1" applyFont="1" applyBorder="1" applyAlignment="1">
      <alignment horizontal="center" vertical="center" wrapText="1"/>
    </xf>
    <xf numFmtId="168" fontId="10" fillId="0" borderId="79" xfId="0" applyNumberFormat="1" applyFont="1" applyBorder="1" applyAlignment="1">
      <alignment horizontal="center" vertical="center" wrapText="1"/>
    </xf>
    <xf numFmtId="168" fontId="11" fillId="4" borderId="15" xfId="0" applyNumberFormat="1" applyFont="1" applyFill="1" applyBorder="1" applyAlignment="1">
      <alignment vertical="center"/>
    </xf>
    <xf numFmtId="0" fontId="11" fillId="4" borderId="15" xfId="0" applyFont="1" applyFill="1" applyBorder="1" applyAlignment="1">
      <alignment vertical="center"/>
    </xf>
    <xf numFmtId="168" fontId="11" fillId="4" borderId="81" xfId="0" applyNumberFormat="1" applyFont="1" applyFill="1" applyBorder="1" applyAlignment="1">
      <alignment vertical="center"/>
    </xf>
    <xf numFmtId="168" fontId="12" fillId="5" borderId="75" xfId="0" applyNumberFormat="1" applyFont="1" applyFill="1" applyBorder="1" applyAlignment="1">
      <alignment vertical="center"/>
    </xf>
    <xf numFmtId="168" fontId="12" fillId="5" borderId="83" xfId="0" applyNumberFormat="1" applyFont="1" applyFill="1" applyBorder="1" applyAlignment="1">
      <alignment vertical="center"/>
    </xf>
    <xf numFmtId="168" fontId="12" fillId="5" borderId="81" xfId="0" applyNumberFormat="1" applyFont="1" applyFill="1" applyBorder="1" applyAlignment="1">
      <alignment vertical="center" wrapText="1"/>
    </xf>
    <xf numFmtId="168" fontId="12" fillId="5" borderId="84" xfId="0" applyNumberFormat="1" applyFont="1" applyFill="1" applyBorder="1" applyAlignment="1">
      <alignment vertical="center"/>
    </xf>
    <xf numFmtId="10" fontId="12" fillId="5" borderId="84" xfId="0" applyNumberFormat="1" applyFont="1" applyFill="1" applyBorder="1" applyAlignment="1">
      <alignment vertical="center"/>
    </xf>
    <xf numFmtId="0" fontId="6" fillId="0" borderId="16" xfId="7" applyFont="1" applyBorder="1" applyAlignment="1" applyProtection="1">
      <alignment horizontal="center" vertical="center"/>
    </xf>
    <xf numFmtId="0" fontId="6" fillId="0" borderId="16" xfId="7" applyFont="1" applyBorder="1" applyAlignment="1" applyProtection="1">
      <alignment horizontal="justify" vertical="center" wrapText="1"/>
    </xf>
    <xf numFmtId="4" fontId="6" fillId="0" borderId="16" xfId="7" applyNumberFormat="1" applyFont="1" applyBorder="1" applyAlignment="1" applyProtection="1">
      <alignment horizontal="center" vertical="center"/>
    </xf>
    <xf numFmtId="0" fontId="20" fillId="6" borderId="16" xfId="7" applyFont="1" applyFill="1" applyBorder="1" applyAlignment="1" applyProtection="1">
      <alignment horizontal="center" vertical="center"/>
    </xf>
    <xf numFmtId="165" fontId="20" fillId="6" borderId="16" xfId="4" applyFont="1" applyFill="1" applyBorder="1" applyAlignment="1" applyProtection="1">
      <alignment horizontal="center" vertical="center"/>
      <protection hidden="1"/>
    </xf>
    <xf numFmtId="0" fontId="9" fillId="7" borderId="16" xfId="7" applyFont="1" applyFill="1" applyBorder="1" applyAlignment="1" applyProtection="1">
      <alignment horizontal="center" vertical="center"/>
    </xf>
    <xf numFmtId="165" fontId="9" fillId="7" borderId="16" xfId="4" applyFont="1" applyFill="1" applyBorder="1" applyAlignment="1" applyProtection="1">
      <alignment horizontal="center" vertical="center"/>
      <protection hidden="1"/>
    </xf>
    <xf numFmtId="4" fontId="6" fillId="0" borderId="16" xfId="7" applyNumberFormat="1" applyFont="1" applyBorder="1" applyAlignment="1" applyProtection="1">
      <alignment horizontal="center" vertical="center"/>
      <protection hidden="1"/>
    </xf>
    <xf numFmtId="166" fontId="9" fillId="7" borderId="16" xfId="11" applyFont="1" applyFill="1" applyBorder="1" applyAlignment="1" applyProtection="1">
      <alignment horizontal="center" vertical="center"/>
      <protection hidden="1"/>
    </xf>
    <xf numFmtId="0" fontId="9" fillId="8" borderId="16" xfId="7" applyFont="1" applyFill="1" applyBorder="1" applyAlignment="1" applyProtection="1">
      <alignment horizontal="center" vertical="center"/>
    </xf>
    <xf numFmtId="4" fontId="9" fillId="8" borderId="16" xfId="7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9" fillId="13" borderId="25" xfId="0" applyFont="1" applyFill="1" applyBorder="1" applyAlignment="1">
      <alignment vertical="center"/>
    </xf>
    <xf numFmtId="0" fontId="10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49" fontId="10" fillId="0" borderId="87" xfId="0" applyNumberFormat="1" applyFont="1" applyBorder="1" applyAlignment="1">
      <alignment horizontal="center" vertical="center"/>
    </xf>
    <xf numFmtId="171" fontId="10" fillId="0" borderId="88" xfId="0" applyNumberFormat="1" applyFont="1" applyBorder="1" applyAlignment="1">
      <alignment horizontal="center" vertical="center"/>
    </xf>
    <xf numFmtId="0" fontId="10" fillId="13" borderId="26" xfId="0" applyFont="1" applyFill="1" applyBorder="1" applyAlignment="1">
      <alignment horizontal="center" vertical="center"/>
    </xf>
    <xf numFmtId="0" fontId="10" fillId="13" borderId="89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168" fontId="10" fillId="0" borderId="68" xfId="0" applyNumberFormat="1" applyFont="1" applyBorder="1" applyAlignment="1">
      <alignment horizontal="center" vertical="center"/>
    </xf>
    <xf numFmtId="168" fontId="10" fillId="0" borderId="70" xfId="0" applyNumberFormat="1" applyFont="1" applyBorder="1" applyAlignment="1">
      <alignment horizontal="center" vertical="center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7" borderId="29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textRotation="255"/>
    </xf>
    <xf numFmtId="0" fontId="16" fillId="9" borderId="0" xfId="6" applyFont="1" applyFill="1" applyBorder="1" applyAlignment="1">
      <alignment horizontal="center" vertical="center"/>
    </xf>
    <xf numFmtId="0" fontId="19" fillId="9" borderId="43" xfId="6" applyFont="1" applyFill="1" applyBorder="1" applyAlignment="1">
      <alignment horizontal="justify" vertical="center"/>
    </xf>
    <xf numFmtId="0" fontId="16" fillId="9" borderId="56" xfId="6" applyFont="1" applyFill="1" applyBorder="1" applyAlignment="1">
      <alignment horizontal="center" vertical="center"/>
    </xf>
    <xf numFmtId="0" fontId="19" fillId="9" borderId="3" xfId="6" applyFont="1" applyFill="1" applyBorder="1" applyAlignment="1">
      <alignment horizontal="justify" vertical="center"/>
    </xf>
    <xf numFmtId="0" fontId="16" fillId="9" borderId="42" xfId="6" applyFont="1" applyFill="1" applyBorder="1" applyAlignment="1">
      <alignment horizontal="center" vertical="center"/>
    </xf>
    <xf numFmtId="0" fontId="19" fillId="9" borderId="61" xfId="6" applyFont="1" applyFill="1" applyBorder="1" applyAlignment="1">
      <alignment horizontal="justify" vertical="center"/>
    </xf>
    <xf numFmtId="170" fontId="15" fillId="11" borderId="3" xfId="1" applyFont="1" applyFill="1" applyBorder="1" applyAlignment="1" applyProtection="1">
      <alignment horizontal="center" vertical="center"/>
    </xf>
    <xf numFmtId="167" fontId="15" fillId="11" borderId="63" xfId="0" applyNumberFormat="1" applyFont="1" applyFill="1" applyBorder="1" applyAlignment="1">
      <alignment horizontal="center" vertical="center"/>
    </xf>
    <xf numFmtId="170" fontId="0" fillId="3" borderId="64" xfId="0" applyNumberFormat="1" applyFill="1" applyBorder="1" applyAlignment="1">
      <alignment horizontal="center" vertical="center"/>
    </xf>
    <xf numFmtId="170" fontId="15" fillId="11" borderId="3" xfId="1" applyFont="1" applyFill="1" applyBorder="1" applyAlignment="1" applyProtection="1">
      <alignment horizontal="right" vertical="center"/>
    </xf>
    <xf numFmtId="167" fontId="15" fillId="11" borderId="63" xfId="0" applyNumberFormat="1" applyFont="1" applyFill="1" applyBorder="1" applyAlignment="1">
      <alignment horizontal="right" vertical="center"/>
    </xf>
    <xf numFmtId="170" fontId="19" fillId="12" borderId="3" xfId="0" applyNumberFormat="1" applyFont="1" applyFill="1" applyBorder="1" applyAlignment="1">
      <alignment horizontal="right"/>
    </xf>
    <xf numFmtId="170" fontId="19" fillId="12" borderId="63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 wrapText="1"/>
    </xf>
    <xf numFmtId="0" fontId="6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0" fontId="9" fillId="2" borderId="75" xfId="0" applyFont="1" applyFill="1" applyBorder="1" applyAlignment="1">
      <alignment horizontal="center" vertical="center"/>
    </xf>
    <xf numFmtId="0" fontId="11" fillId="4" borderId="80" xfId="0" applyFont="1" applyFill="1" applyBorder="1" applyAlignment="1">
      <alignment horizontal="center" vertical="center"/>
    </xf>
    <xf numFmtId="0" fontId="12" fillId="5" borderId="74" xfId="0" applyFont="1" applyFill="1" applyBorder="1" applyAlignment="1">
      <alignment horizontal="right" vertical="center"/>
    </xf>
    <xf numFmtId="0" fontId="12" fillId="5" borderId="82" xfId="0" applyFont="1" applyFill="1" applyBorder="1" applyAlignment="1">
      <alignment horizontal="right" vertical="center"/>
    </xf>
    <xf numFmtId="0" fontId="12" fillId="5" borderId="80" xfId="0" applyFont="1" applyFill="1" applyBorder="1" applyAlignment="1">
      <alignment horizontal="right" vertical="center" wrapText="1"/>
    </xf>
    <xf numFmtId="0" fontId="9" fillId="0" borderId="64" xfId="0" applyFont="1" applyBorder="1" applyAlignment="1">
      <alignment horizontal="center" wrapText="1"/>
    </xf>
    <xf numFmtId="0" fontId="9" fillId="0" borderId="16" xfId="13" applyFont="1" applyBorder="1" applyAlignment="1" applyProtection="1">
      <alignment horizontal="center" vertical="center" wrapText="1"/>
    </xf>
    <xf numFmtId="0" fontId="9" fillId="0" borderId="16" xfId="7" applyFont="1" applyBorder="1" applyAlignment="1" applyProtection="1">
      <alignment horizontal="center" vertical="center"/>
    </xf>
    <xf numFmtId="0" fontId="9" fillId="0" borderId="16" xfId="7" applyFont="1" applyBorder="1" applyAlignment="1" applyProtection="1">
      <alignment horizontal="center" vertical="center" wrapText="1"/>
    </xf>
    <xf numFmtId="0" fontId="20" fillId="6" borderId="16" xfId="7" applyFont="1" applyFill="1" applyBorder="1" applyAlignment="1" applyProtection="1">
      <alignment horizontal="left" vertical="center" wrapText="1"/>
    </xf>
    <xf numFmtId="0" fontId="9" fillId="7" borderId="16" xfId="7" applyFont="1" applyFill="1" applyBorder="1" applyAlignment="1" applyProtection="1">
      <alignment horizontal="left" vertical="center" wrapText="1"/>
    </xf>
    <xf numFmtId="0" fontId="9" fillId="8" borderId="16" xfId="7" applyFont="1" applyFill="1" applyBorder="1" applyAlignment="1" applyProtection="1">
      <alignment horizontal="left" vertical="center" wrapText="1"/>
    </xf>
    <xf numFmtId="10" fontId="21" fillId="0" borderId="16" xfId="10" applyNumberFormat="1" applyFont="1" applyBorder="1" applyAlignment="1" applyProtection="1">
      <alignment horizontal="center" vertical="center"/>
      <protection hidden="1"/>
    </xf>
    <xf numFmtId="0" fontId="6" fillId="0" borderId="16" xfId="7" applyFont="1" applyBorder="1" applyAlignment="1" applyProtection="1">
      <alignment horizontal="center" vertical="center"/>
    </xf>
    <xf numFmtId="0" fontId="6" fillId="0" borderId="16" xfId="7" applyFont="1" applyBorder="1" applyAlignment="1" applyProtection="1">
      <alignment horizontal="center" vertical="center" wrapText="1"/>
    </xf>
    <xf numFmtId="0" fontId="6" fillId="0" borderId="85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/>
    </xf>
    <xf numFmtId="0" fontId="9" fillId="13" borderId="25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13" borderId="62" xfId="0" applyFont="1" applyFill="1" applyBorder="1" applyAlignment="1">
      <alignment horizontal="center" vertical="center"/>
    </xf>
    <xf numFmtId="0" fontId="10" fillId="13" borderId="26" xfId="0" applyFont="1" applyFill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66" xfId="0" applyFont="1" applyBorder="1" applyAlignment="1">
      <alignment horizontal="right" vertical="center"/>
    </xf>
  </cellXfs>
  <cellStyles count="14">
    <cellStyle name="Excel Built-in Normal" xfId="13" xr:uid="{00000000-0005-0000-0000-000010000000}"/>
    <cellStyle name="Moeda 2" xfId="3" xr:uid="{00000000-0005-0000-0000-000006000000}"/>
    <cellStyle name="Moeda 3" xfId="4" xr:uid="{00000000-0005-0000-0000-000007000000}"/>
    <cellStyle name="Normal" xfId="0" builtinId="0"/>
    <cellStyle name="Normal 2" xfId="5" xr:uid="{00000000-0005-0000-0000-000008000000}"/>
    <cellStyle name="Normal 2 2" xfId="6" xr:uid="{00000000-0005-0000-0000-000009000000}"/>
    <cellStyle name="Normal 2 2 2" xfId="7" xr:uid="{00000000-0005-0000-0000-00000A000000}"/>
    <cellStyle name="Normal 2 3" xfId="8" xr:uid="{00000000-0005-0000-0000-00000B000000}"/>
    <cellStyle name="Porcentagem" xfId="2" builtinId="5"/>
    <cellStyle name="Porcentagem 2" xfId="9" xr:uid="{00000000-0005-0000-0000-00000C000000}"/>
    <cellStyle name="Porcentagem 2 2" xfId="10" xr:uid="{00000000-0005-0000-0000-00000D000000}"/>
    <cellStyle name="Separador de milhares 4" xfId="11" xr:uid="{00000000-0005-0000-0000-00000E000000}"/>
    <cellStyle name="Vírgula" xfId="1" builtinId="3"/>
    <cellStyle name="Vírgula 2" xfId="12" xr:uid="{00000000-0005-0000-0000-00000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FBFBF"/>
      <rgbColor rgb="FFFF99CC"/>
      <rgbColor rgb="FFCC99FF"/>
      <rgbColor rgb="FFFFD966"/>
      <rgbColor rgb="FF2E75B6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172080</xdr:colOff>
      <xdr:row>0</xdr:row>
      <xdr:rowOff>37440</xdr:rowOff>
    </xdr:from>
    <xdr:to>
      <xdr:col>2</xdr:col>
      <xdr:colOff>1090080</xdr:colOff>
      <xdr:row>3</xdr:row>
      <xdr:rowOff>174600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2080" y="37440"/>
          <a:ext cx="2026440" cy="746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57600</xdr:colOff>
      <xdr:row>2</xdr:row>
      <xdr:rowOff>65160</xdr:rowOff>
    </xdr:from>
    <xdr:to>
      <xdr:col>4</xdr:col>
      <xdr:colOff>1441080</xdr:colOff>
      <xdr:row>3</xdr:row>
      <xdr:rowOff>124200</xdr:rowOff>
    </xdr:to>
    <xdr:pic>
      <xdr:nvPicPr>
        <xdr:cNvPr id="2" name="Picture 1_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72720" y="446040"/>
          <a:ext cx="1988640" cy="50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15120</xdr:rowOff>
    </xdr:from>
    <xdr:to>
      <xdr:col>2</xdr:col>
      <xdr:colOff>933120</xdr:colOff>
      <xdr:row>3</xdr:row>
      <xdr:rowOff>152280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5120"/>
          <a:ext cx="2026440" cy="73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15120</xdr:colOff>
      <xdr:row>0</xdr:row>
      <xdr:rowOff>14400</xdr:rowOff>
    </xdr:from>
    <xdr:to>
      <xdr:col>2</xdr:col>
      <xdr:colOff>934200</xdr:colOff>
      <xdr:row>3</xdr:row>
      <xdr:rowOff>75240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120" y="14400"/>
          <a:ext cx="2027520" cy="70848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npf/Desktop/Trabalho/Agencia%20Nacional%20de%20Minera&#231;&#227;o%20-%20ANM/Execu&#231;&#227;o%20dos%20Servi&#231;os/Etapa%204%20-%20Or&#231;amento%20e%20Memorias%20de%20Calculo/MODELO%20OR&#199;AMENTO%20AN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7"/>
  <sheetViews>
    <sheetView tabSelected="1" topLeftCell="A25" zoomScale="85" zoomScaleNormal="85" workbookViewId="0">
      <selection activeCell="G25" sqref="G25"/>
    </sheetView>
  </sheetViews>
  <sheetFormatPr defaultColWidth="8.375" defaultRowHeight="15.75" x14ac:dyDescent="0.2"/>
  <cols>
    <col min="1" max="1" width="6.375" style="15" customWidth="1"/>
    <col min="2" max="2" width="8" style="15" customWidth="1"/>
    <col min="3" max="3" width="17.625" style="16" customWidth="1"/>
    <col min="4" max="4" width="48.125" style="17" customWidth="1"/>
    <col min="5" max="5" width="10" style="15" customWidth="1"/>
    <col min="6" max="6" width="8.75" style="18" customWidth="1"/>
    <col min="7" max="7" width="51.25" style="17" customWidth="1"/>
    <col min="8" max="8" width="11.375" style="19" customWidth="1"/>
    <col min="9" max="9" width="12.875" style="19" customWidth="1"/>
    <col min="10" max="10" width="11.375" style="20" customWidth="1"/>
    <col min="11" max="11" width="11.375" style="19" customWidth="1"/>
    <col min="12" max="12" width="12.875" style="19" customWidth="1"/>
    <col min="13" max="13" width="21.5" style="19" customWidth="1"/>
    <col min="14" max="64" width="8.375" style="15"/>
  </cols>
  <sheetData>
    <row r="1" spans="1:64" ht="16.5" customHeight="1" x14ac:dyDescent="0.2">
      <c r="A1" s="14"/>
      <c r="B1" s="14"/>
      <c r="C1" s="14"/>
      <c r="D1" s="13" t="s">
        <v>0</v>
      </c>
      <c r="E1" s="13"/>
      <c r="F1" s="13"/>
      <c r="G1" s="13"/>
      <c r="H1" s="13"/>
      <c r="I1" s="13"/>
      <c r="J1" s="13"/>
      <c r="K1" s="13"/>
      <c r="L1" s="13"/>
      <c r="M1" s="13"/>
    </row>
    <row r="2" spans="1:64" x14ac:dyDescent="0.2">
      <c r="A2" s="14"/>
      <c r="B2" s="14"/>
      <c r="C2" s="14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64" x14ac:dyDescent="0.2">
      <c r="A3" s="14"/>
      <c r="B3" s="14"/>
      <c r="C3" s="14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64" x14ac:dyDescent="0.2">
      <c r="A4" s="14"/>
      <c r="B4" s="14"/>
      <c r="C4" s="14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64" ht="15.75" customHeight="1" x14ac:dyDescent="0.2">
      <c r="A5" s="12" t="s">
        <v>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64" ht="15.7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64" ht="15.7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64" ht="15.7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64" ht="15.7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64" ht="15.7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64" ht="27.6" customHeight="1" x14ac:dyDescent="0.2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64" ht="47.25" x14ac:dyDescent="0.2">
      <c r="A12" s="21" t="s">
        <v>3</v>
      </c>
      <c r="B12" s="22" t="s">
        <v>4</v>
      </c>
      <c r="C12" s="23" t="s">
        <v>5</v>
      </c>
      <c r="D12" s="24" t="s">
        <v>6</v>
      </c>
      <c r="E12" s="22" t="s">
        <v>7</v>
      </c>
      <c r="F12" s="25" t="s">
        <v>8</v>
      </c>
      <c r="G12" s="24" t="s">
        <v>9</v>
      </c>
      <c r="H12" s="26" t="s">
        <v>10</v>
      </c>
      <c r="I12" s="26" t="s">
        <v>11</v>
      </c>
      <c r="J12" s="27" t="s">
        <v>12</v>
      </c>
      <c r="K12" s="26" t="s">
        <v>13</v>
      </c>
      <c r="L12" s="26" t="s">
        <v>14</v>
      </c>
      <c r="M12" s="28" t="s">
        <v>15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</row>
    <row r="13" spans="1:64" x14ac:dyDescent="0.2">
      <c r="A13" s="30">
        <v>1</v>
      </c>
      <c r="B13" s="10" t="s">
        <v>16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38.25" x14ac:dyDescent="0.2">
      <c r="A14" s="31" t="s">
        <v>17</v>
      </c>
      <c r="B14" s="32" t="s">
        <v>18</v>
      </c>
      <c r="C14" s="33" t="s">
        <v>19</v>
      </c>
      <c r="D14" s="34" t="s">
        <v>20</v>
      </c>
      <c r="E14" s="32" t="s">
        <v>21</v>
      </c>
      <c r="F14" s="35">
        <f>((((5+6)*10.6)/2)+(((5+1)*12.04)/2)+(((1+6)*9.24)/2))+((((5+6)*9.74)/2)+(((5+1)*5.37)/2)+(((1+6)*6.87)/2))</f>
        <v>220.48500000000001</v>
      </c>
      <c r="G14" s="36" t="s">
        <v>22</v>
      </c>
      <c r="H14" s="37">
        <v>2.9</v>
      </c>
      <c r="I14" s="37">
        <f t="shared" ref="I14:I25" si="0">H14*F14</f>
        <v>639.40650000000005</v>
      </c>
      <c r="J14" s="38">
        <v>0.2495</v>
      </c>
      <c r="K14" s="37">
        <f t="shared" ref="K14:K25" si="1">H14+(H14*J14)</f>
        <v>3.6235499999999998</v>
      </c>
      <c r="L14" s="37">
        <f t="shared" ref="L14:L25" si="2">K14*F14</f>
        <v>798.93842174999997</v>
      </c>
      <c r="M14" s="39">
        <f t="shared" ref="M14:M25" si="3">L14/$M$55</f>
        <v>1.8594031644443329E-3</v>
      </c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</row>
    <row r="15" spans="1:64" ht="14.25" x14ac:dyDescent="0.2">
      <c r="A15" s="31" t="s">
        <v>23</v>
      </c>
      <c r="B15" s="32" t="s">
        <v>24</v>
      </c>
      <c r="C15" s="33" t="s">
        <v>25</v>
      </c>
      <c r="D15" s="34" t="s">
        <v>26</v>
      </c>
      <c r="E15" s="32" t="s">
        <v>21</v>
      </c>
      <c r="F15" s="35">
        <f>1.8*1.1</f>
        <v>1.9800000000000002</v>
      </c>
      <c r="G15" s="36" t="s">
        <v>27</v>
      </c>
      <c r="H15" s="37">
        <f>'COMPOSIÇÃO PRÓPRIA '!J23</f>
        <v>472.86599999999993</v>
      </c>
      <c r="I15" s="37">
        <f t="shared" si="0"/>
        <v>936.27467999999999</v>
      </c>
      <c r="J15" s="38">
        <v>0.2495</v>
      </c>
      <c r="K15" s="37">
        <f t="shared" si="1"/>
        <v>590.84606699999995</v>
      </c>
      <c r="L15" s="37">
        <f t="shared" si="2"/>
        <v>1169.87521266</v>
      </c>
      <c r="M15" s="39">
        <f t="shared" si="3"/>
        <v>2.7227000394601949E-3</v>
      </c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</row>
    <row r="16" spans="1:64" ht="25.5" x14ac:dyDescent="0.2">
      <c r="A16" s="31" t="s">
        <v>28</v>
      </c>
      <c r="B16" s="32" t="s">
        <v>18</v>
      </c>
      <c r="C16" s="33" t="s">
        <v>29</v>
      </c>
      <c r="D16" s="34" t="s">
        <v>30</v>
      </c>
      <c r="E16" s="32" t="s">
        <v>21</v>
      </c>
      <c r="F16" s="35">
        <f>2.5*3</f>
        <v>7.5</v>
      </c>
      <c r="G16" s="36" t="s">
        <v>31</v>
      </c>
      <c r="H16" s="37">
        <v>951.27</v>
      </c>
      <c r="I16" s="37">
        <f t="shared" si="0"/>
        <v>7134.5249999999996</v>
      </c>
      <c r="J16" s="38">
        <v>0.2495</v>
      </c>
      <c r="K16" s="37">
        <f t="shared" si="1"/>
        <v>1188.6118649999999</v>
      </c>
      <c r="L16" s="37">
        <f t="shared" si="2"/>
        <v>8914.5889874999993</v>
      </c>
      <c r="M16" s="39">
        <f t="shared" si="3"/>
        <v>2.0747299819140409E-2</v>
      </c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</row>
    <row r="17" spans="1:64" ht="38.25" x14ac:dyDescent="0.2">
      <c r="A17" s="31" t="s">
        <v>32</v>
      </c>
      <c r="B17" s="41" t="s">
        <v>24</v>
      </c>
      <c r="C17" s="42" t="s">
        <v>33</v>
      </c>
      <c r="D17" s="43" t="s">
        <v>34</v>
      </c>
      <c r="E17" s="41" t="s">
        <v>35</v>
      </c>
      <c r="F17" s="44">
        <f>( (94.35+193.08)*0.5)</f>
        <v>143.715</v>
      </c>
      <c r="G17" s="45" t="s">
        <v>36</v>
      </c>
      <c r="H17" s="46">
        <f>'COMPOSIÇÃO PRÓPRIA '!J34</f>
        <v>1.6486699999999999</v>
      </c>
      <c r="I17" s="46">
        <f t="shared" si="0"/>
        <v>236.93860905</v>
      </c>
      <c r="J17" s="38">
        <v>0.2495</v>
      </c>
      <c r="K17" s="46">
        <f t="shared" si="1"/>
        <v>2.060013165</v>
      </c>
      <c r="L17" s="46">
        <f t="shared" si="2"/>
        <v>296.05479200797498</v>
      </c>
      <c r="M17" s="39">
        <f t="shared" si="3"/>
        <v>6.8902083329870525E-4</v>
      </c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64" ht="38.25" x14ac:dyDescent="0.2">
      <c r="A18" s="31" t="s">
        <v>37</v>
      </c>
      <c r="B18" s="41" t="s">
        <v>18</v>
      </c>
      <c r="C18" s="42" t="s">
        <v>38</v>
      </c>
      <c r="D18" s="43" t="s">
        <v>39</v>
      </c>
      <c r="E18" s="41" t="s">
        <v>40</v>
      </c>
      <c r="F18" s="44">
        <f>F14*1</f>
        <v>220.48500000000001</v>
      </c>
      <c r="G18" s="45" t="s">
        <v>41</v>
      </c>
      <c r="H18" s="46">
        <v>3.68</v>
      </c>
      <c r="I18" s="46">
        <f t="shared" si="0"/>
        <v>811.38480000000004</v>
      </c>
      <c r="J18" s="38">
        <v>0.2495</v>
      </c>
      <c r="K18" s="46">
        <f t="shared" si="1"/>
        <v>4.59816</v>
      </c>
      <c r="L18" s="46">
        <f t="shared" si="2"/>
        <v>1013.8253076000001</v>
      </c>
      <c r="M18" s="39">
        <f t="shared" si="3"/>
        <v>2.3595184983293605E-3</v>
      </c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</row>
    <row r="19" spans="1:64" ht="51" x14ac:dyDescent="0.2">
      <c r="A19" s="31" t="s">
        <v>42</v>
      </c>
      <c r="B19" s="41" t="s">
        <v>18</v>
      </c>
      <c r="C19" s="42" t="s">
        <v>43</v>
      </c>
      <c r="D19" s="43" t="s">
        <v>44</v>
      </c>
      <c r="E19" s="41" t="s">
        <v>40</v>
      </c>
      <c r="F19" s="44">
        <f>F18*1.1</f>
        <v>242.53350000000003</v>
      </c>
      <c r="G19" s="45" t="s">
        <v>45</v>
      </c>
      <c r="H19" s="46">
        <v>7.66</v>
      </c>
      <c r="I19" s="46">
        <f t="shared" si="0"/>
        <v>1857.8066100000003</v>
      </c>
      <c r="J19" s="38">
        <v>0.2495</v>
      </c>
      <c r="K19" s="46">
        <f t="shared" si="1"/>
        <v>9.5711700000000004</v>
      </c>
      <c r="L19" s="46">
        <f t="shared" si="2"/>
        <v>2321.3293591950005</v>
      </c>
      <c r="M19" s="39">
        <f t="shared" si="3"/>
        <v>5.4025279529682588E-3</v>
      </c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</row>
    <row r="20" spans="1:64" ht="51" x14ac:dyDescent="0.2">
      <c r="A20" s="31" t="s">
        <v>46</v>
      </c>
      <c r="B20" s="41" t="s">
        <v>18</v>
      </c>
      <c r="C20" s="42" t="s">
        <v>47</v>
      </c>
      <c r="D20" s="43" t="s">
        <v>48</v>
      </c>
      <c r="E20" s="41" t="s">
        <v>21</v>
      </c>
      <c r="F20" s="44">
        <f>(2.86*1.5)+(8*1.5)+(2.91*1.68)+(8*1.5)+(2.99*1.68)+(16*1.5)+(2.93*1.68)+(16*1.5)+(3.14*1.64)+(16*1.5)+(2.96*1.68)+(16*1.5)+(1.5*1.7)</f>
        <v>151.79680000000002</v>
      </c>
      <c r="G20" s="45" t="s">
        <v>49</v>
      </c>
      <c r="H20" s="46">
        <v>10.29</v>
      </c>
      <c r="I20" s="46">
        <f t="shared" si="0"/>
        <v>1561.9890720000001</v>
      </c>
      <c r="J20" s="38">
        <v>0.2495</v>
      </c>
      <c r="K20" s="46">
        <f t="shared" si="1"/>
        <v>12.857354999999998</v>
      </c>
      <c r="L20" s="46">
        <f t="shared" si="2"/>
        <v>1951.7053454639999</v>
      </c>
      <c r="M20" s="39">
        <f t="shared" si="3"/>
        <v>4.5422863597793682E-3</v>
      </c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</row>
    <row r="21" spans="1:64" ht="38.25" x14ac:dyDescent="0.2">
      <c r="A21" s="31" t="s">
        <v>50</v>
      </c>
      <c r="B21" s="41" t="s">
        <v>18</v>
      </c>
      <c r="C21" s="42" t="s">
        <v>51</v>
      </c>
      <c r="D21" s="43" t="s">
        <v>52</v>
      </c>
      <c r="E21" s="41" t="s">
        <v>53</v>
      </c>
      <c r="F21" s="44">
        <f>(220.49*3)</f>
        <v>661.47</v>
      </c>
      <c r="G21" s="45" t="s">
        <v>54</v>
      </c>
      <c r="H21" s="46">
        <v>2.36</v>
      </c>
      <c r="I21" s="46">
        <f t="shared" si="0"/>
        <v>1561.0691999999999</v>
      </c>
      <c r="J21" s="38">
        <v>0.2495</v>
      </c>
      <c r="K21" s="46">
        <f t="shared" si="1"/>
        <v>2.94882</v>
      </c>
      <c r="L21" s="46">
        <f t="shared" si="2"/>
        <v>1950.5559654000001</v>
      </c>
      <c r="M21" s="39">
        <f t="shared" si="3"/>
        <v>4.5396113589658274E-3</v>
      </c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</row>
    <row r="22" spans="1:64" ht="38.25" x14ac:dyDescent="0.2">
      <c r="A22" s="31" t="s">
        <v>55</v>
      </c>
      <c r="B22" s="41" t="s">
        <v>18</v>
      </c>
      <c r="C22" s="42" t="s">
        <v>56</v>
      </c>
      <c r="D22" s="43" t="s">
        <v>57</v>
      </c>
      <c r="E22" s="41" t="s">
        <v>21</v>
      </c>
      <c r="F22" s="44">
        <f>F14</f>
        <v>220.48500000000001</v>
      </c>
      <c r="G22" s="45" t="s">
        <v>58</v>
      </c>
      <c r="H22" s="46">
        <v>20.309999999999999</v>
      </c>
      <c r="I22" s="46">
        <f t="shared" si="0"/>
        <v>4478.0503500000004</v>
      </c>
      <c r="J22" s="38">
        <v>0.2495</v>
      </c>
      <c r="K22" s="46">
        <f t="shared" si="1"/>
        <v>25.377344999999998</v>
      </c>
      <c r="L22" s="46">
        <f t="shared" si="2"/>
        <v>5595.3239123249996</v>
      </c>
      <c r="M22" s="39">
        <f t="shared" si="3"/>
        <v>1.3022233886160136E-2</v>
      </c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</row>
    <row r="23" spans="1:64" ht="38.25" x14ac:dyDescent="0.2">
      <c r="A23" s="31" t="s">
        <v>59</v>
      </c>
      <c r="B23" s="41" t="s">
        <v>18</v>
      </c>
      <c r="C23" s="42" t="s">
        <v>60</v>
      </c>
      <c r="D23" s="43" t="s">
        <v>61</v>
      </c>
      <c r="E23" s="41" t="s">
        <v>53</v>
      </c>
      <c r="F23" s="44">
        <f>((32.96+24.37)*30)</f>
        <v>1719.8999999999999</v>
      </c>
      <c r="G23" s="45" t="s">
        <v>62</v>
      </c>
      <c r="H23" s="46">
        <v>2.58</v>
      </c>
      <c r="I23" s="46">
        <f t="shared" si="0"/>
        <v>4437.3419999999996</v>
      </c>
      <c r="J23" s="38">
        <v>0.2495</v>
      </c>
      <c r="K23" s="46">
        <f t="shared" si="1"/>
        <v>3.2237100000000001</v>
      </c>
      <c r="L23" s="46">
        <f t="shared" si="2"/>
        <v>5544.4588289999992</v>
      </c>
      <c r="M23" s="39">
        <f t="shared" si="3"/>
        <v>1.2903853427392033E-2</v>
      </c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64" s="58" customFormat="1" ht="25.5" x14ac:dyDescent="0.2">
      <c r="A24" s="47" t="s">
        <v>63</v>
      </c>
      <c r="B24" s="48" t="s">
        <v>24</v>
      </c>
      <c r="C24" s="49" t="s">
        <v>64</v>
      </c>
      <c r="D24" s="50" t="s">
        <v>65</v>
      </c>
      <c r="E24" s="51" t="s">
        <v>66</v>
      </c>
      <c r="F24" s="52">
        <f>18+14</f>
        <v>32</v>
      </c>
      <c r="G24" s="53" t="s">
        <v>67</v>
      </c>
      <c r="H24" s="54">
        <f>'COMPOSIÇÃO PRÓPRIA '!J45</f>
        <v>439.58100000000002</v>
      </c>
      <c r="I24" s="54">
        <f t="shared" si="0"/>
        <v>14066.592000000001</v>
      </c>
      <c r="J24" s="55">
        <v>0.2495</v>
      </c>
      <c r="K24" s="54">
        <f t="shared" si="1"/>
        <v>549.25645950000001</v>
      </c>
      <c r="L24" s="54">
        <f t="shared" si="2"/>
        <v>17576.206704</v>
      </c>
      <c r="M24" s="56">
        <f t="shared" si="3"/>
        <v>4.0905848904800528E-2</v>
      </c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</row>
    <row r="25" spans="1:64" ht="38.25" x14ac:dyDescent="0.2">
      <c r="A25" s="31" t="s">
        <v>68</v>
      </c>
      <c r="B25" s="41" t="s">
        <v>18</v>
      </c>
      <c r="C25" s="42" t="s">
        <v>69</v>
      </c>
      <c r="D25" s="43" t="s">
        <v>70</v>
      </c>
      <c r="E25" s="41" t="s">
        <v>21</v>
      </c>
      <c r="F25" s="44">
        <f>F14</f>
        <v>220.48500000000001</v>
      </c>
      <c r="G25" s="45" t="s">
        <v>58</v>
      </c>
      <c r="H25" s="46">
        <v>1.55</v>
      </c>
      <c r="I25" s="46">
        <f t="shared" si="0"/>
        <v>341.75175000000002</v>
      </c>
      <c r="J25" s="38">
        <v>0.2495</v>
      </c>
      <c r="K25" s="46">
        <f t="shared" si="1"/>
        <v>1.936725</v>
      </c>
      <c r="L25" s="46">
        <f t="shared" si="2"/>
        <v>427.01881162500001</v>
      </c>
      <c r="M25" s="39">
        <f t="shared" si="3"/>
        <v>9.9381893272024679E-4</v>
      </c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64" ht="14.25" x14ac:dyDescent="0.2">
      <c r="A26" s="9" t="s">
        <v>71</v>
      </c>
      <c r="B26" s="9"/>
      <c r="C26" s="9"/>
      <c r="D26" s="9"/>
      <c r="E26" s="9"/>
      <c r="F26" s="9"/>
      <c r="G26" s="9"/>
      <c r="H26" s="9"/>
      <c r="I26" s="59">
        <f>SUM(I14:I25)</f>
        <v>38063.130571050002</v>
      </c>
      <c r="J26" s="60"/>
      <c r="K26" s="59"/>
      <c r="L26" s="59">
        <f>SUM(L14:L25)</f>
        <v>47559.881648526971</v>
      </c>
      <c r="M26" s="60">
        <f>L26/M55</f>
        <v>0.11068812317745939</v>
      </c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64" x14ac:dyDescent="0.2">
      <c r="A27" s="30">
        <v>2</v>
      </c>
      <c r="B27" s="10" t="s">
        <v>72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</row>
    <row r="28" spans="1:64" ht="14.25" x14ac:dyDescent="0.2">
      <c r="A28" s="31"/>
      <c r="B28" s="41"/>
      <c r="C28" s="42"/>
      <c r="D28" s="43" t="s">
        <v>73</v>
      </c>
      <c r="E28" s="41"/>
      <c r="F28" s="44"/>
      <c r="G28" s="45"/>
      <c r="H28" s="46"/>
      <c r="I28" s="46"/>
      <c r="J28" s="38"/>
      <c r="K28" s="46"/>
      <c r="L28" s="46"/>
      <c r="M28" s="39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64" ht="38.25" x14ac:dyDescent="0.2">
      <c r="A29" s="31" t="s">
        <v>74</v>
      </c>
      <c r="B29" s="32" t="s">
        <v>18</v>
      </c>
      <c r="C29" s="42" t="s">
        <v>75</v>
      </c>
      <c r="D29" s="43" t="s">
        <v>76</v>
      </c>
      <c r="E29" s="41" t="s">
        <v>77</v>
      </c>
      <c r="F29" s="62">
        <f>(1192.8+54.1+1168.56+214.2+243.6+677.12+236.5+264.88+187.68+213.44+1374.56+300+440.64+246.84+280.72)*0.617*1.1</f>
        <v>4815.8108679999996</v>
      </c>
      <c r="G29" s="45" t="s">
        <v>78</v>
      </c>
      <c r="H29" s="46">
        <v>14.73</v>
      </c>
      <c r="I29" s="63">
        <f t="shared" ref="I29:I36" si="4">H29*F29</f>
        <v>70936.89408564</v>
      </c>
      <c r="J29" s="38">
        <v>0.2495</v>
      </c>
      <c r="K29" s="63">
        <f t="shared" ref="K29:K36" si="5">H29+(H29*J29)</f>
        <v>18.405135000000001</v>
      </c>
      <c r="L29" s="63">
        <f t="shared" ref="L29:L36" si="6">K29*F29</f>
        <v>88635.649160007175</v>
      </c>
      <c r="M29" s="39">
        <f t="shared" ref="M29:M36" si="7">L29/$M$55</f>
        <v>0.20628549340472999</v>
      </c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64" ht="25.5" x14ac:dyDescent="0.2">
      <c r="A30" s="31" t="s">
        <v>79</v>
      </c>
      <c r="B30" s="32" t="s">
        <v>18</v>
      </c>
      <c r="C30" s="42" t="s">
        <v>80</v>
      </c>
      <c r="D30" s="43" t="s">
        <v>81</v>
      </c>
      <c r="E30" s="41" t="s">
        <v>40</v>
      </c>
      <c r="F30" s="62">
        <f>((((5+6)*10.6)/2)+(((5+1)*12.04)/2)+(((1+6)*9.24)/2))*0.26</f>
        <v>32.957599999999999</v>
      </c>
      <c r="G30" s="45" t="s">
        <v>82</v>
      </c>
      <c r="H30" s="46">
        <v>488.6</v>
      </c>
      <c r="I30" s="63">
        <f t="shared" si="4"/>
        <v>16103.083360000001</v>
      </c>
      <c r="J30" s="38">
        <v>0.2495</v>
      </c>
      <c r="K30" s="63">
        <f t="shared" si="5"/>
        <v>610.50570000000005</v>
      </c>
      <c r="L30" s="63">
        <f t="shared" si="6"/>
        <v>20120.802658320001</v>
      </c>
      <c r="M30" s="39">
        <f t="shared" si="7"/>
        <v>4.6827994643305754E-2</v>
      </c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</row>
    <row r="31" spans="1:64" ht="38.25" x14ac:dyDescent="0.2">
      <c r="A31" s="31" t="s">
        <v>83</v>
      </c>
      <c r="B31" s="64" t="s">
        <v>18</v>
      </c>
      <c r="C31" s="42" t="s">
        <v>84</v>
      </c>
      <c r="D31" s="43" t="s">
        <v>85</v>
      </c>
      <c r="E31" s="41" t="s">
        <v>66</v>
      </c>
      <c r="F31" s="62">
        <v>18</v>
      </c>
      <c r="G31" s="45" t="s">
        <v>86</v>
      </c>
      <c r="H31" s="46">
        <v>28.14</v>
      </c>
      <c r="I31" s="63">
        <f t="shared" si="4"/>
        <v>506.52</v>
      </c>
      <c r="J31" s="38">
        <v>0.2495</v>
      </c>
      <c r="K31" s="63">
        <f t="shared" si="5"/>
        <v>35.16093</v>
      </c>
      <c r="L31" s="63">
        <f t="shared" si="6"/>
        <v>632.89674000000002</v>
      </c>
      <c r="M31" s="39">
        <f t="shared" si="7"/>
        <v>1.472967339015702E-3</v>
      </c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64" ht="51" x14ac:dyDescent="0.2">
      <c r="A32" s="31" t="s">
        <v>87</v>
      </c>
      <c r="B32" s="64" t="s">
        <v>18</v>
      </c>
      <c r="C32" s="42" t="s">
        <v>88</v>
      </c>
      <c r="D32" s="43" t="s">
        <v>89</v>
      </c>
      <c r="E32" s="41" t="s">
        <v>90</v>
      </c>
      <c r="F32" s="62">
        <f>(10.75*18)</f>
        <v>193.5</v>
      </c>
      <c r="G32" s="45" t="s">
        <v>91</v>
      </c>
      <c r="H32" s="46">
        <v>176.66</v>
      </c>
      <c r="I32" s="63">
        <f t="shared" si="4"/>
        <v>34183.71</v>
      </c>
      <c r="J32" s="38">
        <v>0.2495</v>
      </c>
      <c r="K32" s="63">
        <f t="shared" si="5"/>
        <v>220.73667</v>
      </c>
      <c r="L32" s="63">
        <f t="shared" si="6"/>
        <v>42712.545644999998</v>
      </c>
      <c r="M32" s="39">
        <f t="shared" si="7"/>
        <v>9.9406713172993058E-2</v>
      </c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</row>
    <row r="33" spans="1:64" ht="38.25" x14ac:dyDescent="0.2">
      <c r="A33" s="31" t="s">
        <v>92</v>
      </c>
      <c r="B33" s="64" t="s">
        <v>18</v>
      </c>
      <c r="C33" s="42" t="s">
        <v>93</v>
      </c>
      <c r="D33" s="43" t="s">
        <v>94</v>
      </c>
      <c r="E33" s="41" t="s">
        <v>90</v>
      </c>
      <c r="F33" s="44">
        <f>6.14+4.2</f>
        <v>10.34</v>
      </c>
      <c r="G33" s="45" t="s">
        <v>95</v>
      </c>
      <c r="H33" s="46">
        <v>93.6</v>
      </c>
      <c r="I33" s="46">
        <f t="shared" si="4"/>
        <v>967.82399999999996</v>
      </c>
      <c r="J33" s="38">
        <v>0.2495</v>
      </c>
      <c r="K33" s="46">
        <f t="shared" si="5"/>
        <v>116.9532</v>
      </c>
      <c r="L33" s="46">
        <f t="shared" si="6"/>
        <v>1209.2960879999998</v>
      </c>
      <c r="M33" s="39">
        <f t="shared" si="7"/>
        <v>2.8144459091754177E-3</v>
      </c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</row>
    <row r="34" spans="1:64" ht="51" x14ac:dyDescent="0.2">
      <c r="A34" s="31" t="s">
        <v>96</v>
      </c>
      <c r="B34" s="41" t="s">
        <v>18</v>
      </c>
      <c r="C34" s="42" t="s">
        <v>97</v>
      </c>
      <c r="D34" s="43" t="s">
        <v>98</v>
      </c>
      <c r="E34" s="41" t="s">
        <v>21</v>
      </c>
      <c r="F34" s="44">
        <f>((((5+6)*10.6)/2)+(((5+1)*12.04)/2)+(((1+6)*9.24)/2))</f>
        <v>126.75999999999999</v>
      </c>
      <c r="G34" s="45" t="s">
        <v>99</v>
      </c>
      <c r="H34" s="46">
        <v>34.51</v>
      </c>
      <c r="I34" s="46">
        <f t="shared" si="4"/>
        <v>4374.4875999999995</v>
      </c>
      <c r="J34" s="38">
        <v>0.2495</v>
      </c>
      <c r="K34" s="46">
        <f t="shared" si="5"/>
        <v>43.120244999999997</v>
      </c>
      <c r="L34" s="46">
        <f t="shared" si="6"/>
        <v>5465.9222561999995</v>
      </c>
      <c r="M34" s="39">
        <f t="shared" si="7"/>
        <v>1.2721071941343252E-2</v>
      </c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</row>
    <row r="35" spans="1:64" ht="38.25" x14ac:dyDescent="0.2">
      <c r="A35" s="31" t="s">
        <v>100</v>
      </c>
      <c r="B35" s="41" t="s">
        <v>18</v>
      </c>
      <c r="C35" s="42" t="s">
        <v>101</v>
      </c>
      <c r="D35" s="43" t="s">
        <v>102</v>
      </c>
      <c r="E35" s="41" t="s">
        <v>77</v>
      </c>
      <c r="F35" s="44">
        <f>(96.84+84.84+188.16+38.9+92.88+24+65.8+9.27+151.8+141.12+24+6.94)*1.578*1.1</f>
        <v>1604.8338900000001</v>
      </c>
      <c r="G35" s="45" t="s">
        <v>103</v>
      </c>
      <c r="H35" s="46">
        <v>12</v>
      </c>
      <c r="I35" s="46">
        <f t="shared" si="4"/>
        <v>19258.006680000002</v>
      </c>
      <c r="J35" s="38">
        <v>0.2495</v>
      </c>
      <c r="K35" s="46">
        <f t="shared" si="5"/>
        <v>14.994</v>
      </c>
      <c r="L35" s="46">
        <f t="shared" si="6"/>
        <v>24062.87934666</v>
      </c>
      <c r="M35" s="39">
        <f t="shared" si="7"/>
        <v>5.6002556373265053E-2</v>
      </c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64" ht="38.25" x14ac:dyDescent="0.2">
      <c r="A36" s="31" t="s">
        <v>104</v>
      </c>
      <c r="B36" s="41" t="s">
        <v>18</v>
      </c>
      <c r="C36" s="42" t="s">
        <v>105</v>
      </c>
      <c r="D36" s="43" t="s">
        <v>106</v>
      </c>
      <c r="E36" s="41" t="s">
        <v>21</v>
      </c>
      <c r="F36" s="44">
        <f>(2*3.14*0.01*7805.2)+(2*3.14*0.016*1017.01)</f>
        <v>592.35572480000008</v>
      </c>
      <c r="G36" s="45" t="s">
        <v>107</v>
      </c>
      <c r="H36" s="46">
        <v>20.99</v>
      </c>
      <c r="I36" s="46">
        <f t="shared" si="4"/>
        <v>12433.546663552001</v>
      </c>
      <c r="J36" s="38">
        <v>0.2495</v>
      </c>
      <c r="K36" s="46">
        <f t="shared" si="5"/>
        <v>26.227004999999998</v>
      </c>
      <c r="L36" s="46">
        <f t="shared" si="6"/>
        <v>15535.716556108226</v>
      </c>
      <c r="M36" s="39">
        <f t="shared" si="7"/>
        <v>3.6156929920910824E-2</v>
      </c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</row>
    <row r="37" spans="1:64" ht="14.25" x14ac:dyDescent="0.2">
      <c r="A37" s="31"/>
      <c r="B37" s="41"/>
      <c r="C37" s="42"/>
      <c r="D37" s="43" t="s">
        <v>108</v>
      </c>
      <c r="E37" s="41"/>
      <c r="F37" s="44"/>
      <c r="G37" s="45"/>
      <c r="H37" s="46"/>
      <c r="I37" s="46"/>
      <c r="J37" s="38"/>
      <c r="K37" s="46"/>
      <c r="L37" s="46"/>
      <c r="M37" s="39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</row>
    <row r="38" spans="1:64" ht="38.25" x14ac:dyDescent="0.2">
      <c r="A38" s="31" t="s">
        <v>104</v>
      </c>
      <c r="B38" s="41" t="s">
        <v>18</v>
      </c>
      <c r="C38" s="42" t="s">
        <v>75</v>
      </c>
      <c r="D38" s="43" t="s">
        <v>76</v>
      </c>
      <c r="E38" s="41" t="s">
        <v>77</v>
      </c>
      <c r="F38" s="44">
        <f>(1101.92+1075.68+54.1+197.88+225.04+771.48+300+198.52+138.72+157.76+390.08+236.5+156.52+108.12+122.96)*0.617*1.1</f>
        <v>3553.1845360000007</v>
      </c>
      <c r="G38" s="45" t="s">
        <v>109</v>
      </c>
      <c r="H38" s="46">
        <v>14.73</v>
      </c>
      <c r="I38" s="46">
        <f t="shared" ref="I38:I45" si="8">H38*F38</f>
        <v>52338.408215280011</v>
      </c>
      <c r="J38" s="38">
        <v>0.2495</v>
      </c>
      <c r="K38" s="46">
        <f t="shared" ref="K38:K45" si="9">H38+(H38*J38)</f>
        <v>18.405135000000001</v>
      </c>
      <c r="L38" s="46">
        <f t="shared" ref="L38:L45" si="10">K38*F38</f>
        <v>65396.841064992375</v>
      </c>
      <c r="M38" s="39">
        <f t="shared" ref="M38:M45" si="11">L38/$M$55</f>
        <v>0.15220083289342681</v>
      </c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</row>
    <row r="39" spans="1:64" ht="25.5" x14ac:dyDescent="0.2">
      <c r="A39" s="31" t="s">
        <v>110</v>
      </c>
      <c r="B39" s="41" t="s">
        <v>18</v>
      </c>
      <c r="C39" s="42" t="s">
        <v>101</v>
      </c>
      <c r="D39" s="43" t="s">
        <v>102</v>
      </c>
      <c r="E39" s="41" t="s">
        <v>77</v>
      </c>
      <c r="F39" s="44">
        <f>(84.84+188.16+89.1+26.96+141.12+6.89+49.21+83.16+69.84)*1.578*1.1</f>
        <v>1283.2422240000003</v>
      </c>
      <c r="G39" s="45" t="s">
        <v>111</v>
      </c>
      <c r="H39" s="46">
        <v>12</v>
      </c>
      <c r="I39" s="46">
        <f t="shared" si="8"/>
        <v>15398.906688000003</v>
      </c>
      <c r="J39" s="38">
        <v>0.2495</v>
      </c>
      <c r="K39" s="46">
        <f t="shared" si="9"/>
        <v>14.994</v>
      </c>
      <c r="L39" s="46">
        <f t="shared" si="10"/>
        <v>19240.933906656006</v>
      </c>
      <c r="M39" s="39">
        <f t="shared" si="11"/>
        <v>4.4780238900684007E-2</v>
      </c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</row>
    <row r="40" spans="1:64" ht="25.5" x14ac:dyDescent="0.2">
      <c r="A40" s="31" t="s">
        <v>112</v>
      </c>
      <c r="B40" s="41" t="s">
        <v>18</v>
      </c>
      <c r="C40" s="42" t="s">
        <v>80</v>
      </c>
      <c r="D40" s="43" t="s">
        <v>81</v>
      </c>
      <c r="E40" s="41" t="s">
        <v>40</v>
      </c>
      <c r="F40" s="44">
        <f>((((5+6)*9.74)/2)+(((5+1)*5.37)/2)+(((1+6)*6.87)/2))*0.26</f>
        <v>24.368500000000004</v>
      </c>
      <c r="G40" s="45" t="s">
        <v>113</v>
      </c>
      <c r="H40" s="46">
        <v>488.6</v>
      </c>
      <c r="I40" s="46">
        <f t="shared" si="8"/>
        <v>11906.449100000003</v>
      </c>
      <c r="J40" s="38">
        <v>0.2495</v>
      </c>
      <c r="K40" s="46">
        <f t="shared" si="9"/>
        <v>610.50570000000005</v>
      </c>
      <c r="L40" s="46">
        <f t="shared" si="10"/>
        <v>14877.108150450003</v>
      </c>
      <c r="M40" s="39">
        <f t="shared" si="11"/>
        <v>3.4624122735435726E-2</v>
      </c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</row>
    <row r="41" spans="1:64" ht="38.25" x14ac:dyDescent="0.2">
      <c r="A41" s="31" t="s">
        <v>114</v>
      </c>
      <c r="B41" s="41" t="s">
        <v>18</v>
      </c>
      <c r="C41" s="42" t="s">
        <v>84</v>
      </c>
      <c r="D41" s="43" t="s">
        <v>85</v>
      </c>
      <c r="E41" s="41" t="s">
        <v>66</v>
      </c>
      <c r="F41" s="44">
        <v>14</v>
      </c>
      <c r="G41" s="45" t="s">
        <v>115</v>
      </c>
      <c r="H41" s="46">
        <v>28.14</v>
      </c>
      <c r="I41" s="46">
        <f t="shared" si="8"/>
        <v>393.96000000000004</v>
      </c>
      <c r="J41" s="38">
        <v>0.2495</v>
      </c>
      <c r="K41" s="46">
        <f t="shared" si="9"/>
        <v>35.16093</v>
      </c>
      <c r="L41" s="46">
        <f t="shared" si="10"/>
        <v>492.25301999999999</v>
      </c>
      <c r="M41" s="39">
        <f t="shared" si="11"/>
        <v>1.1456412636788793E-3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</row>
    <row r="42" spans="1:64" ht="51" x14ac:dyDescent="0.2">
      <c r="A42" s="31" t="s">
        <v>116</v>
      </c>
      <c r="B42" s="41" t="s">
        <v>18</v>
      </c>
      <c r="C42" s="42" t="s">
        <v>88</v>
      </c>
      <c r="D42" s="43" t="s">
        <v>89</v>
      </c>
      <c r="E42" s="41" t="s">
        <v>90</v>
      </c>
      <c r="F42" s="44">
        <f>10.75*14</f>
        <v>150.5</v>
      </c>
      <c r="G42" s="45" t="s">
        <v>117</v>
      </c>
      <c r="H42" s="46">
        <v>176.66</v>
      </c>
      <c r="I42" s="46">
        <f t="shared" si="8"/>
        <v>26587.329999999998</v>
      </c>
      <c r="J42" s="38">
        <v>0.2495</v>
      </c>
      <c r="K42" s="46">
        <f t="shared" si="9"/>
        <v>220.73667</v>
      </c>
      <c r="L42" s="46">
        <f t="shared" si="10"/>
        <v>33220.868835000001</v>
      </c>
      <c r="M42" s="39">
        <f t="shared" si="11"/>
        <v>7.7316332467883483E-2</v>
      </c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</row>
    <row r="43" spans="1:64" ht="38.25" x14ac:dyDescent="0.2">
      <c r="A43" s="31" t="s">
        <v>118</v>
      </c>
      <c r="B43" s="41" t="s">
        <v>18</v>
      </c>
      <c r="C43" s="42" t="s">
        <v>93</v>
      </c>
      <c r="D43" s="43" t="s">
        <v>94</v>
      </c>
      <c r="E43" s="41" t="s">
        <v>90</v>
      </c>
      <c r="F43" s="44">
        <f>(5.28+6.13)</f>
        <v>11.41</v>
      </c>
      <c r="G43" s="45" t="s">
        <v>119</v>
      </c>
      <c r="H43" s="46">
        <v>93.6</v>
      </c>
      <c r="I43" s="46">
        <f t="shared" si="8"/>
        <v>1067.9759999999999</v>
      </c>
      <c r="J43" s="38">
        <v>0.2495</v>
      </c>
      <c r="K43" s="46">
        <f t="shared" si="9"/>
        <v>116.9532</v>
      </c>
      <c r="L43" s="46">
        <f t="shared" si="10"/>
        <v>1334.4360119999999</v>
      </c>
      <c r="M43" s="39">
        <f t="shared" si="11"/>
        <v>3.1056893446510174E-3</v>
      </c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</row>
    <row r="44" spans="1:64" ht="51" x14ac:dyDescent="0.2">
      <c r="A44" s="31" t="s">
        <v>120</v>
      </c>
      <c r="B44" s="41" t="s">
        <v>18</v>
      </c>
      <c r="C44" s="42" t="s">
        <v>97</v>
      </c>
      <c r="D44" s="43" t="s">
        <v>121</v>
      </c>
      <c r="E44" s="41" t="s">
        <v>21</v>
      </c>
      <c r="F44" s="44">
        <f>((((5+6)*9.74)/2)+(((5+1)*5.37)/2)+(((1+6)*6.87)/2))</f>
        <v>93.725000000000009</v>
      </c>
      <c r="G44" s="45" t="s">
        <v>122</v>
      </c>
      <c r="H44" s="46">
        <v>34.51</v>
      </c>
      <c r="I44" s="46">
        <f t="shared" si="8"/>
        <v>3234.4497500000002</v>
      </c>
      <c r="J44" s="38">
        <v>0.2495</v>
      </c>
      <c r="K44" s="46">
        <f t="shared" si="9"/>
        <v>43.120244999999997</v>
      </c>
      <c r="L44" s="46">
        <f t="shared" si="10"/>
        <v>4041.4449626250002</v>
      </c>
      <c r="M44" s="39">
        <f t="shared" si="11"/>
        <v>9.4058257155443074E-3</v>
      </c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</row>
    <row r="45" spans="1:64" ht="38.25" x14ac:dyDescent="0.2">
      <c r="A45" s="31" t="s">
        <v>120</v>
      </c>
      <c r="B45" s="41" t="s">
        <v>18</v>
      </c>
      <c r="C45" s="42" t="s">
        <v>105</v>
      </c>
      <c r="D45" s="43" t="s">
        <v>106</v>
      </c>
      <c r="E45" s="41" t="s">
        <v>21</v>
      </c>
      <c r="F45" s="44">
        <f>(2*3.14*0.01*5758.81)+(2*3.14*0.016*813.21)</f>
        <v>443.3646088000001</v>
      </c>
      <c r="G45" s="45" t="s">
        <v>123</v>
      </c>
      <c r="H45" s="46">
        <v>20.99</v>
      </c>
      <c r="I45" s="46">
        <f t="shared" si="8"/>
        <v>9306.2231387120009</v>
      </c>
      <c r="J45" s="38">
        <v>0.2495</v>
      </c>
      <c r="K45" s="46">
        <f t="shared" si="9"/>
        <v>26.227004999999998</v>
      </c>
      <c r="L45" s="46">
        <f t="shared" si="10"/>
        <v>11628.125811820646</v>
      </c>
      <c r="M45" s="39">
        <f t="shared" si="11"/>
        <v>2.7062628786454573E-2</v>
      </c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</row>
    <row r="46" spans="1:64" ht="14.25" x14ac:dyDescent="0.2">
      <c r="A46" s="9" t="s">
        <v>71</v>
      </c>
      <c r="B46" s="9"/>
      <c r="C46" s="9"/>
      <c r="D46" s="9"/>
      <c r="E46" s="9"/>
      <c r="F46" s="9"/>
      <c r="G46" s="9"/>
      <c r="H46" s="9"/>
      <c r="I46" s="59">
        <f>SUM(I28:I45)</f>
        <v>278997.77528118406</v>
      </c>
      <c r="J46" s="60"/>
      <c r="K46" s="59"/>
      <c r="L46" s="59">
        <f>SUM(L28:L45)</f>
        <v>348607.72021383932</v>
      </c>
      <c r="M46" s="60">
        <f>L46/M55</f>
        <v>0.81132948481249756</v>
      </c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64" x14ac:dyDescent="0.2">
      <c r="A47" s="30">
        <v>3</v>
      </c>
      <c r="B47" s="10" t="s">
        <v>124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</row>
    <row r="48" spans="1:64" ht="14.25" x14ac:dyDescent="0.2">
      <c r="A48" s="31" t="s">
        <v>125</v>
      </c>
      <c r="B48" s="41" t="s">
        <v>24</v>
      </c>
      <c r="C48" s="42" t="s">
        <v>126</v>
      </c>
      <c r="D48" s="43" t="s">
        <v>127</v>
      </c>
      <c r="E48" s="41" t="s">
        <v>90</v>
      </c>
      <c r="F48" s="44">
        <f>10.31*18</f>
        <v>185.58</v>
      </c>
      <c r="G48" s="45" t="s">
        <v>128</v>
      </c>
      <c r="H48" s="46">
        <f>'COMPOSIÇÃO PRÓPRIA '!J58</f>
        <v>122.51707099999999</v>
      </c>
      <c r="I48" s="46">
        <f>H48*F48</f>
        <v>22736.718036179998</v>
      </c>
      <c r="J48" s="38">
        <v>0.2495</v>
      </c>
      <c r="K48" s="46">
        <f>H48+(H48*J48)</f>
        <v>153.08508021449998</v>
      </c>
      <c r="L48" s="46">
        <f>K48*F48</f>
        <v>28409.52918620691</v>
      </c>
      <c r="M48" s="65">
        <f>L48/$M$55</f>
        <v>6.6118698301552495E-2</v>
      </c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</row>
    <row r="49" spans="1:64" ht="14.25" x14ac:dyDescent="0.2">
      <c r="A49" s="31" t="s">
        <v>129</v>
      </c>
      <c r="B49" s="41" t="s">
        <v>24</v>
      </c>
      <c r="C49" s="42" t="s">
        <v>130</v>
      </c>
      <c r="D49" s="43" t="s">
        <v>131</v>
      </c>
      <c r="E49" s="41" t="s">
        <v>90</v>
      </c>
      <c r="F49" s="44">
        <f>1.06*18</f>
        <v>19.080000000000002</v>
      </c>
      <c r="G49" s="45" t="s">
        <v>132</v>
      </c>
      <c r="H49" s="46">
        <f>'COMPOSIÇÃO PRÓPRIA '!J69</f>
        <v>44.218731999999996</v>
      </c>
      <c r="I49" s="46">
        <f>H49*F49</f>
        <v>843.69340655999997</v>
      </c>
      <c r="J49" s="38">
        <v>0.2495</v>
      </c>
      <c r="K49" s="46">
        <f>H49+(H49*J49)</f>
        <v>55.251305633999991</v>
      </c>
      <c r="L49" s="46">
        <f>K49*F49</f>
        <v>1054.1949114967199</v>
      </c>
      <c r="M49" s="65">
        <f>L49/$M$55</f>
        <v>2.4534723841225931E-3</v>
      </c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</row>
    <row r="50" spans="1:64" ht="25.5" x14ac:dyDescent="0.2">
      <c r="A50" s="31" t="s">
        <v>133</v>
      </c>
      <c r="B50" s="41" t="s">
        <v>18</v>
      </c>
      <c r="C50" s="42" t="s">
        <v>134</v>
      </c>
      <c r="D50" s="43" t="s">
        <v>135</v>
      </c>
      <c r="E50" s="41" t="s">
        <v>90</v>
      </c>
      <c r="F50" s="44">
        <f>(11.67+10.01+9.06+5.11+9.08+6.5)</f>
        <v>51.43</v>
      </c>
      <c r="G50" s="45" t="s">
        <v>136</v>
      </c>
      <c r="H50" s="46">
        <v>40.909999999999997</v>
      </c>
      <c r="I50" s="46">
        <f>H50*F50</f>
        <v>2104.0012999999999</v>
      </c>
      <c r="J50" s="38">
        <v>0.2495</v>
      </c>
      <c r="K50" s="46">
        <f>H50+(H50*J50)</f>
        <v>51.117044999999997</v>
      </c>
      <c r="L50" s="46">
        <f>K50*F50</f>
        <v>2628.9496243499998</v>
      </c>
      <c r="M50" s="65">
        <f>L50/$M$55</f>
        <v>6.1184656008579667E-3</v>
      </c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</row>
    <row r="51" spans="1:64" ht="51" x14ac:dyDescent="0.2">
      <c r="A51" s="31" t="s">
        <v>137</v>
      </c>
      <c r="B51" s="41" t="s">
        <v>18</v>
      </c>
      <c r="C51" s="42" t="s">
        <v>138</v>
      </c>
      <c r="D51" s="43" t="s">
        <v>139</v>
      </c>
      <c r="E51" s="41" t="s">
        <v>140</v>
      </c>
      <c r="F51" s="44">
        <v>4</v>
      </c>
      <c r="G51" s="45" t="s">
        <v>141</v>
      </c>
      <c r="H51" s="46">
        <v>282.99</v>
      </c>
      <c r="I51" s="46">
        <f>H51*F51</f>
        <v>1131.96</v>
      </c>
      <c r="J51" s="38">
        <v>0.2495</v>
      </c>
      <c r="K51" s="46">
        <f>H51+(H51*J51)</f>
        <v>353.59600499999999</v>
      </c>
      <c r="L51" s="46">
        <f>K51*F51</f>
        <v>1414.38402</v>
      </c>
      <c r="M51" s="65">
        <f>L51/$M$55</f>
        <v>3.2917557235098596E-3</v>
      </c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</row>
    <row r="52" spans="1:64" ht="14.25" x14ac:dyDescent="0.2">
      <c r="A52" s="9" t="s">
        <v>71</v>
      </c>
      <c r="B52" s="9"/>
      <c r="C52" s="9"/>
      <c r="D52" s="9"/>
      <c r="E52" s="9"/>
      <c r="F52" s="9"/>
      <c r="G52" s="9"/>
      <c r="H52" s="9"/>
      <c r="I52" s="59">
        <f>SUM(I48:I51)</f>
        <v>26816.372742739997</v>
      </c>
      <c r="J52" s="60"/>
      <c r="K52" s="59"/>
      <c r="L52" s="59">
        <f>SUM(L48:L51)</f>
        <v>33507.057742053628</v>
      </c>
      <c r="M52" s="60">
        <f>L52/$M$55</f>
        <v>7.7982392010042922E-2</v>
      </c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64" ht="18.75" x14ac:dyDescent="0.2">
      <c r="A53" s="8" t="s">
        <v>142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66">
        <f>I52+I46+I26</f>
        <v>343877.27859497402</v>
      </c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64" ht="18.75" x14ac:dyDescent="0.2">
      <c r="A54" s="7" t="s">
        <v>143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67">
        <f>(L52+L46+L26)-(I52+I46+I26)</f>
        <v>85797.381009445933</v>
      </c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64" ht="17.45" customHeight="1" x14ac:dyDescent="0.2">
      <c r="A55" s="6" t="s">
        <v>144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8">
        <f>M53+M54</f>
        <v>429674.65960441995</v>
      </c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64" ht="112.5" customHeight="1" x14ac:dyDescent="0.2">
      <c r="A56" s="5" t="s">
        <v>145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64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</sheetData>
  <mergeCells count="15">
    <mergeCell ref="A53:L53"/>
    <mergeCell ref="A54:L54"/>
    <mergeCell ref="A55:L55"/>
    <mergeCell ref="A56:M56"/>
    <mergeCell ref="A57:M57"/>
    <mergeCell ref="A26:H26"/>
    <mergeCell ref="B27:M27"/>
    <mergeCell ref="A46:H46"/>
    <mergeCell ref="B47:M47"/>
    <mergeCell ref="A52:H52"/>
    <mergeCell ref="A1:C4"/>
    <mergeCell ref="D1:M4"/>
    <mergeCell ref="A5:M10"/>
    <mergeCell ref="A11:M11"/>
    <mergeCell ref="B13:M13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N32"/>
  <sheetViews>
    <sheetView topLeftCell="A16" zoomScale="90" zoomScaleNormal="90" workbookViewId="0">
      <selection activeCell="E1" sqref="E1"/>
    </sheetView>
  </sheetViews>
  <sheetFormatPr defaultColWidth="7.875" defaultRowHeight="14.25" x14ac:dyDescent="0.2"/>
  <cols>
    <col min="5" max="5" width="37.5" customWidth="1"/>
    <col min="6" max="6" width="9.625" customWidth="1"/>
    <col min="7" max="8" width="9.25" customWidth="1"/>
    <col min="9" max="12" width="9.375" customWidth="1"/>
    <col min="13" max="13" width="10.25" customWidth="1"/>
    <col min="14" max="14" width="14" customWidth="1"/>
    <col min="1013" max="1024" width="10.5" customWidth="1"/>
  </cols>
  <sheetData>
    <row r="3" spans="3:14" ht="34.9" customHeight="1" x14ac:dyDescent="0.2">
      <c r="C3" s="3"/>
      <c r="D3" s="2" t="s">
        <v>146</v>
      </c>
      <c r="E3" s="2"/>
      <c r="F3" s="2"/>
      <c r="G3" s="2"/>
      <c r="H3" s="2"/>
      <c r="I3" s="2"/>
      <c r="J3" s="2"/>
      <c r="K3" s="2"/>
      <c r="L3" s="2"/>
      <c r="M3" s="2"/>
      <c r="N3" s="2"/>
    </row>
    <row r="4" spans="3:14" x14ac:dyDescent="0.2"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3:14" ht="15.75" customHeight="1" x14ac:dyDescent="0.25">
      <c r="C5" s="69"/>
      <c r="D5" s="1"/>
      <c r="E5" s="1"/>
      <c r="F5" s="179" t="s">
        <v>147</v>
      </c>
      <c r="G5" s="179"/>
      <c r="H5" s="179"/>
      <c r="I5" s="179"/>
      <c r="J5" s="180" t="s">
        <v>148</v>
      </c>
      <c r="K5" s="180"/>
      <c r="L5" s="180"/>
      <c r="M5" s="180"/>
      <c r="N5" s="181" t="s">
        <v>149</v>
      </c>
    </row>
    <row r="6" spans="3:14" x14ac:dyDescent="0.2">
      <c r="C6" s="69"/>
      <c r="D6" s="1"/>
      <c r="E6" s="1"/>
      <c r="F6" s="70" t="s">
        <v>150</v>
      </c>
      <c r="G6" s="71" t="s">
        <v>151</v>
      </c>
      <c r="H6" s="71" t="s">
        <v>152</v>
      </c>
      <c r="I6" s="72" t="s">
        <v>153</v>
      </c>
      <c r="J6" s="73" t="s">
        <v>150</v>
      </c>
      <c r="K6" s="71" t="s">
        <v>151</v>
      </c>
      <c r="L6" s="71" t="s">
        <v>152</v>
      </c>
      <c r="M6" s="74" t="s">
        <v>153</v>
      </c>
      <c r="N6" s="181"/>
    </row>
    <row r="7" spans="3:14" ht="15.75" x14ac:dyDescent="0.2">
      <c r="C7" s="69"/>
      <c r="D7" s="75" t="s">
        <v>3</v>
      </c>
      <c r="E7" s="76" t="s">
        <v>154</v>
      </c>
      <c r="F7" s="77"/>
      <c r="G7" s="78"/>
      <c r="H7" s="78"/>
      <c r="I7" s="79"/>
      <c r="J7" s="80"/>
      <c r="K7" s="80"/>
      <c r="L7" s="81"/>
      <c r="M7" s="81"/>
      <c r="N7" s="181"/>
    </row>
    <row r="8" spans="3:14" x14ac:dyDescent="0.2">
      <c r="C8" s="82"/>
      <c r="D8" s="83"/>
      <c r="E8" s="84"/>
      <c r="F8" s="85"/>
      <c r="G8" s="86"/>
      <c r="H8" s="86"/>
      <c r="I8" s="87"/>
      <c r="J8" s="88"/>
      <c r="K8" s="88"/>
      <c r="L8" s="89"/>
      <c r="M8" s="89"/>
      <c r="N8" s="181"/>
    </row>
    <row r="9" spans="3:14" ht="15" customHeight="1" x14ac:dyDescent="0.25">
      <c r="C9" s="182"/>
      <c r="D9" s="183">
        <v>1</v>
      </c>
      <c r="E9" s="184" t="s">
        <v>155</v>
      </c>
      <c r="F9" s="90">
        <v>0.45</v>
      </c>
      <c r="G9" s="91">
        <v>0.45</v>
      </c>
      <c r="H9" s="91">
        <v>0</v>
      </c>
      <c r="I9" s="92">
        <v>0</v>
      </c>
      <c r="J9" s="93">
        <v>0</v>
      </c>
      <c r="K9" s="91">
        <v>0</v>
      </c>
      <c r="L9" s="91">
        <v>0</v>
      </c>
      <c r="M9" s="94">
        <v>0.1</v>
      </c>
      <c r="N9" s="95">
        <f>SUM(F9:M9)</f>
        <v>1</v>
      </c>
    </row>
    <row r="10" spans="3:14" x14ac:dyDescent="0.2">
      <c r="C10" s="182"/>
      <c r="D10" s="183"/>
      <c r="E10" s="184"/>
      <c r="F10" s="96"/>
      <c r="G10" s="97"/>
      <c r="H10" s="98"/>
      <c r="I10" s="99"/>
      <c r="J10" s="100"/>
      <c r="K10" s="98"/>
      <c r="L10" s="98"/>
      <c r="M10" s="101"/>
      <c r="N10" s="69"/>
    </row>
    <row r="11" spans="3:14" x14ac:dyDescent="0.2">
      <c r="C11" s="182"/>
      <c r="D11" s="183"/>
      <c r="E11" s="184"/>
      <c r="F11" s="102">
        <f t="shared" ref="F11:M11" si="0">F9*$N$11</f>
        <v>21401.946741837139</v>
      </c>
      <c r="G11" s="103">
        <f t="shared" si="0"/>
        <v>21401.946741837139</v>
      </c>
      <c r="H11" s="103">
        <f t="shared" si="0"/>
        <v>0</v>
      </c>
      <c r="I11" s="104">
        <f t="shared" si="0"/>
        <v>0</v>
      </c>
      <c r="J11" s="105">
        <f t="shared" si="0"/>
        <v>0</v>
      </c>
      <c r="K11" s="103">
        <f t="shared" si="0"/>
        <v>0</v>
      </c>
      <c r="L11" s="103">
        <f t="shared" si="0"/>
        <v>0</v>
      </c>
      <c r="M11" s="106">
        <f t="shared" si="0"/>
        <v>4755.9881648526971</v>
      </c>
      <c r="N11" s="107">
        <f>'PLANILHA ORÇAMENTÁRIA'!L26</f>
        <v>47559.881648526971</v>
      </c>
    </row>
    <row r="12" spans="3:14" ht="15" x14ac:dyDescent="0.25">
      <c r="C12" s="182"/>
      <c r="D12" s="185">
        <v>2</v>
      </c>
      <c r="E12" s="186" t="s">
        <v>156</v>
      </c>
      <c r="F12" s="108">
        <v>0.1</v>
      </c>
      <c r="G12" s="109">
        <v>0.1</v>
      </c>
      <c r="H12" s="109">
        <v>0.2</v>
      </c>
      <c r="I12" s="110">
        <v>0.2</v>
      </c>
      <c r="J12" s="108">
        <v>0.1</v>
      </c>
      <c r="K12" s="109">
        <v>0.1</v>
      </c>
      <c r="L12" s="109">
        <v>0.1</v>
      </c>
      <c r="M12" s="111">
        <v>0.1</v>
      </c>
      <c r="N12" s="95">
        <f>SUM(F12:M12)</f>
        <v>1</v>
      </c>
    </row>
    <row r="13" spans="3:14" x14ac:dyDescent="0.2">
      <c r="C13" s="182"/>
      <c r="D13" s="185"/>
      <c r="E13" s="186"/>
      <c r="F13" s="100"/>
      <c r="G13" s="98"/>
      <c r="H13" s="97"/>
      <c r="I13" s="112"/>
      <c r="J13" s="113"/>
      <c r="K13" s="97"/>
      <c r="L13" s="97"/>
      <c r="M13" s="114"/>
      <c r="N13" s="69"/>
    </row>
    <row r="14" spans="3:14" x14ac:dyDescent="0.2">
      <c r="C14" s="182"/>
      <c r="D14" s="185"/>
      <c r="E14" s="186"/>
      <c r="F14" s="115">
        <f>F12*$N$14</f>
        <v>34860.772021383935</v>
      </c>
      <c r="G14" s="116">
        <f>G12*$N$14</f>
        <v>34860.772021383935</v>
      </c>
      <c r="H14" s="116">
        <f>$H$12*N$14</f>
        <v>69721.54404276787</v>
      </c>
      <c r="I14" s="117">
        <f>I12*$N$14</f>
        <v>69721.54404276787</v>
      </c>
      <c r="J14" s="115">
        <f>J12*$N$14</f>
        <v>34860.772021383935</v>
      </c>
      <c r="K14" s="116">
        <f>K12*$N$14</f>
        <v>34860.772021383935</v>
      </c>
      <c r="L14" s="116">
        <f>L12*$N$14</f>
        <v>34860.772021383935</v>
      </c>
      <c r="M14" s="118">
        <f>M12*$N$14</f>
        <v>34860.772021383935</v>
      </c>
      <c r="N14" s="107">
        <f>'PLANILHA ORÇAMENTÁRIA'!L46</f>
        <v>348607.72021383932</v>
      </c>
    </row>
    <row r="15" spans="3:14" ht="15" x14ac:dyDescent="0.25">
      <c r="C15" s="182"/>
      <c r="D15" s="187">
        <v>3</v>
      </c>
      <c r="E15" s="188" t="s">
        <v>124</v>
      </c>
      <c r="F15" s="90">
        <v>0</v>
      </c>
      <c r="G15" s="91">
        <v>0</v>
      </c>
      <c r="H15" s="91">
        <v>0</v>
      </c>
      <c r="I15" s="92">
        <v>0.1</v>
      </c>
      <c r="J15" s="93">
        <v>0.3</v>
      </c>
      <c r="K15" s="91">
        <v>0.3</v>
      </c>
      <c r="L15" s="91">
        <v>0.3</v>
      </c>
      <c r="M15" s="94">
        <v>0</v>
      </c>
      <c r="N15" s="95">
        <f>SUM(F15:M15)</f>
        <v>1</v>
      </c>
    </row>
    <row r="16" spans="3:14" x14ac:dyDescent="0.2">
      <c r="C16" s="182"/>
      <c r="D16" s="187"/>
      <c r="E16" s="188"/>
      <c r="F16" s="119"/>
      <c r="G16" s="98"/>
      <c r="H16" s="98"/>
      <c r="I16" s="99"/>
      <c r="J16" s="100"/>
      <c r="K16" s="98"/>
      <c r="L16" s="98"/>
      <c r="M16" s="101"/>
      <c r="N16" s="120"/>
    </row>
    <row r="17" spans="3:14" x14ac:dyDescent="0.2">
      <c r="C17" s="182"/>
      <c r="D17" s="187"/>
      <c r="E17" s="188"/>
      <c r="F17" s="102">
        <f t="shared" ref="F17:M17" si="1">F15*$N$17</f>
        <v>0</v>
      </c>
      <c r="G17" s="103">
        <f t="shared" si="1"/>
        <v>0</v>
      </c>
      <c r="H17" s="103">
        <f t="shared" si="1"/>
        <v>0</v>
      </c>
      <c r="I17" s="104">
        <f t="shared" si="1"/>
        <v>3350.705774205363</v>
      </c>
      <c r="J17" s="105">
        <f t="shared" si="1"/>
        <v>10052.117322616088</v>
      </c>
      <c r="K17" s="103">
        <f t="shared" si="1"/>
        <v>10052.117322616088</v>
      </c>
      <c r="L17" s="103">
        <f t="shared" si="1"/>
        <v>10052.117322616088</v>
      </c>
      <c r="M17" s="106">
        <f t="shared" si="1"/>
        <v>0</v>
      </c>
      <c r="N17" s="107">
        <f>'PLANILHA ORÇAMENTÁRIA'!L52</f>
        <v>33507.057742053628</v>
      </c>
    </row>
    <row r="18" spans="3:14" ht="15" x14ac:dyDescent="0.2">
      <c r="C18" s="121"/>
      <c r="D18" s="122" t="s">
        <v>157</v>
      </c>
      <c r="E18" s="123"/>
      <c r="F18" s="189">
        <f>I11+H11+G11+F11+F14+G14+H14+I14+I17+H17+G17+F17</f>
        <v>255319.23138618324</v>
      </c>
      <c r="G18" s="189"/>
      <c r="H18" s="189"/>
      <c r="I18" s="189"/>
      <c r="J18" s="190">
        <f>M11+L11+K11+J11+J14+K14+L14+M14+M17+L17+K17+J17</f>
        <v>174355.42821823666</v>
      </c>
      <c r="K18" s="190"/>
      <c r="L18" s="190"/>
      <c r="M18" s="190"/>
      <c r="N18" s="191">
        <f>N17+N14+N11- TAD!L19</f>
        <v>399876.58360441995</v>
      </c>
    </row>
    <row r="19" spans="3:14" ht="15" x14ac:dyDescent="0.2">
      <c r="C19" s="124"/>
      <c r="D19" s="125" t="s">
        <v>158</v>
      </c>
      <c r="E19" s="126">
        <f>TAD!L21</f>
        <v>6.9350322002776715E-2</v>
      </c>
      <c r="F19" s="192">
        <f>F18*E19</f>
        <v>17706.470910133263</v>
      </c>
      <c r="G19" s="192"/>
      <c r="H19" s="192"/>
      <c r="I19" s="192"/>
      <c r="J19" s="193">
        <f>J18*E19</f>
        <v>12091.605089866734</v>
      </c>
      <c r="K19" s="193"/>
      <c r="L19" s="193"/>
      <c r="M19" s="193"/>
      <c r="N19" s="191"/>
    </row>
    <row r="20" spans="3:14" x14ac:dyDescent="0.2">
      <c r="C20" s="124"/>
      <c r="D20" s="127" t="s">
        <v>159</v>
      </c>
      <c r="E20" s="128"/>
      <c r="F20" s="194">
        <f>F18+F19</f>
        <v>273025.70229631651</v>
      </c>
      <c r="G20" s="194"/>
      <c r="H20" s="194"/>
      <c r="I20" s="194"/>
      <c r="J20" s="195">
        <f>F20+J18+J19</f>
        <v>459472.7356044199</v>
      </c>
      <c r="K20" s="195"/>
      <c r="L20" s="195"/>
      <c r="M20" s="195"/>
      <c r="N20" s="191"/>
    </row>
    <row r="21" spans="3:14" x14ac:dyDescent="0.2">
      <c r="C21" s="124"/>
      <c r="D21" s="58"/>
      <c r="E21" s="129"/>
      <c r="F21" s="58"/>
      <c r="G21" s="58"/>
      <c r="H21" s="58"/>
      <c r="I21" s="58"/>
      <c r="J21" s="58"/>
      <c r="K21" s="58"/>
      <c r="L21" s="58"/>
      <c r="M21" s="58"/>
      <c r="N21" s="130"/>
    </row>
    <row r="22" spans="3:14" x14ac:dyDescent="0.2">
      <c r="C22" s="124"/>
      <c r="D22" s="58"/>
      <c r="E22" s="129"/>
      <c r="F22" s="58"/>
      <c r="G22" s="58"/>
      <c r="H22" s="58"/>
      <c r="I22" s="58"/>
      <c r="J22" s="58"/>
      <c r="K22" s="58"/>
      <c r="L22" s="58"/>
      <c r="M22" s="58"/>
      <c r="N22" s="130"/>
    </row>
    <row r="23" spans="3:14" x14ac:dyDescent="0.2">
      <c r="C23" s="124"/>
      <c r="D23" s="58"/>
      <c r="E23" s="196" t="s">
        <v>160</v>
      </c>
      <c r="F23" s="196"/>
      <c r="G23" s="196"/>
      <c r="H23" s="196"/>
      <c r="I23" s="196"/>
      <c r="J23" s="131"/>
      <c r="K23" s="131"/>
      <c r="L23" s="131"/>
      <c r="M23" s="131"/>
      <c r="N23" s="130"/>
    </row>
    <row r="24" spans="3:14" x14ac:dyDescent="0.2">
      <c r="C24" s="124"/>
      <c r="D24" s="58"/>
      <c r="E24" s="132"/>
      <c r="F24" s="58"/>
      <c r="G24" s="58"/>
      <c r="H24" s="58"/>
      <c r="I24" s="58"/>
      <c r="J24" s="58"/>
      <c r="K24" s="58"/>
      <c r="L24" s="58"/>
      <c r="M24" s="58"/>
      <c r="N24" s="130"/>
    </row>
    <row r="25" spans="3:14" x14ac:dyDescent="0.2">
      <c r="C25" s="124"/>
      <c r="D25" s="58"/>
      <c r="E25" s="132"/>
      <c r="F25" s="58"/>
      <c r="G25" s="58"/>
      <c r="H25" s="58"/>
      <c r="I25" s="58"/>
      <c r="J25" s="58"/>
      <c r="K25" s="58"/>
      <c r="L25" s="58"/>
      <c r="M25" s="58"/>
      <c r="N25" s="130"/>
    </row>
    <row r="26" spans="3:14" x14ac:dyDescent="0.2">
      <c r="C26" s="124"/>
      <c r="D26" s="58"/>
      <c r="E26" s="132"/>
      <c r="F26" s="58"/>
      <c r="G26" s="58"/>
      <c r="H26" s="58"/>
      <c r="I26" s="58"/>
      <c r="J26" s="58"/>
      <c r="K26" s="58"/>
      <c r="L26" s="58"/>
      <c r="M26" s="58"/>
      <c r="N26" s="130"/>
    </row>
    <row r="27" spans="3:14" x14ac:dyDescent="0.2">
      <c r="C27" s="124"/>
      <c r="D27" s="58"/>
      <c r="E27" s="132"/>
      <c r="F27" s="58"/>
      <c r="G27" s="58"/>
      <c r="H27" s="58"/>
      <c r="I27" s="58"/>
      <c r="J27" s="58"/>
      <c r="K27" s="58"/>
      <c r="L27" s="58"/>
      <c r="M27" s="58"/>
      <c r="N27" s="130"/>
    </row>
    <row r="28" spans="3:14" ht="15" customHeight="1" x14ac:dyDescent="0.2">
      <c r="C28" s="124"/>
      <c r="D28" s="58"/>
      <c r="E28" s="197" t="s">
        <v>161</v>
      </c>
      <c r="F28" s="197"/>
      <c r="G28" s="197"/>
      <c r="H28" s="197"/>
      <c r="I28" s="197"/>
      <c r="J28" s="131"/>
      <c r="K28" s="131"/>
      <c r="L28" s="131"/>
      <c r="M28" s="131"/>
      <c r="N28" s="130"/>
    </row>
    <row r="29" spans="3:14" x14ac:dyDescent="0.2">
      <c r="C29" s="124"/>
      <c r="D29" s="58"/>
      <c r="E29" s="197"/>
      <c r="F29" s="197"/>
      <c r="G29" s="197"/>
      <c r="H29" s="197"/>
      <c r="I29" s="197"/>
      <c r="J29" s="131"/>
      <c r="K29" s="131"/>
      <c r="L29" s="131"/>
      <c r="M29" s="131"/>
      <c r="N29" s="130"/>
    </row>
    <row r="30" spans="3:14" x14ac:dyDescent="0.2">
      <c r="C30" s="124"/>
      <c r="D30" s="58"/>
      <c r="E30" s="197"/>
      <c r="F30" s="197"/>
      <c r="G30" s="197"/>
      <c r="H30" s="197"/>
      <c r="I30" s="197"/>
      <c r="J30" s="58"/>
      <c r="K30" s="58"/>
      <c r="L30" s="58"/>
      <c r="M30" s="58"/>
      <c r="N30" s="130"/>
    </row>
    <row r="31" spans="3:14" x14ac:dyDescent="0.2">
      <c r="C31" s="124"/>
      <c r="D31" s="58"/>
      <c r="E31" s="197"/>
      <c r="F31" s="197"/>
      <c r="G31" s="197"/>
      <c r="H31" s="197"/>
      <c r="I31" s="197"/>
      <c r="J31" s="58"/>
      <c r="K31" s="58"/>
      <c r="L31" s="58"/>
      <c r="M31" s="58"/>
      <c r="N31" s="130"/>
    </row>
    <row r="32" spans="3:14" x14ac:dyDescent="0.2">
      <c r="C32" s="133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5"/>
    </row>
  </sheetData>
  <mergeCells count="22">
    <mergeCell ref="E23:I23"/>
    <mergeCell ref="E28:I31"/>
    <mergeCell ref="F18:I18"/>
    <mergeCell ref="J18:M18"/>
    <mergeCell ref="N18:N20"/>
    <mergeCell ref="F19:I19"/>
    <mergeCell ref="J19:M19"/>
    <mergeCell ref="F20:I20"/>
    <mergeCell ref="J20:M20"/>
    <mergeCell ref="C9:C17"/>
    <mergeCell ref="D9:D11"/>
    <mergeCell ref="E9:E11"/>
    <mergeCell ref="D12:D14"/>
    <mergeCell ref="E12:E14"/>
    <mergeCell ref="D15:D17"/>
    <mergeCell ref="E15:E17"/>
    <mergeCell ref="C3:C4"/>
    <mergeCell ref="D3:N4"/>
    <mergeCell ref="D5:E6"/>
    <mergeCell ref="F5:I5"/>
    <mergeCell ref="J5:M5"/>
    <mergeCell ref="N5:N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23"/>
  <sheetViews>
    <sheetView zoomScale="70" zoomScaleNormal="70" workbookViewId="0">
      <selection activeCell="N22" sqref="N22"/>
    </sheetView>
  </sheetViews>
  <sheetFormatPr defaultColWidth="8.375" defaultRowHeight="15.75" x14ac:dyDescent="0.2"/>
  <cols>
    <col min="1" max="1" width="6.375" style="15" customWidth="1"/>
    <col min="2" max="2" width="8" style="15" customWidth="1"/>
    <col min="3" max="3" width="17.625" style="16" customWidth="1"/>
    <col min="4" max="4" width="48.125" style="17" customWidth="1"/>
    <col min="5" max="5" width="10" style="15" customWidth="1"/>
    <col min="6" max="6" width="8.75" style="18" customWidth="1"/>
    <col min="7" max="7" width="51.25" style="17" customWidth="1"/>
    <col min="8" max="8" width="11.375" style="19" customWidth="1"/>
    <col min="9" max="9" width="12.875" style="19" customWidth="1"/>
    <col min="10" max="10" width="11.375" style="20" customWidth="1"/>
    <col min="11" max="11" width="11.375" style="19" customWidth="1"/>
    <col min="12" max="12" width="18.75" style="19" customWidth="1"/>
    <col min="13" max="64" width="8.375" style="15"/>
  </cols>
  <sheetData>
    <row r="1" spans="1:12" ht="15.75" customHeight="1" x14ac:dyDescent="0.2">
      <c r="A1" s="198"/>
      <c r="B1" s="198"/>
      <c r="C1" s="198"/>
      <c r="D1" s="199" t="s">
        <v>0</v>
      </c>
      <c r="E1" s="199"/>
      <c r="F1" s="199"/>
      <c r="G1" s="199"/>
      <c r="H1" s="199"/>
      <c r="I1" s="199"/>
      <c r="J1" s="199"/>
      <c r="K1" s="199"/>
      <c r="L1" s="199"/>
    </row>
    <row r="2" spans="1:12" x14ac:dyDescent="0.2">
      <c r="A2" s="198"/>
      <c r="B2" s="198"/>
      <c r="C2" s="198"/>
      <c r="D2" s="199"/>
      <c r="E2" s="199"/>
      <c r="F2" s="199"/>
      <c r="G2" s="199"/>
      <c r="H2" s="199"/>
      <c r="I2" s="199"/>
      <c r="J2" s="199"/>
      <c r="K2" s="199"/>
      <c r="L2" s="199"/>
    </row>
    <row r="3" spans="1:12" x14ac:dyDescent="0.2">
      <c r="A3" s="198"/>
      <c r="B3" s="198"/>
      <c r="C3" s="198"/>
      <c r="D3" s="199"/>
      <c r="E3" s="199"/>
      <c r="F3" s="199"/>
      <c r="G3" s="199"/>
      <c r="H3" s="199"/>
      <c r="I3" s="199"/>
      <c r="J3" s="199"/>
      <c r="K3" s="199"/>
      <c r="L3" s="199"/>
    </row>
    <row r="4" spans="1:12" x14ac:dyDescent="0.2">
      <c r="A4" s="198"/>
      <c r="B4" s="198"/>
      <c r="C4" s="198"/>
      <c r="D4" s="199"/>
      <c r="E4" s="199"/>
      <c r="F4" s="199"/>
      <c r="G4" s="199"/>
      <c r="H4" s="199"/>
      <c r="I4" s="199"/>
      <c r="J4" s="199"/>
      <c r="K4" s="199"/>
      <c r="L4" s="199"/>
    </row>
    <row r="5" spans="1:12" ht="15.75" customHeight="1" x14ac:dyDescent="0.2">
      <c r="A5" s="200" t="s">
        <v>1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</row>
    <row r="6" spans="1:12" ht="15.75" customHeight="1" x14ac:dyDescent="0.2">
      <c r="A6" s="200"/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</row>
    <row r="7" spans="1:12" ht="15.75" customHeight="1" x14ac:dyDescent="0.2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12" ht="15.75" customHeight="1" x14ac:dyDescent="0.2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</row>
    <row r="9" spans="1:12" ht="15.75" customHeight="1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</row>
    <row r="10" spans="1:12" ht="15.75" customHeight="1" x14ac:dyDescent="0.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</row>
    <row r="11" spans="1:12" ht="27.6" customHeight="1" x14ac:dyDescent="0.2">
      <c r="A11" s="11" t="s">
        <v>162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spans="1:12" s="29" customFormat="1" ht="47.25" x14ac:dyDescent="0.2">
      <c r="A12" s="136" t="s">
        <v>3</v>
      </c>
      <c r="B12" s="22" t="s">
        <v>4</v>
      </c>
      <c r="C12" s="23" t="s">
        <v>5</v>
      </c>
      <c r="D12" s="24" t="s">
        <v>6</v>
      </c>
      <c r="E12" s="22" t="s">
        <v>7</v>
      </c>
      <c r="F12" s="25" t="s">
        <v>8</v>
      </c>
      <c r="G12" s="24" t="s">
        <v>9</v>
      </c>
      <c r="H12" s="26" t="s">
        <v>10</v>
      </c>
      <c r="I12" s="26" t="s">
        <v>11</v>
      </c>
      <c r="J12" s="27" t="s">
        <v>12</v>
      </c>
      <c r="K12" s="26" t="s">
        <v>13</v>
      </c>
      <c r="L12" s="137" t="s">
        <v>14</v>
      </c>
    </row>
    <row r="13" spans="1:12" s="29" customFormat="1" x14ac:dyDescent="0.2">
      <c r="A13" s="138">
        <v>1</v>
      </c>
      <c r="B13" s="201" t="s">
        <v>163</v>
      </c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2" s="29" customFormat="1" ht="25.5" x14ac:dyDescent="0.2">
      <c r="A14" s="139" t="s">
        <v>17</v>
      </c>
      <c r="B14" s="32" t="s">
        <v>18</v>
      </c>
      <c r="C14" s="140">
        <v>90777</v>
      </c>
      <c r="D14" s="36" t="s">
        <v>164</v>
      </c>
      <c r="E14" s="32" t="s">
        <v>35</v>
      </c>
      <c r="F14" s="35">
        <f>22*4*2</f>
        <v>176</v>
      </c>
      <c r="G14" s="36" t="s">
        <v>165</v>
      </c>
      <c r="H14" s="141">
        <v>81.12</v>
      </c>
      <c r="I14" s="141">
        <f>H14*F14</f>
        <v>14277.12</v>
      </c>
      <c r="J14" s="142">
        <v>0.2495</v>
      </c>
      <c r="K14" s="141">
        <f>H14+(H14*J14)</f>
        <v>101.35944000000001</v>
      </c>
      <c r="L14" s="143">
        <f>K14*F14</f>
        <v>17839.261440000002</v>
      </c>
    </row>
    <row r="15" spans="1:12" s="29" customFormat="1" ht="25.5" x14ac:dyDescent="0.2">
      <c r="A15" s="144" t="s">
        <v>23</v>
      </c>
      <c r="B15" s="41" t="s">
        <v>18</v>
      </c>
      <c r="C15" s="145">
        <v>90776</v>
      </c>
      <c r="D15" s="45" t="s">
        <v>166</v>
      </c>
      <c r="E15" s="41" t="s">
        <v>35</v>
      </c>
      <c r="F15" s="44">
        <f>22*8*2</f>
        <v>352</v>
      </c>
      <c r="G15" s="45" t="s">
        <v>167</v>
      </c>
      <c r="H15" s="146">
        <v>27.19</v>
      </c>
      <c r="I15" s="146">
        <f>H15*F15</f>
        <v>9570.880000000001</v>
      </c>
      <c r="J15" s="38">
        <v>0.2495</v>
      </c>
      <c r="K15" s="146">
        <f>H15+(H15*J15)</f>
        <v>33.973905000000002</v>
      </c>
      <c r="L15" s="147">
        <f>K15*F15</f>
        <v>11958.814560000001</v>
      </c>
    </row>
    <row r="16" spans="1:12" s="29" customFormat="1" x14ac:dyDescent="0.2">
      <c r="A16" s="202" t="s">
        <v>71</v>
      </c>
      <c r="B16" s="202"/>
      <c r="C16" s="202"/>
      <c r="D16" s="202"/>
      <c r="E16" s="202"/>
      <c r="F16" s="202"/>
      <c r="G16" s="202"/>
      <c r="H16" s="202"/>
      <c r="I16" s="148">
        <f>SUM(I14:I15)</f>
        <v>23848</v>
      </c>
      <c r="J16" s="149"/>
      <c r="K16" s="149"/>
      <c r="L16" s="150">
        <f>SUM(L14:L15)</f>
        <v>29798.076000000001</v>
      </c>
    </row>
    <row r="17" spans="1:12" s="61" customFormat="1" ht="15" customHeight="1" x14ac:dyDescent="0.2">
      <c r="A17" s="203" t="s">
        <v>142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151">
        <f>I16</f>
        <v>23848</v>
      </c>
    </row>
    <row r="18" spans="1:12" s="61" customFormat="1" ht="15" customHeight="1" x14ac:dyDescent="0.2">
      <c r="A18" s="204" t="s">
        <v>143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152">
        <f>L19-L17</f>
        <v>5950.0760000000009</v>
      </c>
    </row>
    <row r="19" spans="1:12" s="61" customFormat="1" ht="15" customHeight="1" x14ac:dyDescent="0.2">
      <c r="A19" s="205" t="s">
        <v>144</v>
      </c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153">
        <f>L16</f>
        <v>29798.076000000001</v>
      </c>
    </row>
    <row r="20" spans="1:12" s="61" customFormat="1" ht="15" customHeight="1" x14ac:dyDescent="0.2">
      <c r="A20" s="204" t="s">
        <v>168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154">
        <f>'PLANILHA ORÇAMENTÁRIA'!M55</f>
        <v>429674.65960441995</v>
      </c>
    </row>
    <row r="21" spans="1:12" s="61" customFormat="1" ht="15" customHeight="1" x14ac:dyDescent="0.2">
      <c r="A21" s="204" t="s">
        <v>169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155">
        <f>L19/L20</f>
        <v>6.9350322002776715E-2</v>
      </c>
    </row>
    <row r="22" spans="1:12" ht="119.45" customHeight="1" x14ac:dyDescent="0.25">
      <c r="A22" s="206" t="s">
        <v>170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</row>
    <row r="23" spans="1:12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</sheetData>
  <mergeCells count="13">
    <mergeCell ref="A21:K21"/>
    <mergeCell ref="A22:L22"/>
    <mergeCell ref="A23:L23"/>
    <mergeCell ref="A16:H16"/>
    <mergeCell ref="A17:K17"/>
    <mergeCell ref="A18:K18"/>
    <mergeCell ref="A19:K19"/>
    <mergeCell ref="A20:K20"/>
    <mergeCell ref="A1:C4"/>
    <mergeCell ref="D1:L4"/>
    <mergeCell ref="A5:L10"/>
    <mergeCell ref="A11:L11"/>
    <mergeCell ref="B13:L13"/>
  </mergeCells>
  <pageMargins left="0.51180555555555496" right="0.51180555555555496" top="0.78749999999999998" bottom="0.59027777777777801" header="0.51180555555555496" footer="0.51180555555555496"/>
  <pageSetup paperSize="9" firstPageNumber="0" fitToHeight="0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opLeftCell="A19" zoomScale="90" zoomScaleNormal="90" workbookViewId="0">
      <selection activeCell="F20" sqref="F20"/>
    </sheetView>
  </sheetViews>
  <sheetFormatPr defaultColWidth="8" defaultRowHeight="14.25" x14ac:dyDescent="0.2"/>
  <cols>
    <col min="1" max="1" width="11.25" customWidth="1"/>
    <col min="2" max="2" width="46.375" customWidth="1"/>
    <col min="4" max="4" width="22.75" customWidth="1"/>
    <col min="257" max="257" width="11.25" customWidth="1"/>
    <col min="258" max="258" width="46.375" customWidth="1"/>
    <col min="260" max="260" width="27.5" customWidth="1"/>
    <col min="513" max="513" width="11.25" customWidth="1"/>
    <col min="514" max="514" width="46.375" customWidth="1"/>
    <col min="516" max="516" width="27.5" customWidth="1"/>
    <col min="769" max="769" width="11.25" customWidth="1"/>
    <col min="770" max="770" width="46.375" customWidth="1"/>
    <col min="772" max="772" width="27.5" customWidth="1"/>
  </cols>
  <sheetData>
    <row r="1" spans="1:4" ht="15.75" customHeight="1" x14ac:dyDescent="0.2">
      <c r="A1" s="207" t="s">
        <v>171</v>
      </c>
      <c r="B1" s="207"/>
      <c r="C1" s="207"/>
      <c r="D1" s="207"/>
    </row>
    <row r="2" spans="1:4" ht="15.75" customHeight="1" x14ac:dyDescent="0.2">
      <c r="A2" s="208" t="s">
        <v>3</v>
      </c>
      <c r="B2" s="209" t="s">
        <v>154</v>
      </c>
      <c r="C2" s="208" t="s">
        <v>140</v>
      </c>
      <c r="D2" s="208" t="s">
        <v>172</v>
      </c>
    </row>
    <row r="3" spans="1:4" x14ac:dyDescent="0.2">
      <c r="A3" s="208"/>
      <c r="B3" s="209"/>
      <c r="C3" s="208"/>
      <c r="D3" s="208"/>
    </row>
    <row r="4" spans="1:4" ht="15.75" x14ac:dyDescent="0.2">
      <c r="A4" s="156"/>
      <c r="B4" s="157"/>
      <c r="C4" s="156"/>
      <c r="D4" s="158"/>
    </row>
    <row r="5" spans="1:4" ht="15.75" customHeight="1" x14ac:dyDescent="0.2">
      <c r="A5" s="159">
        <v>1</v>
      </c>
      <c r="B5" s="210" t="s">
        <v>173</v>
      </c>
      <c r="C5" s="210"/>
      <c r="D5" s="160"/>
    </row>
    <row r="6" spans="1:4" ht="15.75" customHeight="1" x14ac:dyDescent="0.2">
      <c r="A6" s="161" t="s">
        <v>17</v>
      </c>
      <c r="B6" s="211" t="s">
        <v>174</v>
      </c>
      <c r="C6" s="211"/>
      <c r="D6" s="162"/>
    </row>
    <row r="7" spans="1:4" ht="15" customHeight="1" x14ac:dyDescent="0.2">
      <c r="A7" s="156" t="s">
        <v>175</v>
      </c>
      <c r="B7" s="157" t="s">
        <v>176</v>
      </c>
      <c r="C7" s="156" t="s">
        <v>177</v>
      </c>
      <c r="D7" s="163">
        <v>3</v>
      </c>
    </row>
    <row r="8" spans="1:4" ht="15.75" customHeight="1" x14ac:dyDescent="0.2">
      <c r="A8" s="161" t="s">
        <v>23</v>
      </c>
      <c r="B8" s="211" t="s">
        <v>178</v>
      </c>
      <c r="C8" s="211"/>
      <c r="D8" s="164"/>
    </row>
    <row r="9" spans="1:4" ht="38.25" customHeight="1" x14ac:dyDescent="0.2">
      <c r="A9" s="156" t="s">
        <v>179</v>
      </c>
      <c r="B9" s="157" t="s">
        <v>180</v>
      </c>
      <c r="C9" s="156" t="s">
        <v>177</v>
      </c>
      <c r="D9" s="163">
        <v>1</v>
      </c>
    </row>
    <row r="10" spans="1:4" ht="51" customHeight="1" x14ac:dyDescent="0.2">
      <c r="A10" s="156" t="s">
        <v>181</v>
      </c>
      <c r="B10" s="157" t="s">
        <v>182</v>
      </c>
      <c r="C10" s="156" t="s">
        <v>177</v>
      </c>
      <c r="D10" s="163">
        <v>1.27</v>
      </c>
    </row>
    <row r="11" spans="1:4" ht="15.75" customHeight="1" x14ac:dyDescent="0.2">
      <c r="A11" s="161" t="s">
        <v>28</v>
      </c>
      <c r="B11" s="211" t="s">
        <v>183</v>
      </c>
      <c r="C11" s="211"/>
      <c r="D11" s="164"/>
    </row>
    <row r="12" spans="1:4" ht="17.25" customHeight="1" x14ac:dyDescent="0.2">
      <c r="A12" s="156" t="s">
        <v>184</v>
      </c>
      <c r="B12" s="157" t="s">
        <v>185</v>
      </c>
      <c r="C12" s="156" t="s">
        <v>177</v>
      </c>
      <c r="D12" s="163">
        <v>0.14000000000000001</v>
      </c>
    </row>
    <row r="13" spans="1:4" ht="15.75" customHeight="1" x14ac:dyDescent="0.2">
      <c r="A13" s="161" t="s">
        <v>32</v>
      </c>
      <c r="B13" s="211" t="s">
        <v>186</v>
      </c>
      <c r="C13" s="211"/>
      <c r="D13" s="162"/>
    </row>
    <row r="14" spans="1:4" ht="15.75" x14ac:dyDescent="0.2">
      <c r="A14" s="156" t="s">
        <v>187</v>
      </c>
      <c r="B14" s="157" t="s">
        <v>188</v>
      </c>
      <c r="C14" s="156" t="s">
        <v>177</v>
      </c>
      <c r="D14" s="163">
        <v>2</v>
      </c>
    </row>
    <row r="15" spans="1:4" ht="15.75" x14ac:dyDescent="0.2">
      <c r="A15" s="156" t="s">
        <v>189</v>
      </c>
      <c r="B15" s="157" t="s">
        <v>190</v>
      </c>
      <c r="C15" s="156" t="s">
        <v>177</v>
      </c>
      <c r="D15" s="163">
        <v>3</v>
      </c>
    </row>
    <row r="16" spans="1:4" ht="15.75" x14ac:dyDescent="0.2">
      <c r="A16" s="156" t="s">
        <v>191</v>
      </c>
      <c r="B16" s="157" t="s">
        <v>192</v>
      </c>
      <c r="C16" s="156" t="s">
        <v>177</v>
      </c>
      <c r="D16" s="163">
        <v>0.65</v>
      </c>
    </row>
    <row r="17" spans="1:4" ht="15.75" x14ac:dyDescent="0.2">
      <c r="A17" s="156" t="s">
        <v>193</v>
      </c>
      <c r="B17" s="157" t="s">
        <v>194</v>
      </c>
      <c r="C17" s="156" t="s">
        <v>177</v>
      </c>
      <c r="D17" s="163">
        <v>4.5</v>
      </c>
    </row>
    <row r="18" spans="1:4" ht="15.75" customHeight="1" x14ac:dyDescent="0.2">
      <c r="A18" s="159">
        <v>2</v>
      </c>
      <c r="B18" s="210" t="s">
        <v>195</v>
      </c>
      <c r="C18" s="210"/>
      <c r="D18" s="160"/>
    </row>
    <row r="19" spans="1:4" ht="15.75" customHeight="1" x14ac:dyDescent="0.2">
      <c r="A19" s="165" t="s">
        <v>74</v>
      </c>
      <c r="B19" s="212" t="s">
        <v>196</v>
      </c>
      <c r="C19" s="212"/>
      <c r="D19" s="166"/>
    </row>
    <row r="20" spans="1:4" ht="15.75" x14ac:dyDescent="0.2">
      <c r="A20" s="156" t="s">
        <v>197</v>
      </c>
      <c r="B20" s="157" t="s">
        <v>198</v>
      </c>
      <c r="C20" s="156" t="s">
        <v>177</v>
      </c>
      <c r="D20" s="163">
        <v>6.5</v>
      </c>
    </row>
    <row r="21" spans="1:4" ht="29.25" customHeight="1" x14ac:dyDescent="0.2">
      <c r="A21" s="209" t="s">
        <v>199</v>
      </c>
      <c r="B21" s="209"/>
      <c r="C21" s="209"/>
      <c r="D21" s="213">
        <f>((((1+(D7/100)+(D9/100)+(D10/100))*(1+(D12/100))*(1+(D20/100)))/(1-((D14+D15+D16+D17)/100)))-1)</f>
        <v>0.24952150884808</v>
      </c>
    </row>
    <row r="22" spans="1:4" ht="33" customHeight="1" x14ac:dyDescent="0.2">
      <c r="A22" s="209"/>
      <c r="B22" s="209"/>
      <c r="C22" s="209"/>
      <c r="D22" s="213"/>
    </row>
    <row r="23" spans="1:4" ht="15.6" customHeight="1" x14ac:dyDescent="0.2">
      <c r="A23" s="214" t="s">
        <v>200</v>
      </c>
      <c r="B23" s="214"/>
      <c r="C23" s="214"/>
      <c r="D23" s="214"/>
    </row>
    <row r="24" spans="1:4" ht="15.6" customHeight="1" x14ac:dyDescent="0.2">
      <c r="A24" s="214" t="s">
        <v>201</v>
      </c>
      <c r="B24" s="214"/>
      <c r="C24" s="214"/>
      <c r="D24" s="214"/>
    </row>
    <row r="25" spans="1:4" ht="178.15" customHeight="1" x14ac:dyDescent="0.2">
      <c r="A25" s="215" t="s">
        <v>161</v>
      </c>
      <c r="B25" s="215"/>
      <c r="C25" s="215"/>
      <c r="D25" s="215"/>
    </row>
    <row r="26" spans="1:4" ht="29.25" customHeight="1" x14ac:dyDescent="0.2">
      <c r="A26" s="215"/>
      <c r="B26" s="215"/>
      <c r="C26" s="215"/>
      <c r="D26" s="215"/>
    </row>
    <row r="27" spans="1:4" ht="33" customHeight="1" x14ac:dyDescent="0.2">
      <c r="A27" s="215"/>
      <c r="B27" s="215"/>
      <c r="C27" s="215"/>
      <c r="D27" s="215"/>
    </row>
    <row r="28" spans="1:4" ht="15.75" x14ac:dyDescent="0.25">
      <c r="A28" s="167"/>
      <c r="B28" s="167"/>
      <c r="C28" s="167"/>
      <c r="D28" s="167"/>
    </row>
  </sheetData>
  <mergeCells count="17">
    <mergeCell ref="A24:D24"/>
    <mergeCell ref="A25:D27"/>
    <mergeCell ref="B18:C18"/>
    <mergeCell ref="B19:C19"/>
    <mergeCell ref="A21:C22"/>
    <mergeCell ref="D21:D22"/>
    <mergeCell ref="A23:D23"/>
    <mergeCell ref="B5:C5"/>
    <mergeCell ref="B6:C6"/>
    <mergeCell ref="B8:C8"/>
    <mergeCell ref="B11:C11"/>
    <mergeCell ref="B13:C13"/>
    <mergeCell ref="A1:D1"/>
    <mergeCell ref="A2:A3"/>
    <mergeCell ref="B2:B3"/>
    <mergeCell ref="C2:C3"/>
    <mergeCell ref="D2:D3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69"/>
  <sheetViews>
    <sheetView topLeftCell="A49" zoomScale="85" zoomScaleNormal="85" workbookViewId="0">
      <selection activeCell="A50" sqref="A50:C50"/>
    </sheetView>
  </sheetViews>
  <sheetFormatPr defaultColWidth="8.375" defaultRowHeight="15.75" x14ac:dyDescent="0.2"/>
  <cols>
    <col min="1" max="1" width="6.375" style="15" customWidth="1"/>
    <col min="2" max="2" width="8" style="15" customWidth="1"/>
    <col min="3" max="3" width="17.625" style="16" customWidth="1"/>
    <col min="4" max="4" width="48.125" style="17" customWidth="1"/>
    <col min="5" max="5" width="10" style="15" customWidth="1"/>
    <col min="6" max="6" width="8.75" style="18" customWidth="1"/>
    <col min="7" max="7" width="8.75" style="17" customWidth="1"/>
    <col min="8" max="8" width="12.125" style="19" customWidth="1"/>
    <col min="9" max="9" width="11.25" style="19" customWidth="1"/>
    <col min="10" max="10" width="12.25" style="20" customWidth="1"/>
    <col min="11" max="61" width="8.375" style="15"/>
  </cols>
  <sheetData>
    <row r="1" spans="1:61" ht="16.5" customHeight="1" x14ac:dyDescent="0.2">
      <c r="A1" s="216"/>
      <c r="B1" s="216"/>
      <c r="C1" s="216"/>
      <c r="D1" s="217" t="s">
        <v>0</v>
      </c>
      <c r="E1" s="217"/>
      <c r="F1" s="217"/>
      <c r="G1" s="217"/>
      <c r="H1" s="217"/>
      <c r="I1" s="217"/>
      <c r="J1" s="217"/>
    </row>
    <row r="2" spans="1:61" x14ac:dyDescent="0.2">
      <c r="A2" s="216"/>
      <c r="B2" s="216"/>
      <c r="C2" s="216"/>
      <c r="D2" s="217"/>
      <c r="E2" s="217"/>
      <c r="F2" s="217"/>
      <c r="G2" s="217"/>
      <c r="H2" s="217"/>
      <c r="I2" s="217"/>
      <c r="J2" s="217"/>
    </row>
    <row r="3" spans="1:61" x14ac:dyDescent="0.2">
      <c r="A3" s="216"/>
      <c r="B3" s="216"/>
      <c r="C3" s="216"/>
      <c r="D3" s="217"/>
      <c r="E3" s="217"/>
      <c r="F3" s="217"/>
      <c r="G3" s="217"/>
      <c r="H3" s="217"/>
      <c r="I3" s="217"/>
      <c r="J3" s="217"/>
    </row>
    <row r="4" spans="1:61" x14ac:dyDescent="0.2">
      <c r="A4" s="216"/>
      <c r="B4" s="216"/>
      <c r="C4" s="216"/>
      <c r="D4" s="217"/>
      <c r="E4" s="217"/>
      <c r="F4" s="217"/>
      <c r="G4" s="217"/>
      <c r="H4" s="217"/>
      <c r="I4" s="217"/>
      <c r="J4" s="217"/>
    </row>
    <row r="5" spans="1:61" ht="15.75" customHeight="1" x14ac:dyDescent="0.2">
      <c r="A5" s="12" t="s">
        <v>1</v>
      </c>
      <c r="B5" s="12"/>
      <c r="C5" s="12"/>
      <c r="D5" s="12"/>
      <c r="E5" s="12"/>
      <c r="F5" s="12"/>
      <c r="G5" s="12"/>
      <c r="H5" s="12"/>
      <c r="I5" s="12"/>
      <c r="J5" s="12"/>
    </row>
    <row r="6" spans="1:61" ht="15.7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61" ht="15.7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61" ht="15.7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61" ht="15.7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61" ht="15.7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61" ht="27.6" customHeight="1" x14ac:dyDescent="0.2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61" x14ac:dyDescent="0.2">
      <c r="A12" s="218" t="s">
        <v>202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x14ac:dyDescent="0.2">
      <c r="A13" s="219" t="s">
        <v>5</v>
      </c>
      <c r="B13" s="219"/>
      <c r="C13" s="219"/>
      <c r="D13" s="219" t="s">
        <v>203</v>
      </c>
      <c r="E13" s="219"/>
      <c r="F13" s="219"/>
      <c r="G13" s="219"/>
      <c r="H13" s="219"/>
      <c r="I13" s="219"/>
      <c r="J13" s="168" t="s">
        <v>7</v>
      </c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</row>
    <row r="14" spans="1:61" ht="26.45" customHeight="1" x14ac:dyDescent="0.2">
      <c r="A14" s="169" t="s">
        <v>23</v>
      </c>
      <c r="B14" s="170" t="s">
        <v>204</v>
      </c>
      <c r="C14" s="171" t="s">
        <v>25</v>
      </c>
      <c r="D14" s="220" t="s">
        <v>26</v>
      </c>
      <c r="E14" s="220"/>
      <c r="F14" s="220"/>
      <c r="G14" s="220"/>
      <c r="H14" s="220"/>
      <c r="I14" s="220"/>
      <c r="J14" s="172" t="s">
        <v>21</v>
      </c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</row>
    <row r="15" spans="1:61" x14ac:dyDescent="0.2">
      <c r="A15" s="218" t="s">
        <v>205</v>
      </c>
      <c r="B15" s="218"/>
      <c r="C15" s="218"/>
      <c r="D15" s="218"/>
      <c r="E15" s="218"/>
      <c r="F15" s="218"/>
      <c r="G15" s="218"/>
      <c r="H15" s="218"/>
      <c r="I15" s="218"/>
      <c r="J15" s="218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</row>
    <row r="16" spans="1:61" ht="14.25" x14ac:dyDescent="0.2">
      <c r="A16" s="221" t="s">
        <v>5</v>
      </c>
      <c r="B16" s="221"/>
      <c r="C16" s="221"/>
      <c r="D16" s="222" t="s">
        <v>206</v>
      </c>
      <c r="E16" s="222"/>
      <c r="F16" s="222"/>
      <c r="G16" s="173" t="s">
        <v>7</v>
      </c>
      <c r="H16" s="173" t="s">
        <v>207</v>
      </c>
      <c r="I16" s="173" t="s">
        <v>208</v>
      </c>
      <c r="J16" s="174" t="s">
        <v>209</v>
      </c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</row>
    <row r="17" spans="1:61" ht="24" customHeight="1" x14ac:dyDescent="0.2">
      <c r="A17" s="223" t="s">
        <v>210</v>
      </c>
      <c r="B17" s="223"/>
      <c r="C17" s="223"/>
      <c r="D17" s="224" t="s">
        <v>211</v>
      </c>
      <c r="E17" s="224"/>
      <c r="F17" s="224"/>
      <c r="G17" s="175" t="s">
        <v>212</v>
      </c>
      <c r="H17" s="175">
        <v>4</v>
      </c>
      <c r="I17" s="176">
        <v>33.57</v>
      </c>
      <c r="J17" s="177">
        <f t="shared" ref="J17:J22" si="0">I17*H17</f>
        <v>134.28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</row>
    <row r="18" spans="1:61" ht="24" customHeight="1" x14ac:dyDescent="0.2">
      <c r="A18" s="223" t="s">
        <v>213</v>
      </c>
      <c r="B18" s="223"/>
      <c r="C18" s="223"/>
      <c r="D18" s="224" t="s">
        <v>214</v>
      </c>
      <c r="E18" s="224"/>
      <c r="F18" s="224"/>
      <c r="G18" s="175" t="s">
        <v>215</v>
      </c>
      <c r="H18" s="175">
        <v>1</v>
      </c>
      <c r="I18" s="176">
        <v>275</v>
      </c>
      <c r="J18" s="177">
        <f t="shared" si="0"/>
        <v>275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</row>
    <row r="19" spans="1:61" ht="12.75" customHeight="1" x14ac:dyDescent="0.2">
      <c r="A19" s="225" t="s">
        <v>216</v>
      </c>
      <c r="B19" s="225"/>
      <c r="C19" s="225"/>
      <c r="D19" s="224" t="s">
        <v>217</v>
      </c>
      <c r="E19" s="224"/>
      <c r="F19" s="224"/>
      <c r="G19" s="175" t="s">
        <v>212</v>
      </c>
      <c r="H19" s="175">
        <v>1</v>
      </c>
      <c r="I19" s="176">
        <v>2.21</v>
      </c>
      <c r="J19" s="177">
        <f t="shared" si="0"/>
        <v>2.21</v>
      </c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</row>
    <row r="20" spans="1:61" ht="12.75" customHeight="1" x14ac:dyDescent="0.2">
      <c r="A20" s="225" t="s">
        <v>218</v>
      </c>
      <c r="B20" s="225"/>
      <c r="C20" s="225"/>
      <c r="D20" s="224" t="s">
        <v>219</v>
      </c>
      <c r="E20" s="224"/>
      <c r="F20" s="224"/>
      <c r="G20" s="175" t="s">
        <v>220</v>
      </c>
      <c r="H20" s="175">
        <v>1</v>
      </c>
      <c r="I20" s="176">
        <v>23.82</v>
      </c>
      <c r="J20" s="177">
        <f t="shared" si="0"/>
        <v>23.82</v>
      </c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</row>
    <row r="21" spans="1:61" ht="12.75" customHeight="1" x14ac:dyDescent="0.2">
      <c r="A21" s="225" t="s">
        <v>221</v>
      </c>
      <c r="B21" s="225"/>
      <c r="C21" s="225"/>
      <c r="D21" s="224" t="s">
        <v>222</v>
      </c>
      <c r="E21" s="224"/>
      <c r="F21" s="224"/>
      <c r="G21" s="175" t="s">
        <v>223</v>
      </c>
      <c r="H21" s="175">
        <v>0.15</v>
      </c>
      <c r="I21" s="176">
        <v>20.239999999999998</v>
      </c>
      <c r="J21" s="177">
        <f t="shared" si="0"/>
        <v>3.0359999999999996</v>
      </c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</row>
    <row r="22" spans="1:61" ht="12.75" customHeight="1" x14ac:dyDescent="0.2">
      <c r="A22" s="225" t="s">
        <v>224</v>
      </c>
      <c r="B22" s="225"/>
      <c r="C22" s="225"/>
      <c r="D22" s="224" t="s">
        <v>225</v>
      </c>
      <c r="E22" s="224"/>
      <c r="F22" s="224"/>
      <c r="G22" s="175" t="s">
        <v>220</v>
      </c>
      <c r="H22" s="175">
        <v>2</v>
      </c>
      <c r="I22" s="176">
        <v>17.260000000000002</v>
      </c>
      <c r="J22" s="177">
        <f t="shared" si="0"/>
        <v>34.520000000000003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</row>
    <row r="23" spans="1:61" ht="14.25" x14ac:dyDescent="0.2">
      <c r="A23" s="226" t="s">
        <v>226</v>
      </c>
      <c r="B23" s="226"/>
      <c r="C23" s="226"/>
      <c r="D23" s="226"/>
      <c r="E23" s="226"/>
      <c r="F23" s="226"/>
      <c r="G23" s="226"/>
      <c r="H23" s="226"/>
      <c r="I23" s="226"/>
      <c r="J23" s="178">
        <f>J17+J18+J19+J20+J21+J22</f>
        <v>472.86599999999993</v>
      </c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</row>
    <row r="24" spans="1:61" x14ac:dyDescent="0.2">
      <c r="A24" s="219" t="s">
        <v>5</v>
      </c>
      <c r="B24" s="219"/>
      <c r="C24" s="219"/>
      <c r="D24" s="219" t="s">
        <v>203</v>
      </c>
      <c r="E24" s="219"/>
      <c r="F24" s="219"/>
      <c r="G24" s="219"/>
      <c r="H24" s="219"/>
      <c r="I24" s="219"/>
      <c r="J24" s="168" t="s">
        <v>7</v>
      </c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</row>
    <row r="25" spans="1:61" ht="26.45" customHeight="1" x14ac:dyDescent="0.2">
      <c r="A25" s="169" t="s">
        <v>32</v>
      </c>
      <c r="B25" s="170" t="s">
        <v>204</v>
      </c>
      <c r="C25" s="171" t="s">
        <v>33</v>
      </c>
      <c r="D25" s="220" t="s">
        <v>227</v>
      </c>
      <c r="E25" s="220"/>
      <c r="F25" s="220"/>
      <c r="G25" s="220"/>
      <c r="H25" s="220"/>
      <c r="I25" s="220"/>
      <c r="J25" s="172" t="s">
        <v>35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</row>
    <row r="26" spans="1:61" x14ac:dyDescent="0.2">
      <c r="A26" s="218" t="s">
        <v>205</v>
      </c>
      <c r="B26" s="218"/>
      <c r="C26" s="218"/>
      <c r="D26" s="218"/>
      <c r="E26" s="218"/>
      <c r="F26" s="218"/>
      <c r="G26" s="218"/>
      <c r="H26" s="218"/>
      <c r="I26" s="218"/>
      <c r="J26" s="218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</row>
    <row r="27" spans="1:61" ht="14.25" x14ac:dyDescent="0.2">
      <c r="A27" s="221" t="s">
        <v>5</v>
      </c>
      <c r="B27" s="221"/>
      <c r="C27" s="221"/>
      <c r="D27" s="222" t="s">
        <v>206</v>
      </c>
      <c r="E27" s="222"/>
      <c r="F27" s="222"/>
      <c r="G27" s="173" t="s">
        <v>7</v>
      </c>
      <c r="H27" s="173" t="s">
        <v>207</v>
      </c>
      <c r="I27" s="173" t="s">
        <v>208</v>
      </c>
      <c r="J27" s="174" t="s">
        <v>209</v>
      </c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</row>
    <row r="28" spans="1:61" ht="14.25" x14ac:dyDescent="0.2">
      <c r="A28" s="223" t="s">
        <v>228</v>
      </c>
      <c r="B28" s="223"/>
      <c r="C28" s="223"/>
      <c r="D28" s="225" t="s">
        <v>229</v>
      </c>
      <c r="E28" s="225"/>
      <c r="F28" s="225"/>
      <c r="G28" s="175" t="s">
        <v>220</v>
      </c>
      <c r="H28" s="175">
        <v>2.7E-2</v>
      </c>
      <c r="I28" s="176">
        <v>27.01</v>
      </c>
      <c r="J28" s="177">
        <f t="shared" ref="J28:J33" si="1">I28*H28</f>
        <v>0.72927000000000008</v>
      </c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</row>
    <row r="29" spans="1:61" ht="14.25" x14ac:dyDescent="0.2">
      <c r="A29" s="223" t="s">
        <v>230</v>
      </c>
      <c r="B29" s="223"/>
      <c r="C29" s="223"/>
      <c r="D29" s="225" t="s">
        <v>231</v>
      </c>
      <c r="E29" s="225"/>
      <c r="F29" s="225"/>
      <c r="G29" s="175" t="s">
        <v>220</v>
      </c>
      <c r="H29" s="175">
        <v>5.5E-2</v>
      </c>
      <c r="I29" s="176">
        <v>11.94</v>
      </c>
      <c r="J29" s="177">
        <f t="shared" si="1"/>
        <v>0.65669999999999995</v>
      </c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</row>
    <row r="30" spans="1:61" ht="24" customHeight="1" x14ac:dyDescent="0.2">
      <c r="A30" s="225" t="s">
        <v>232</v>
      </c>
      <c r="B30" s="225"/>
      <c r="C30" s="225"/>
      <c r="D30" s="224" t="s">
        <v>233</v>
      </c>
      <c r="E30" s="224"/>
      <c r="F30" s="224"/>
      <c r="G30" s="175" t="s">
        <v>220</v>
      </c>
      <c r="H30" s="175">
        <v>5.5E-2</v>
      </c>
      <c r="I30" s="176">
        <v>7.0000000000000007E-2</v>
      </c>
      <c r="J30" s="177">
        <f t="shared" si="1"/>
        <v>3.8500000000000006E-3</v>
      </c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</row>
    <row r="31" spans="1:61" ht="24" customHeight="1" x14ac:dyDescent="0.2">
      <c r="A31" s="225" t="s">
        <v>234</v>
      </c>
      <c r="B31" s="225"/>
      <c r="C31" s="225"/>
      <c r="D31" s="224" t="s">
        <v>235</v>
      </c>
      <c r="E31" s="224"/>
      <c r="F31" s="224"/>
      <c r="G31" s="175" t="s">
        <v>220</v>
      </c>
      <c r="H31" s="175">
        <v>5.5E-2</v>
      </c>
      <c r="I31" s="176">
        <v>0.62</v>
      </c>
      <c r="J31" s="177">
        <f t="shared" si="1"/>
        <v>3.4099999999999998E-2</v>
      </c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</row>
    <row r="32" spans="1:61" ht="24" customHeight="1" x14ac:dyDescent="0.2">
      <c r="A32" s="225" t="s">
        <v>236</v>
      </c>
      <c r="B32" s="225"/>
      <c r="C32" s="225"/>
      <c r="D32" s="224" t="s">
        <v>237</v>
      </c>
      <c r="E32" s="224"/>
      <c r="F32" s="224"/>
      <c r="G32" s="175" t="s">
        <v>220</v>
      </c>
      <c r="H32" s="175">
        <v>2.7E-2</v>
      </c>
      <c r="I32" s="176">
        <v>2.25</v>
      </c>
      <c r="J32" s="177">
        <f t="shared" si="1"/>
        <v>6.0749999999999998E-2</v>
      </c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</row>
    <row r="33" spans="1:61" ht="12.75" customHeight="1" x14ac:dyDescent="0.2">
      <c r="A33" s="225" t="s">
        <v>238</v>
      </c>
      <c r="B33" s="225"/>
      <c r="C33" s="225"/>
      <c r="D33" s="224" t="s">
        <v>239</v>
      </c>
      <c r="E33" s="224"/>
      <c r="F33" s="224"/>
      <c r="G33" s="175" t="s">
        <v>220</v>
      </c>
      <c r="H33" s="175">
        <v>0.01</v>
      </c>
      <c r="I33" s="176">
        <v>16.399999999999999</v>
      </c>
      <c r="J33" s="177">
        <f t="shared" si="1"/>
        <v>0.16399999999999998</v>
      </c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</row>
    <row r="34" spans="1:61" ht="14.25" x14ac:dyDescent="0.2">
      <c r="A34" s="226" t="s">
        <v>226</v>
      </c>
      <c r="B34" s="226"/>
      <c r="C34" s="226"/>
      <c r="D34" s="226"/>
      <c r="E34" s="226"/>
      <c r="F34" s="226"/>
      <c r="G34" s="226"/>
      <c r="H34" s="226"/>
      <c r="I34" s="226"/>
      <c r="J34" s="178">
        <f>J28+J29+J30+J31+J32+J33</f>
        <v>1.6486699999999999</v>
      </c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</row>
    <row r="35" spans="1:61" x14ac:dyDescent="0.2">
      <c r="A35" s="219" t="s">
        <v>5</v>
      </c>
      <c r="B35" s="219"/>
      <c r="C35" s="219"/>
      <c r="D35" s="219" t="s">
        <v>203</v>
      </c>
      <c r="E35" s="219"/>
      <c r="F35" s="219"/>
      <c r="G35" s="219"/>
      <c r="H35" s="219"/>
      <c r="I35" s="219"/>
      <c r="J35" s="168" t="s">
        <v>7</v>
      </c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</row>
    <row r="36" spans="1:61" ht="26.45" customHeight="1" x14ac:dyDescent="0.2">
      <c r="A36" s="169" t="s">
        <v>32</v>
      </c>
      <c r="B36" s="170" t="s">
        <v>204</v>
      </c>
      <c r="C36" s="171" t="s">
        <v>64</v>
      </c>
      <c r="D36" s="220" t="s">
        <v>240</v>
      </c>
      <c r="E36" s="220"/>
      <c r="F36" s="220"/>
      <c r="G36" s="220"/>
      <c r="H36" s="220"/>
      <c r="I36" s="220"/>
      <c r="J36" s="172" t="s">
        <v>241</v>
      </c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</row>
    <row r="37" spans="1:61" x14ac:dyDescent="0.2">
      <c r="A37" s="218" t="s">
        <v>205</v>
      </c>
      <c r="B37" s="218"/>
      <c r="C37" s="218"/>
      <c r="D37" s="218"/>
      <c r="E37" s="218"/>
      <c r="F37" s="218"/>
      <c r="G37" s="218"/>
      <c r="H37" s="218"/>
      <c r="I37" s="218"/>
      <c r="J37" s="218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</row>
    <row r="38" spans="1:61" ht="14.25" x14ac:dyDescent="0.2">
      <c r="A38" s="221" t="s">
        <v>5</v>
      </c>
      <c r="B38" s="221"/>
      <c r="C38" s="221"/>
      <c r="D38" s="222" t="s">
        <v>206</v>
      </c>
      <c r="E38" s="222"/>
      <c r="F38" s="222"/>
      <c r="G38" s="173" t="s">
        <v>7</v>
      </c>
      <c r="H38" s="173" t="s">
        <v>207</v>
      </c>
      <c r="I38" s="173" t="s">
        <v>208</v>
      </c>
      <c r="J38" s="174" t="s">
        <v>209</v>
      </c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</row>
    <row r="39" spans="1:61" ht="14.25" x14ac:dyDescent="0.2">
      <c r="A39" s="223" t="s">
        <v>242</v>
      </c>
      <c r="B39" s="223"/>
      <c r="C39" s="223"/>
      <c r="D39" s="225" t="s">
        <v>243</v>
      </c>
      <c r="E39" s="225"/>
      <c r="F39" s="225"/>
      <c r="G39" s="175" t="s">
        <v>220</v>
      </c>
      <c r="H39" s="176">
        <v>6</v>
      </c>
      <c r="I39" s="176">
        <v>26.02</v>
      </c>
      <c r="J39" s="177">
        <f t="shared" ref="J39:J44" si="2">I39*H39</f>
        <v>156.12</v>
      </c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</row>
    <row r="40" spans="1:61" ht="14.25" x14ac:dyDescent="0.2">
      <c r="A40" s="223" t="s">
        <v>244</v>
      </c>
      <c r="B40" s="223"/>
      <c r="C40" s="223"/>
      <c r="D40" s="225" t="s">
        <v>245</v>
      </c>
      <c r="E40" s="225"/>
      <c r="F40" s="225"/>
      <c r="G40" s="175" t="s">
        <v>220</v>
      </c>
      <c r="H40" s="176">
        <v>8</v>
      </c>
      <c r="I40" s="176">
        <v>17.829999999999998</v>
      </c>
      <c r="J40" s="177">
        <f t="shared" si="2"/>
        <v>142.63999999999999</v>
      </c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</row>
    <row r="41" spans="1:61" ht="24" customHeight="1" x14ac:dyDescent="0.2">
      <c r="A41" s="225" t="s">
        <v>246</v>
      </c>
      <c r="B41" s="225"/>
      <c r="C41" s="225"/>
      <c r="D41" s="225" t="s">
        <v>247</v>
      </c>
      <c r="E41" s="225"/>
      <c r="F41" s="225"/>
      <c r="G41" s="175" t="s">
        <v>220</v>
      </c>
      <c r="H41" s="176">
        <v>4</v>
      </c>
      <c r="I41" s="176">
        <v>15.64</v>
      </c>
      <c r="J41" s="177">
        <f t="shared" si="2"/>
        <v>62.56</v>
      </c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</row>
    <row r="42" spans="1:61" ht="24" customHeight="1" x14ac:dyDescent="0.2">
      <c r="A42" s="225" t="s">
        <v>236</v>
      </c>
      <c r="B42" s="225"/>
      <c r="C42" s="225"/>
      <c r="D42" s="225" t="s">
        <v>248</v>
      </c>
      <c r="E42" s="225"/>
      <c r="F42" s="225"/>
      <c r="G42" s="175" t="s">
        <v>249</v>
      </c>
      <c r="H42" s="176">
        <v>1</v>
      </c>
      <c r="I42" s="176">
        <v>2.25</v>
      </c>
      <c r="J42" s="177">
        <f t="shared" si="2"/>
        <v>2.25</v>
      </c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</row>
    <row r="43" spans="1:61" ht="12.75" customHeight="1" x14ac:dyDescent="0.2">
      <c r="A43" s="225" t="s">
        <v>250</v>
      </c>
      <c r="B43" s="225"/>
      <c r="C43" s="225"/>
      <c r="D43" s="225" t="s">
        <v>251</v>
      </c>
      <c r="E43" s="225"/>
      <c r="F43" s="225"/>
      <c r="G43" s="175" t="s">
        <v>223</v>
      </c>
      <c r="H43" s="176">
        <v>3.9</v>
      </c>
      <c r="I43" s="176">
        <v>10.84</v>
      </c>
      <c r="J43" s="177">
        <f t="shared" si="2"/>
        <v>42.275999999999996</v>
      </c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</row>
    <row r="44" spans="1:61" ht="12.75" customHeight="1" x14ac:dyDescent="0.2">
      <c r="A44" s="225" t="s">
        <v>252</v>
      </c>
      <c r="B44" s="225"/>
      <c r="C44" s="225"/>
      <c r="D44" s="225" t="s">
        <v>253</v>
      </c>
      <c r="E44" s="225"/>
      <c r="F44" s="225"/>
      <c r="G44" s="175" t="s">
        <v>254</v>
      </c>
      <c r="H44" s="176">
        <f>3.9*5</f>
        <v>19.5</v>
      </c>
      <c r="I44" s="176">
        <v>1.73</v>
      </c>
      <c r="J44" s="177">
        <f t="shared" si="2"/>
        <v>33.734999999999999</v>
      </c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</row>
    <row r="45" spans="1:61" ht="14.25" x14ac:dyDescent="0.2">
      <c r="A45" s="226" t="s">
        <v>226</v>
      </c>
      <c r="B45" s="226"/>
      <c r="C45" s="226"/>
      <c r="D45" s="226" t="s">
        <v>255</v>
      </c>
      <c r="E45" s="226" t="s">
        <v>255</v>
      </c>
      <c r="F45" s="226" t="s">
        <v>255</v>
      </c>
      <c r="G45" s="226"/>
      <c r="H45" s="226"/>
      <c r="I45" s="226"/>
      <c r="J45" s="178">
        <f>J39+J40+J41+J42+J43+J44</f>
        <v>439.58100000000002</v>
      </c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</row>
    <row r="46" spans="1:61" x14ac:dyDescent="0.2">
      <c r="A46" s="219" t="s">
        <v>5</v>
      </c>
      <c r="B46" s="219"/>
      <c r="C46" s="219"/>
      <c r="D46" s="219" t="s">
        <v>203</v>
      </c>
      <c r="E46" s="219"/>
      <c r="F46" s="219"/>
      <c r="G46" s="219"/>
      <c r="H46" s="219"/>
      <c r="I46" s="219"/>
      <c r="J46" s="168" t="s">
        <v>7</v>
      </c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</row>
    <row r="47" spans="1:61" ht="26.45" customHeight="1" x14ac:dyDescent="0.2">
      <c r="A47" s="169" t="s">
        <v>125</v>
      </c>
      <c r="B47" s="170" t="s">
        <v>204</v>
      </c>
      <c r="C47" s="171" t="s">
        <v>126</v>
      </c>
      <c r="D47" s="220" t="s">
        <v>127</v>
      </c>
      <c r="E47" s="220"/>
      <c r="F47" s="220"/>
      <c r="G47" s="220"/>
      <c r="H47" s="220"/>
      <c r="I47" s="220"/>
      <c r="J47" s="172" t="s">
        <v>90</v>
      </c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</row>
    <row r="48" spans="1:61" x14ac:dyDescent="0.2">
      <c r="A48" s="218" t="s">
        <v>205</v>
      </c>
      <c r="B48" s="218"/>
      <c r="C48" s="218"/>
      <c r="D48" s="218"/>
      <c r="E48" s="218"/>
      <c r="F48" s="218"/>
      <c r="G48" s="218"/>
      <c r="H48" s="218"/>
      <c r="I48" s="218"/>
      <c r="J48" s="218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</row>
    <row r="49" spans="1:61" ht="14.25" x14ac:dyDescent="0.2">
      <c r="A49" s="221" t="s">
        <v>5</v>
      </c>
      <c r="B49" s="221"/>
      <c r="C49" s="221"/>
      <c r="D49" s="222" t="s">
        <v>206</v>
      </c>
      <c r="E49" s="222"/>
      <c r="F49" s="222"/>
      <c r="G49" s="173" t="s">
        <v>7</v>
      </c>
      <c r="H49" s="173" t="s">
        <v>207</v>
      </c>
      <c r="I49" s="173" t="s">
        <v>208</v>
      </c>
      <c r="J49" s="174" t="s">
        <v>209</v>
      </c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</row>
    <row r="50" spans="1:61" ht="24" customHeight="1" x14ac:dyDescent="0.2">
      <c r="A50" s="223" t="s">
        <v>256</v>
      </c>
      <c r="B50" s="223"/>
      <c r="C50" s="223"/>
      <c r="D50" s="224" t="s">
        <v>257</v>
      </c>
      <c r="E50" s="224"/>
      <c r="F50" s="224"/>
      <c r="G50" s="175" t="s">
        <v>215</v>
      </c>
      <c r="H50" s="175">
        <v>4.5999999999999996</v>
      </c>
      <c r="I50" s="176">
        <v>8.06</v>
      </c>
      <c r="J50" s="177">
        <f t="shared" ref="J50:J57" si="3">I50*H50</f>
        <v>37.076000000000001</v>
      </c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</row>
    <row r="51" spans="1:61" ht="14.25" x14ac:dyDescent="0.2">
      <c r="A51" s="223" t="s">
        <v>258</v>
      </c>
      <c r="B51" s="223"/>
      <c r="C51" s="223"/>
      <c r="D51" s="225" t="s">
        <v>259</v>
      </c>
      <c r="E51" s="225"/>
      <c r="F51" s="225"/>
      <c r="G51" s="175" t="s">
        <v>260</v>
      </c>
      <c r="H51" s="175">
        <v>0.81640000000000001</v>
      </c>
      <c r="I51" s="176">
        <v>70.8</v>
      </c>
      <c r="J51" s="177">
        <f t="shared" si="3"/>
        <v>57.801119999999997</v>
      </c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</row>
    <row r="52" spans="1:61" ht="46.9" customHeight="1" x14ac:dyDescent="0.2">
      <c r="A52" s="225" t="s">
        <v>261</v>
      </c>
      <c r="B52" s="225"/>
      <c r="C52" s="225"/>
      <c r="D52" s="224" t="s">
        <v>262</v>
      </c>
      <c r="E52" s="224"/>
      <c r="F52" s="224"/>
      <c r="G52" s="175" t="s">
        <v>263</v>
      </c>
      <c r="H52" s="175">
        <v>3.2500000000000001E-2</v>
      </c>
      <c r="I52" s="176">
        <v>139.15</v>
      </c>
      <c r="J52" s="177">
        <f t="shared" si="3"/>
        <v>4.5223750000000003</v>
      </c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</row>
    <row r="53" spans="1:61" ht="46.9" customHeight="1" x14ac:dyDescent="0.2">
      <c r="A53" s="225" t="s">
        <v>264</v>
      </c>
      <c r="B53" s="225"/>
      <c r="C53" s="225"/>
      <c r="D53" s="224" t="s">
        <v>265</v>
      </c>
      <c r="E53" s="224"/>
      <c r="F53" s="224"/>
      <c r="G53" s="175" t="s">
        <v>263</v>
      </c>
      <c r="H53" s="175">
        <v>9.6799999999999997E-2</v>
      </c>
      <c r="I53" s="176">
        <v>58.62</v>
      </c>
      <c r="J53" s="177">
        <f t="shared" si="3"/>
        <v>5.6744159999999999</v>
      </c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</row>
    <row r="54" spans="1:61" ht="35.450000000000003" customHeight="1" x14ac:dyDescent="0.2">
      <c r="A54" s="225" t="s">
        <v>266</v>
      </c>
      <c r="B54" s="225"/>
      <c r="C54" s="225"/>
      <c r="D54" s="224" t="s">
        <v>267</v>
      </c>
      <c r="E54" s="224"/>
      <c r="F54" s="224"/>
      <c r="G54" s="175" t="s">
        <v>212</v>
      </c>
      <c r="H54" s="175">
        <v>1.0029999999999999</v>
      </c>
      <c r="I54" s="176">
        <v>7.39</v>
      </c>
      <c r="J54" s="177">
        <f t="shared" si="3"/>
        <v>7.4121699999999988</v>
      </c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</row>
    <row r="55" spans="1:61" ht="12.75" customHeight="1" x14ac:dyDescent="0.2">
      <c r="A55" s="225" t="s">
        <v>268</v>
      </c>
      <c r="B55" s="225"/>
      <c r="C55" s="225"/>
      <c r="D55" s="224" t="s">
        <v>269</v>
      </c>
      <c r="E55" s="224"/>
      <c r="F55" s="224"/>
      <c r="G55" s="175" t="s">
        <v>220</v>
      </c>
      <c r="H55" s="175">
        <v>6.4600000000000005E-2</v>
      </c>
      <c r="I55" s="176">
        <v>24.06</v>
      </c>
      <c r="J55" s="177">
        <f t="shared" si="3"/>
        <v>1.554276</v>
      </c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</row>
    <row r="56" spans="1:61" ht="12.75" customHeight="1" x14ac:dyDescent="0.2">
      <c r="A56" s="225" t="s">
        <v>224</v>
      </c>
      <c r="B56" s="225"/>
      <c r="C56" s="225"/>
      <c r="D56" s="224" t="s">
        <v>225</v>
      </c>
      <c r="E56" s="224"/>
      <c r="F56" s="224"/>
      <c r="G56" s="175" t="s">
        <v>220</v>
      </c>
      <c r="H56" s="175">
        <v>0.19389999999999999</v>
      </c>
      <c r="I56" s="176">
        <v>17.260000000000002</v>
      </c>
      <c r="J56" s="177">
        <f t="shared" si="3"/>
        <v>3.346714</v>
      </c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</row>
    <row r="57" spans="1:61" ht="46.9" customHeight="1" x14ac:dyDescent="0.2">
      <c r="A57" s="225" t="s">
        <v>270</v>
      </c>
      <c r="B57" s="225"/>
      <c r="C57" s="225"/>
      <c r="D57" s="224" t="s">
        <v>271</v>
      </c>
      <c r="E57" s="224"/>
      <c r="F57" s="224"/>
      <c r="G57" s="175" t="s">
        <v>260</v>
      </c>
      <c r="H57" s="175">
        <v>0.75</v>
      </c>
      <c r="I57" s="176">
        <v>6.84</v>
      </c>
      <c r="J57" s="177">
        <f t="shared" si="3"/>
        <v>5.13</v>
      </c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</row>
    <row r="58" spans="1:61" ht="14.25" x14ac:dyDescent="0.2">
      <c r="A58" s="226" t="s">
        <v>226</v>
      </c>
      <c r="B58" s="226"/>
      <c r="C58" s="226"/>
      <c r="D58" s="226"/>
      <c r="E58" s="226"/>
      <c r="F58" s="226"/>
      <c r="G58" s="226"/>
      <c r="H58" s="226"/>
      <c r="I58" s="226"/>
      <c r="J58" s="178">
        <f>J50+J51+J52+J53+J54+J55+J56+J57</f>
        <v>122.51707099999999</v>
      </c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</row>
    <row r="59" spans="1:61" x14ac:dyDescent="0.2">
      <c r="A59" s="219" t="s">
        <v>5</v>
      </c>
      <c r="B59" s="219"/>
      <c r="C59" s="219"/>
      <c r="D59" s="219" t="s">
        <v>203</v>
      </c>
      <c r="E59" s="219"/>
      <c r="F59" s="219"/>
      <c r="G59" s="219"/>
      <c r="H59" s="219"/>
      <c r="I59" s="219"/>
      <c r="J59" s="168" t="s">
        <v>7</v>
      </c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</row>
    <row r="60" spans="1:61" ht="26.45" customHeight="1" x14ac:dyDescent="0.2">
      <c r="A60" s="169" t="s">
        <v>129</v>
      </c>
      <c r="B60" s="170" t="s">
        <v>204</v>
      </c>
      <c r="C60" s="171" t="s">
        <v>130</v>
      </c>
      <c r="D60" s="220" t="s">
        <v>131</v>
      </c>
      <c r="E60" s="220"/>
      <c r="F60" s="220"/>
      <c r="G60" s="220"/>
      <c r="H60" s="220"/>
      <c r="I60" s="220"/>
      <c r="J60" s="172" t="s">
        <v>90</v>
      </c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</row>
    <row r="61" spans="1:61" x14ac:dyDescent="0.2">
      <c r="A61" s="218" t="s">
        <v>205</v>
      </c>
      <c r="B61" s="218"/>
      <c r="C61" s="218"/>
      <c r="D61" s="218"/>
      <c r="E61" s="218"/>
      <c r="F61" s="218"/>
      <c r="G61" s="218"/>
      <c r="H61" s="218"/>
      <c r="I61" s="218"/>
      <c r="J61" s="218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</row>
    <row r="62" spans="1:61" ht="14.25" x14ac:dyDescent="0.2">
      <c r="A62" s="221" t="s">
        <v>5</v>
      </c>
      <c r="B62" s="221"/>
      <c r="C62" s="221"/>
      <c r="D62" s="222" t="s">
        <v>206</v>
      </c>
      <c r="E62" s="222"/>
      <c r="F62" s="222"/>
      <c r="G62" s="173" t="s">
        <v>7</v>
      </c>
      <c r="H62" s="173" t="s">
        <v>207</v>
      </c>
      <c r="I62" s="173" t="s">
        <v>208</v>
      </c>
      <c r="J62" s="174" t="s">
        <v>209</v>
      </c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</row>
    <row r="63" spans="1:61" ht="24" customHeight="1" x14ac:dyDescent="0.2">
      <c r="A63" s="223" t="s">
        <v>256</v>
      </c>
      <c r="B63" s="223"/>
      <c r="C63" s="223"/>
      <c r="D63" s="224" t="s">
        <v>257</v>
      </c>
      <c r="E63" s="224"/>
      <c r="F63" s="224"/>
      <c r="G63" s="175" t="s">
        <v>215</v>
      </c>
      <c r="H63" s="175">
        <v>2.2999999999999998</v>
      </c>
      <c r="I63" s="176">
        <v>8.06</v>
      </c>
      <c r="J63" s="177">
        <f t="shared" ref="J63:J68" si="4">I63*H63</f>
        <v>18.538</v>
      </c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</row>
    <row r="64" spans="1:61" ht="14.25" x14ac:dyDescent="0.2">
      <c r="A64" s="223" t="s">
        <v>258</v>
      </c>
      <c r="B64" s="223"/>
      <c r="C64" s="223"/>
      <c r="D64" s="225" t="s">
        <v>259</v>
      </c>
      <c r="E64" s="225"/>
      <c r="F64" s="225"/>
      <c r="G64" s="175" t="s">
        <v>260</v>
      </c>
      <c r="H64" s="175">
        <v>0.16739999999999999</v>
      </c>
      <c r="I64" s="176">
        <v>70.8</v>
      </c>
      <c r="J64" s="177">
        <f t="shared" si="4"/>
        <v>11.85192</v>
      </c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</row>
    <row r="65" spans="1:61" ht="35.450000000000003" customHeight="1" x14ac:dyDescent="0.2">
      <c r="A65" s="225" t="s">
        <v>266</v>
      </c>
      <c r="B65" s="225"/>
      <c r="C65" s="225"/>
      <c r="D65" s="224" t="s">
        <v>267</v>
      </c>
      <c r="E65" s="224"/>
      <c r="F65" s="224"/>
      <c r="G65" s="175" t="s">
        <v>212</v>
      </c>
      <c r="H65" s="175">
        <v>1.0029999999999999</v>
      </c>
      <c r="I65" s="176">
        <v>7.39</v>
      </c>
      <c r="J65" s="177">
        <f t="shared" si="4"/>
        <v>7.4121699999999988</v>
      </c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</row>
    <row r="66" spans="1:61" ht="12.75" customHeight="1" x14ac:dyDescent="0.2">
      <c r="A66" s="225" t="s">
        <v>268</v>
      </c>
      <c r="B66" s="225"/>
      <c r="C66" s="225"/>
      <c r="D66" s="224" t="s">
        <v>269</v>
      </c>
      <c r="E66" s="224"/>
      <c r="F66" s="224"/>
      <c r="G66" s="175" t="s">
        <v>220</v>
      </c>
      <c r="H66" s="175">
        <v>7.0199999999999999E-2</v>
      </c>
      <c r="I66" s="176">
        <v>24.06</v>
      </c>
      <c r="J66" s="177">
        <f t="shared" si="4"/>
        <v>1.689012</v>
      </c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</row>
    <row r="67" spans="1:61" ht="12.75" customHeight="1" x14ac:dyDescent="0.2">
      <c r="A67" s="225" t="s">
        <v>224</v>
      </c>
      <c r="B67" s="225"/>
      <c r="C67" s="225"/>
      <c r="D67" s="224" t="s">
        <v>225</v>
      </c>
      <c r="E67" s="224"/>
      <c r="F67" s="224"/>
      <c r="G67" s="175" t="s">
        <v>220</v>
      </c>
      <c r="H67" s="175">
        <v>0.21049999999999999</v>
      </c>
      <c r="I67" s="176">
        <v>17.260000000000002</v>
      </c>
      <c r="J67" s="177">
        <f t="shared" si="4"/>
        <v>3.6332300000000002</v>
      </c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</row>
    <row r="68" spans="1:61" ht="46.9" customHeight="1" x14ac:dyDescent="0.2">
      <c r="A68" s="225" t="s">
        <v>270</v>
      </c>
      <c r="B68" s="225"/>
      <c r="C68" s="225"/>
      <c r="D68" s="224" t="s">
        <v>271</v>
      </c>
      <c r="E68" s="224"/>
      <c r="F68" s="224"/>
      <c r="G68" s="175" t="s">
        <v>260</v>
      </c>
      <c r="H68" s="175">
        <v>0.16</v>
      </c>
      <c r="I68" s="176">
        <v>6.84</v>
      </c>
      <c r="J68" s="177">
        <f t="shared" si="4"/>
        <v>1.0944</v>
      </c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</row>
    <row r="69" spans="1:61" ht="14.25" x14ac:dyDescent="0.2">
      <c r="A69" s="226" t="s">
        <v>226</v>
      </c>
      <c r="B69" s="226"/>
      <c r="C69" s="226"/>
      <c r="D69" s="226"/>
      <c r="E69" s="226"/>
      <c r="F69" s="226"/>
      <c r="G69" s="226"/>
      <c r="H69" s="226"/>
      <c r="I69" s="226"/>
      <c r="J69" s="178">
        <f>J63+J64+J65+J66+J67+J68</f>
        <v>44.218731999999996</v>
      </c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</row>
  </sheetData>
  <mergeCells count="104">
    <mergeCell ref="A65:C65"/>
    <mergeCell ref="D65:F65"/>
    <mergeCell ref="A66:C66"/>
    <mergeCell ref="D66:F66"/>
    <mergeCell ref="A67:C67"/>
    <mergeCell ref="D67:F67"/>
    <mergeCell ref="A68:C68"/>
    <mergeCell ref="D68:F68"/>
    <mergeCell ref="A69:I69"/>
    <mergeCell ref="A59:C59"/>
    <mergeCell ref="D59:I59"/>
    <mergeCell ref="D60:I60"/>
    <mergeCell ref="A61:J61"/>
    <mergeCell ref="A62:C62"/>
    <mergeCell ref="D62:F62"/>
    <mergeCell ref="A63:C63"/>
    <mergeCell ref="D63:F63"/>
    <mergeCell ref="A64:C64"/>
    <mergeCell ref="D64:F64"/>
    <mergeCell ref="A54:C54"/>
    <mergeCell ref="D54:F54"/>
    <mergeCell ref="A55:C55"/>
    <mergeCell ref="D55:F55"/>
    <mergeCell ref="A56:C56"/>
    <mergeCell ref="D56:F56"/>
    <mergeCell ref="A57:C57"/>
    <mergeCell ref="D57:F57"/>
    <mergeCell ref="A58:I58"/>
    <mergeCell ref="A49:C49"/>
    <mergeCell ref="D49:F49"/>
    <mergeCell ref="A50:C50"/>
    <mergeCell ref="D50:F50"/>
    <mergeCell ref="A51:C51"/>
    <mergeCell ref="D51:F51"/>
    <mergeCell ref="A52:C52"/>
    <mergeCell ref="D52:F52"/>
    <mergeCell ref="A53:C53"/>
    <mergeCell ref="D53:F53"/>
    <mergeCell ref="A43:C43"/>
    <mergeCell ref="D43:F43"/>
    <mergeCell ref="A44:C44"/>
    <mergeCell ref="D44:F44"/>
    <mergeCell ref="A45:I45"/>
    <mergeCell ref="A46:C46"/>
    <mergeCell ref="D46:I46"/>
    <mergeCell ref="D47:I47"/>
    <mergeCell ref="A48:J48"/>
    <mergeCell ref="A38:C38"/>
    <mergeCell ref="D38:F38"/>
    <mergeCell ref="A39:C39"/>
    <mergeCell ref="D39:F39"/>
    <mergeCell ref="A40:C40"/>
    <mergeCell ref="D40:F40"/>
    <mergeCell ref="A41:C41"/>
    <mergeCell ref="D41:F41"/>
    <mergeCell ref="A42:C42"/>
    <mergeCell ref="D42:F42"/>
    <mergeCell ref="A32:C32"/>
    <mergeCell ref="D32:F32"/>
    <mergeCell ref="A33:C33"/>
    <mergeCell ref="D33:F33"/>
    <mergeCell ref="A34:I34"/>
    <mergeCell ref="A35:C35"/>
    <mergeCell ref="D35:I35"/>
    <mergeCell ref="D36:I36"/>
    <mergeCell ref="A37:J37"/>
    <mergeCell ref="A27:C27"/>
    <mergeCell ref="D27:F27"/>
    <mergeCell ref="A28:C28"/>
    <mergeCell ref="D28:F28"/>
    <mergeCell ref="A29:C29"/>
    <mergeCell ref="D29:F29"/>
    <mergeCell ref="A30:C30"/>
    <mergeCell ref="D30:F30"/>
    <mergeCell ref="A31:C31"/>
    <mergeCell ref="D31:F31"/>
    <mergeCell ref="A21:C21"/>
    <mergeCell ref="D21:F21"/>
    <mergeCell ref="A22:C22"/>
    <mergeCell ref="D22:F22"/>
    <mergeCell ref="A23:I23"/>
    <mergeCell ref="A24:C24"/>
    <mergeCell ref="D24:I24"/>
    <mergeCell ref="D25:I25"/>
    <mergeCell ref="A26:J26"/>
    <mergeCell ref="A16:C16"/>
    <mergeCell ref="D16:F16"/>
    <mergeCell ref="A17:C17"/>
    <mergeCell ref="D17:F17"/>
    <mergeCell ref="A18:C18"/>
    <mergeCell ref="D18:F18"/>
    <mergeCell ref="A19:C19"/>
    <mergeCell ref="D19:F19"/>
    <mergeCell ref="A20:C20"/>
    <mergeCell ref="D20:F20"/>
    <mergeCell ref="A1:C4"/>
    <mergeCell ref="D1:J4"/>
    <mergeCell ref="A5:J10"/>
    <mergeCell ref="A11:J11"/>
    <mergeCell ref="A12:J12"/>
    <mergeCell ref="A13:C13"/>
    <mergeCell ref="D13:I13"/>
    <mergeCell ref="D14:I14"/>
    <mergeCell ref="A15:J1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 ORÇAMENTÁRIA</vt:lpstr>
      <vt:lpstr>CRONOGRAMA</vt:lpstr>
      <vt:lpstr>TAD</vt:lpstr>
      <vt:lpstr>BDI NORMAL</vt:lpstr>
      <vt:lpstr>COMPOSIÇÃO PRÓPRIA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pontes</dc:creator>
  <dc:description/>
  <cp:lastModifiedBy>Luis Filipe .</cp:lastModifiedBy>
  <cp:revision>33</cp:revision>
  <cp:lastPrinted>2021-04-15T15:48:03Z</cp:lastPrinted>
  <dcterms:created xsi:type="dcterms:W3CDTF">2020-07-21T23:51:38Z</dcterms:created>
  <dcterms:modified xsi:type="dcterms:W3CDTF">2022-01-26T16:26:00Z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