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Projeto Básico -Termo de refência\TERMOS DE REFERENCIA\2019\Elaboração de Projeto de Reforma\"/>
    </mc:Choice>
  </mc:AlternateContent>
  <bookViews>
    <workbookView xWindow="0" yWindow="0" windowWidth="28800" windowHeight="11835"/>
  </bookViews>
  <sheets>
    <sheet name="Orçamento estimativo" sheetId="1" r:id="rId1"/>
    <sheet name="BDI" sheetId="8" r:id="rId2"/>
    <sheet name="Cronograma físico-financeiro" sheetId="7" r:id="rId3"/>
    <sheet name="prazos de execução" sheetId="4" r:id="rId4"/>
    <sheet name="Desembolso mensal" sheetId="6" r:id="rId5"/>
    <sheet name="Quantitativo Qualificação Tec" sheetId="5" r:id="rId6"/>
  </sheets>
  <definedNames>
    <definedName name="_xlnm.Print_Area" localSheetId="0">'Orçamento estimativo'!$B$4:$G$37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1" l="1"/>
  <c r="G32" i="1"/>
  <c r="H22" i="7" l="1"/>
  <c r="H23" i="7"/>
  <c r="H24" i="7"/>
  <c r="H25" i="7" s="1"/>
  <c r="H26" i="7" s="1"/>
  <c r="H20" i="7"/>
  <c r="C60" i="7"/>
  <c r="C61" i="7"/>
  <c r="C58" i="7"/>
  <c r="C54" i="7"/>
  <c r="C56" i="7" s="1"/>
  <c r="P42" i="7"/>
  <c r="C43" i="7"/>
  <c r="C44" i="7"/>
  <c r="C45" i="7"/>
  <c r="C46" i="7"/>
  <c r="C47" i="7"/>
  <c r="C42" i="7"/>
  <c r="N38" i="7"/>
  <c r="L38" i="7"/>
  <c r="J38" i="7"/>
  <c r="H34" i="7"/>
  <c r="F34" i="7"/>
  <c r="D34" i="7"/>
  <c r="C35" i="7"/>
  <c r="C39" i="7" s="1"/>
  <c r="C36" i="7"/>
  <c r="C40" i="7" s="1"/>
  <c r="C37" i="7"/>
  <c r="C41" i="7" s="1"/>
  <c r="C34" i="7"/>
  <c r="C38" i="7" s="1"/>
  <c r="E15" i="8" l="1"/>
  <c r="E21" i="8" s="1"/>
  <c r="E9" i="8"/>
  <c r="E5" i="8"/>
  <c r="F14" i="7" l="1"/>
  <c r="C9" i="7"/>
  <c r="C15" i="7" s="1"/>
  <c r="C21" i="7" s="1"/>
  <c r="C10" i="7"/>
  <c r="C16" i="7" s="1"/>
  <c r="C22" i="7" s="1"/>
  <c r="C11" i="7"/>
  <c r="C17" i="7" s="1"/>
  <c r="C23" i="7" s="1"/>
  <c r="C12" i="7"/>
  <c r="C18" i="7" s="1"/>
  <c r="C24" i="7" s="1"/>
  <c r="C13" i="7"/>
  <c r="C19" i="7" s="1"/>
  <c r="C26" i="7"/>
  <c r="C25" i="7"/>
  <c r="C8" i="7"/>
  <c r="G6" i="1"/>
  <c r="C14" i="7" l="1"/>
  <c r="C20" i="7" s="1"/>
  <c r="G16" i="1" l="1"/>
  <c r="G5" i="1"/>
  <c r="G62" i="7" l="1"/>
  <c r="E62" i="7"/>
  <c r="Q48" i="7"/>
  <c r="O48" i="7"/>
  <c r="M48" i="7"/>
  <c r="K48" i="7"/>
  <c r="I48" i="7"/>
  <c r="G48" i="7"/>
  <c r="E48" i="7"/>
  <c r="E27" i="7"/>
  <c r="G27" i="7"/>
  <c r="I27" i="7"/>
  <c r="H62" i="7" l="1"/>
  <c r="J27" i="7"/>
  <c r="R48" i="7"/>
  <c r="E6" i="5" l="1"/>
  <c r="F6" i="5" s="1"/>
  <c r="F5" i="5"/>
  <c r="H9" i="4"/>
  <c r="I9" i="4" s="1"/>
  <c r="H10" i="4"/>
  <c r="I10" i="4" s="1"/>
  <c r="H8" i="4"/>
  <c r="I8" i="4" s="1"/>
  <c r="G13" i="1"/>
  <c r="G12" i="1"/>
  <c r="G21" i="1"/>
  <c r="G20" i="1"/>
  <c r="G28" i="1"/>
  <c r="G27" i="1"/>
  <c r="H11" i="4" l="1"/>
  <c r="H15" i="4" s="1"/>
  <c r="F18" i="1"/>
  <c r="F24" i="1"/>
  <c r="I11" i="4" l="1"/>
  <c r="F15" i="4"/>
  <c r="F14" i="4"/>
  <c r="E13" i="4"/>
  <c r="D13" i="4"/>
  <c r="E14" i="4"/>
  <c r="F12" i="6" s="1"/>
  <c r="G15" i="4"/>
  <c r="N13" i="6" s="1"/>
  <c r="F58" i="7" s="1"/>
  <c r="G14" i="4"/>
  <c r="F13" i="4"/>
  <c r="D11" i="6" s="1"/>
  <c r="F15" i="7" s="1"/>
  <c r="G13" i="4"/>
  <c r="E11" i="6" s="1"/>
  <c r="E15" i="4"/>
  <c r="H13" i="4"/>
  <c r="H16" i="4" s="1"/>
  <c r="H14" i="4"/>
  <c r="G7" i="1"/>
  <c r="F16" i="7" l="1"/>
  <c r="F17" i="7" s="1"/>
  <c r="F18" i="7" s="1"/>
  <c r="F19" i="7" s="1"/>
  <c r="G12" i="6"/>
  <c r="M13" i="6"/>
  <c r="I12" i="6"/>
  <c r="L12" i="6"/>
  <c r="K12" i="6"/>
  <c r="F59" i="7"/>
  <c r="F60" i="7" s="1"/>
  <c r="F61" i="7" s="1"/>
  <c r="H21" i="7"/>
  <c r="C11" i="6"/>
  <c r="G24" i="1"/>
  <c r="G29" i="1" s="1"/>
  <c r="G34" i="1" s="1"/>
  <c r="G35" i="1" s="1"/>
  <c r="F10" i="1"/>
  <c r="F19" i="1"/>
  <c r="G19" i="1" s="1"/>
  <c r="G18" i="1"/>
  <c r="F9" i="1"/>
  <c r="F8" i="1"/>
  <c r="F11" i="1"/>
  <c r="G17" i="1"/>
  <c r="G22" i="1" s="1"/>
  <c r="F27" i="7" l="1"/>
  <c r="H27" i="7"/>
  <c r="D7" i="7"/>
  <c r="D8" i="7" s="1"/>
  <c r="O11" i="6"/>
  <c r="D54" i="7"/>
  <c r="O13" i="6"/>
  <c r="N39" i="7"/>
  <c r="N40" i="7" s="1"/>
  <c r="N41" i="7" s="1"/>
  <c r="P43" i="7"/>
  <c r="P44" i="7" s="1"/>
  <c r="P45" i="7" s="1"/>
  <c r="P46" i="7" s="1"/>
  <c r="P47" i="7" s="1"/>
  <c r="D35" i="7"/>
  <c r="D36" i="7" s="1"/>
  <c r="D37" i="7" s="1"/>
  <c r="F62" i="7"/>
  <c r="J12" i="6"/>
  <c r="H12" i="6"/>
  <c r="G8" i="1"/>
  <c r="E8" i="5"/>
  <c r="F8" i="5" s="1"/>
  <c r="G10" i="1"/>
  <c r="E10" i="5"/>
  <c r="F10" i="5" s="1"/>
  <c r="G9" i="1"/>
  <c r="E9" i="5"/>
  <c r="F9" i="5" s="1"/>
  <c r="G11" i="1"/>
  <c r="E7" i="5"/>
  <c r="F7" i="5" s="1"/>
  <c r="D51" i="1"/>
  <c r="D57" i="1" s="1"/>
  <c r="D45" i="1"/>
  <c r="D41" i="1"/>
  <c r="D9" i="7" l="1"/>
  <c r="D48" i="7"/>
  <c r="N48" i="7"/>
  <c r="P48" i="7"/>
  <c r="L39" i="7"/>
  <c r="L40" i="7" s="1"/>
  <c r="L41" i="7" s="1"/>
  <c r="D55" i="7"/>
  <c r="D56" i="7" s="1"/>
  <c r="D57" i="7" s="1"/>
  <c r="F35" i="7"/>
  <c r="F36" i="7" s="1"/>
  <c r="F37" i="7" s="1"/>
  <c r="O12" i="6"/>
  <c r="O14" i="6" s="1"/>
  <c r="J39" i="7"/>
  <c r="J40" i="7" s="1"/>
  <c r="J41" i="7" s="1"/>
  <c r="G14" i="1"/>
  <c r="B34" i="1"/>
  <c r="G23" i="1" s="1"/>
  <c r="D11" i="7" l="1"/>
  <c r="D13" i="7" s="1"/>
  <c r="D10" i="7"/>
  <c r="D12" i="7" s="1"/>
  <c r="D62" i="7"/>
  <c r="J48" i="7"/>
  <c r="F48" i="7"/>
  <c r="L48" i="7"/>
  <c r="H35" i="7"/>
  <c r="H36" i="7" s="1"/>
  <c r="H37" i="7" s="1"/>
  <c r="G15" i="1"/>
  <c r="G36" i="1" s="1"/>
  <c r="G30" i="1"/>
  <c r="D27" i="7" l="1"/>
  <c r="H48" i="7"/>
</calcChain>
</file>

<file path=xl/sharedStrings.xml><?xml version="1.0" encoding="utf-8"?>
<sst xmlns="http://schemas.openxmlformats.org/spreadsheetml/2006/main" count="228" uniqueCount="122">
  <si>
    <t>Cálculo de BDI</t>
  </si>
  <si>
    <t>Grupo A</t>
  </si>
  <si>
    <t>Grupo B</t>
  </si>
  <si>
    <t>Lucro Bruto - L</t>
  </si>
  <si>
    <t>Administração cental - AC</t>
  </si>
  <si>
    <t>Risco - R</t>
  </si>
  <si>
    <t>Grupo C - I</t>
  </si>
  <si>
    <t>PIS</t>
  </si>
  <si>
    <t>COFINS</t>
  </si>
  <si>
    <t>CPRB</t>
  </si>
  <si>
    <t>Seguro Risco de Engenharia - S</t>
  </si>
  <si>
    <t>Garantia - G</t>
  </si>
  <si>
    <t>Despesas Fianceiras - DF</t>
  </si>
  <si>
    <t>BDI</t>
  </si>
  <si>
    <t>Item</t>
  </si>
  <si>
    <t>%</t>
  </si>
  <si>
    <t>BDI = (((1+(AC+S+R+G)*(1+DF)*(1+L))/((1-I))-1</t>
  </si>
  <si>
    <t>BDI (20,83%)</t>
  </si>
  <si>
    <t>Descrição</t>
  </si>
  <si>
    <t>Total com BDI</t>
  </si>
  <si>
    <t>Preço total</t>
  </si>
  <si>
    <t>Metragem quadrada</t>
  </si>
  <si>
    <t>R$/m²</t>
  </si>
  <si>
    <t>ISS</t>
  </si>
  <si>
    <t>Etapa</t>
  </si>
  <si>
    <t>1ª</t>
  </si>
  <si>
    <t>Área total do edifício ANM/SEDE</t>
  </si>
  <si>
    <t>Projeto para restauração de fachadas em esquadria de alumínio</t>
  </si>
  <si>
    <t xml:space="preserve">Projeto para restauração de fachadas de concreto </t>
  </si>
  <si>
    <t>2ª</t>
  </si>
  <si>
    <t>m²</t>
  </si>
  <si>
    <t>Projeto hidrossanitário (copas, banheiros, sistemas de hidrantes, caixa d'água, etc)</t>
  </si>
  <si>
    <t>Projeto de climatização</t>
  </si>
  <si>
    <t>Orçamento  1ª etapa</t>
  </si>
  <si>
    <t>Orçamento  2ª etapa</t>
  </si>
  <si>
    <t>Memorial descritivo e especificações da 2ª etapa</t>
  </si>
  <si>
    <t>Memorial descritivo e especificações da 1ª etapa</t>
  </si>
  <si>
    <t>Projeto de instalação de CFTV</t>
  </si>
  <si>
    <t>Orçamento  3ª etapa</t>
  </si>
  <si>
    <t>Memorial descritivo e especificações da 3ª etapa</t>
  </si>
  <si>
    <t>3ª</t>
  </si>
  <si>
    <t>Total</t>
  </si>
  <si>
    <t>Projeto do cabeamento de rede/telecomunicações</t>
  </si>
  <si>
    <t>Projeto do sistema elétrico e SPDA (quadros, cabos, tomadas, iluminação, iluminação de emergência,  para-raios, etc), com aproveitamento do gerador de emergência existente</t>
  </si>
  <si>
    <t>-</t>
  </si>
  <si>
    <t>120h</t>
  </si>
  <si>
    <t>80h</t>
  </si>
  <si>
    <t>160h</t>
  </si>
  <si>
    <t>Parte 1 (semanas)</t>
  </si>
  <si>
    <t>Parte 2 (semanas)</t>
  </si>
  <si>
    <t>Parte 3 (semanas)</t>
  </si>
  <si>
    <t>Parte 4 (semanas)</t>
  </si>
  <si>
    <t>meses</t>
  </si>
  <si>
    <t>Prazo para execução dos projetos</t>
  </si>
  <si>
    <t>Total (semanas)</t>
  </si>
  <si>
    <t>TOTAL (semanas)</t>
  </si>
  <si>
    <t>Metragem quadrada mínima requerida em certidão</t>
  </si>
  <si>
    <t>Metragem quadrada existente</t>
  </si>
  <si>
    <t>Projetos de Arquitetura</t>
  </si>
  <si>
    <t>Projeto do sistema elétrico e SPDA</t>
  </si>
  <si>
    <t>Projeto estrutural em concreto armado</t>
  </si>
  <si>
    <t>Projeto hidrossanitário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</si>
  <si>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</si>
  <si>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</si>
  <si>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</si>
  <si>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</si>
  <si>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</si>
  <si>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</si>
  <si>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</si>
  <si>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</si>
  <si>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mês 9</t>
  </si>
  <si>
    <t>mês 10</t>
  </si>
  <si>
    <t>mês 11</t>
  </si>
  <si>
    <t>mês 12</t>
  </si>
  <si>
    <t>TOTAL 1ª ETAPA (com BDI)</t>
  </si>
  <si>
    <t>TOTAL 2ª ETAPA (com BDI)</t>
  </si>
  <si>
    <t>TOTAL 3ª ETAPA (com BDI)</t>
  </si>
  <si>
    <t>TOTAL 3ª ETAPA (sem BDI)</t>
  </si>
  <si>
    <t>TOTAL 2ª ETAPA (sem BDI)</t>
  </si>
  <si>
    <t>TOTAL 1ª ETAPA (sem BDI)</t>
  </si>
  <si>
    <t>Total sem BDI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</si>
  <si>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</si>
  <si>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</si>
  <si>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</si>
  <si>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</si>
  <si>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</si>
  <si>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</si>
  <si>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</si>
  <si>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</si>
  <si>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Mês 9</t>
  </si>
  <si>
    <t>Mês 10</t>
  </si>
  <si>
    <t>Mês 11</t>
  </si>
  <si>
    <t>Mês 12</t>
  </si>
  <si>
    <t>Estudo Preliminar completo</t>
  </si>
  <si>
    <t>Parte</t>
  </si>
  <si>
    <t>Parte 1</t>
  </si>
  <si>
    <t>Parte 2</t>
  </si>
  <si>
    <t>Parte 3</t>
  </si>
  <si>
    <t>Parte 4</t>
  </si>
  <si>
    <t>Cronograma de entrega 1ª Etapa</t>
  </si>
  <si>
    <t>Produto</t>
  </si>
  <si>
    <t>Cronograma de entrega 2ª Etapa</t>
  </si>
  <si>
    <t>Cronograma de entrega 3ª Etapa</t>
  </si>
  <si>
    <t>Produto a ser entregue</t>
  </si>
  <si>
    <t>Físico (%)</t>
  </si>
  <si>
    <t>Financeiro (R$)</t>
  </si>
  <si>
    <t>TOTAL 1ª ETAPA COM BDI</t>
  </si>
  <si>
    <t>Estudo Preliminar: Programa de necessidades, Estudo de viabilidade Técnica, Coleta de informações para elaboração dos projetos</t>
  </si>
  <si>
    <t>Financeiro já considera o BDI e a porcentagem é referente ao valor final contratado (considerando também o BDI)</t>
  </si>
  <si>
    <t>Observação:</t>
  </si>
  <si>
    <t xml:space="preserve">TOTAL </t>
  </si>
  <si>
    <t>TOTAL 2ª ETAPA COM BDI</t>
  </si>
  <si>
    <t>TOTAL</t>
  </si>
  <si>
    <t>TOTAL 3ª ETAPA COM BDI</t>
  </si>
  <si>
    <t>Projeto de Arquitetura (definição/atualização de novos: layout, mobiliário, pisos, forro, cobertura, paredes, paisagismo, etc)</t>
  </si>
  <si>
    <t>Projeto de compatibilização do térreo e subsolo (protocolo, sala do cidadão, recepção, auditório, almoxarifado, arquivo, etc)</t>
  </si>
  <si>
    <t>Projeto para restauração do espelho dágua (impermeabilização do espelho d'água; recuperação de domos e floreiras, sistema de filtragem de água e afins)</t>
  </si>
  <si>
    <t>Projetos de Arquitetura (layout para ocupação do subsolo, considerando reaproveitamento de divisórias, mobiliário e sistema elétrico e de rede)</t>
  </si>
  <si>
    <t>Projeto estrutural (escada de incêndio, caixa d'água, etc.) de acordo com as normas dos Bombeiros</t>
  </si>
  <si>
    <t>TAXAS (ART, AGEFIS, etc.)</t>
  </si>
  <si>
    <t>Projeto de iluminação da areas circundantes ao Edifício</t>
  </si>
  <si>
    <t>Projeto de instalação de CFTV e iluminação da áreas circundantes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</si>
</sst>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$&quot;\ 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13">
    <xf numFmtId="0" fontId="0" fillId="0" borderId="0" xfId="0"/>
    <xf numFmtId="0" fontId="0" fillId="0" borderId="0" xfId="0" applyAlignment="1">
      <alignment horizontal="center" vertical="center"/>
    </xf>
    <xf numFmtId="10" fontId="0" fillId="0" borderId="0" xfId="0" applyNumberFormat="1"/>
    <xf numFmtId="17" fontId="0" fillId="0" borderId="0" xfId="0" applyNumberFormat="1"/>
    <xf numFmtId="10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0" fontId="1" fillId="0" borderId="0" xfId="0" applyNumberFormat="1" applyFont="1" applyFill="1" applyBorder="1" applyAlignment="1">
      <alignment horizontal="center" vertical="center"/>
    </xf>
    <xf numFmtId="10" fontId="0" fillId="0" borderId="0" xfId="0" applyNumberFormat="1" applyFill="1" applyBorder="1" applyAlignment="1">
      <alignment horizontal="center" vertical="center"/>
    </xf>
    <xf numFmtId="4" fontId="0" fillId="0" borderId="0" xfId="0" applyNumberFormat="1"/>
    <xf numFmtId="4" fontId="0" fillId="0" borderId="8" xfId="0" applyNumberFormat="1" applyFont="1" applyBorder="1" applyAlignment="1">
      <alignment horizontal="center" vertical="center"/>
    </xf>
    <xf numFmtId="4" fontId="0" fillId="0" borderId="1" xfId="0" applyNumberFormat="1" applyFont="1" applyBorder="1" applyAlignment="1">
      <alignment horizontal="center" vertical="center"/>
    </xf>
    <xf numFmtId="4" fontId="0" fillId="0" borderId="12" xfId="0" applyNumberFormat="1" applyFont="1" applyBorder="1" applyAlignment="1">
      <alignment horizontal="center" vertical="center"/>
    </xf>
    <xf numFmtId="164" fontId="0" fillId="0" borderId="9" xfId="0" applyNumberFormat="1" applyFont="1" applyBorder="1" applyAlignment="1">
      <alignment horizontal="center" vertical="center"/>
    </xf>
    <xf numFmtId="164" fontId="0" fillId="0" borderId="11" xfId="0" applyNumberFormat="1" applyFont="1" applyBorder="1" applyAlignment="1">
      <alignment horizontal="center" vertical="center"/>
    </xf>
    <xf numFmtId="164" fontId="0" fillId="0" borderId="4" xfId="0" applyNumberFormat="1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0" fillId="0" borderId="14" xfId="0" applyBorder="1" applyAlignment="1">
      <alignment vertical="center" wrapText="1"/>
    </xf>
    <xf numFmtId="0" fontId="0" fillId="0" borderId="10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/>
    </xf>
    <xf numFmtId="4" fontId="0" fillId="0" borderId="8" xfId="0" applyNumberFormat="1" applyFont="1" applyFill="1" applyBorder="1" applyAlignment="1">
      <alignment horizontal="center" vertical="center"/>
    </xf>
    <xf numFmtId="4" fontId="0" fillId="0" borderId="1" xfId="0" applyNumberFormat="1" applyFont="1" applyFill="1" applyBorder="1" applyAlignment="1">
      <alignment horizontal="center" vertical="center"/>
    </xf>
    <xf numFmtId="4" fontId="0" fillId="0" borderId="12" xfId="0" applyNumberFormat="1" applyFont="1" applyFill="1" applyBorder="1" applyAlignment="1">
      <alignment horizontal="center" vertical="center"/>
    </xf>
    <xf numFmtId="164" fontId="0" fillId="0" borderId="6" xfId="0" applyNumberFormat="1" applyFont="1" applyBorder="1" applyAlignment="1">
      <alignment horizontal="center" vertical="center"/>
    </xf>
    <xf numFmtId="0" fontId="2" fillId="0" borderId="21" xfId="0" applyFont="1" applyBorder="1" applyAlignment="1">
      <alignment vertical="center" wrapText="1"/>
    </xf>
    <xf numFmtId="0" fontId="1" fillId="0" borderId="21" xfId="0" applyFont="1" applyBorder="1" applyAlignment="1">
      <alignment horizontal="center" vertical="center"/>
    </xf>
    <xf numFmtId="4" fontId="0" fillId="0" borderId="21" xfId="0" applyNumberFormat="1" applyFont="1" applyBorder="1" applyAlignment="1">
      <alignment horizontal="center" vertical="center"/>
    </xf>
    <xf numFmtId="164" fontId="0" fillId="0" borderId="2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164" fontId="5" fillId="2" borderId="26" xfId="0" applyNumberFormat="1" applyFont="1" applyFill="1" applyBorder="1" applyAlignment="1">
      <alignment horizontal="center" vertical="center"/>
    </xf>
    <xf numFmtId="0" fontId="0" fillId="0" borderId="7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3" fontId="0" fillId="0" borderId="8" xfId="0" applyNumberFormat="1" applyFont="1" applyFill="1" applyBorder="1" applyAlignment="1">
      <alignment horizontal="center" vertical="center"/>
    </xf>
    <xf numFmtId="3" fontId="0" fillId="0" borderId="8" xfId="0" applyNumberFormat="1" applyFont="1" applyBorder="1" applyAlignment="1">
      <alignment horizontal="center" vertical="center"/>
    </xf>
    <xf numFmtId="3" fontId="0" fillId="0" borderId="1" xfId="0" applyNumberFormat="1" applyFont="1" applyFill="1" applyBorder="1" applyAlignment="1">
      <alignment horizontal="center" vertical="center"/>
    </xf>
    <xf numFmtId="3" fontId="0" fillId="0" borderId="1" xfId="0" applyNumberFormat="1" applyFont="1" applyBorder="1" applyAlignment="1">
      <alignment horizontal="center" vertical="center"/>
    </xf>
    <xf numFmtId="3" fontId="0" fillId="0" borderId="11" xfId="0" applyNumberFormat="1" applyFont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3" fontId="0" fillId="0" borderId="12" xfId="0" applyNumberFormat="1" applyFont="1" applyFill="1" applyBorder="1" applyAlignment="1">
      <alignment horizontal="center" vertical="center"/>
    </xf>
    <xf numFmtId="3" fontId="0" fillId="0" borderId="12" xfId="0" applyNumberFormat="1" applyFont="1" applyBorder="1" applyAlignment="1">
      <alignment horizontal="center" vertical="center"/>
    </xf>
    <xf numFmtId="3" fontId="0" fillId="0" borderId="4" xfId="0" applyNumberFormat="1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0" fontId="0" fillId="0" borderId="22" xfId="0" applyFont="1" applyBorder="1" applyAlignment="1">
      <alignment vertical="center" wrapText="1"/>
    </xf>
    <xf numFmtId="0" fontId="0" fillId="0" borderId="23" xfId="0" applyFont="1" applyBorder="1" applyAlignment="1">
      <alignment vertical="center" wrapText="1"/>
    </xf>
    <xf numFmtId="4" fontId="0" fillId="0" borderId="30" xfId="0" applyNumberFormat="1" applyFont="1" applyBorder="1" applyAlignment="1">
      <alignment horizontal="center" vertical="center"/>
    </xf>
    <xf numFmtId="4" fontId="0" fillId="0" borderId="31" xfId="0" applyNumberFormat="1" applyFont="1" applyBorder="1" applyAlignment="1">
      <alignment horizontal="center" vertical="center"/>
    </xf>
    <xf numFmtId="4" fontId="0" fillId="0" borderId="25" xfId="0" applyNumberFormat="1" applyFont="1" applyBorder="1" applyAlignment="1">
      <alignment horizontal="center" vertical="center"/>
    </xf>
    <xf numFmtId="4" fontId="0" fillId="0" borderId="22" xfId="0" applyNumberFormat="1" applyFont="1" applyBorder="1" applyAlignment="1">
      <alignment horizontal="center" vertical="center"/>
    </xf>
    <xf numFmtId="4" fontId="0" fillId="0" borderId="23" xfId="0" applyNumberFormat="1" applyFon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10" fontId="0" fillId="0" borderId="8" xfId="0" applyNumberFormat="1" applyFont="1" applyFill="1" applyBorder="1" applyAlignment="1">
      <alignment horizontal="center" vertical="center"/>
    </xf>
    <xf numFmtId="10" fontId="0" fillId="0" borderId="8" xfId="0" applyNumberFormat="1" applyFont="1" applyBorder="1" applyAlignment="1">
      <alignment horizontal="center" vertical="center"/>
    </xf>
    <xf numFmtId="10" fontId="0" fillId="0" borderId="1" xfId="0" applyNumberFormat="1" applyFont="1" applyFill="1" applyBorder="1" applyAlignment="1">
      <alignment horizontal="center" vertical="center"/>
    </xf>
    <xf numFmtId="10" fontId="0" fillId="0" borderId="1" xfId="0" applyNumberFormat="1" applyFont="1" applyBorder="1" applyAlignment="1">
      <alignment horizontal="center" vertical="center"/>
    </xf>
    <xf numFmtId="10" fontId="0" fillId="0" borderId="12" xfId="0" applyNumberFormat="1" applyFont="1" applyFill="1" applyBorder="1" applyAlignment="1">
      <alignment horizontal="center" vertical="center"/>
    </xf>
    <xf numFmtId="10" fontId="0" fillId="0" borderId="12" xfId="0" applyNumberFormat="1" applyFont="1" applyBorder="1" applyAlignment="1">
      <alignment horizontal="center" vertical="center"/>
    </xf>
    <xf numFmtId="10" fontId="0" fillId="0" borderId="1" xfId="0" applyNumberFormat="1" applyBorder="1"/>
    <xf numFmtId="10" fontId="0" fillId="0" borderId="8" xfId="0" applyNumberFormat="1" applyBorder="1"/>
    <xf numFmtId="10" fontId="0" fillId="0" borderId="12" xfId="0" applyNumberFormat="1" applyBorder="1"/>
    <xf numFmtId="0" fontId="1" fillId="2" borderId="19" xfId="0" applyFont="1" applyFill="1" applyBorder="1" applyAlignment="1">
      <alignment horizontal="center" vertical="center" wrapText="1"/>
    </xf>
    <xf numFmtId="10" fontId="0" fillId="0" borderId="27" xfId="0" applyNumberFormat="1" applyFont="1" applyBorder="1" applyAlignment="1">
      <alignment horizontal="center" vertical="center"/>
    </xf>
    <xf numFmtId="10" fontId="0" fillId="0" borderId="28" xfId="0" applyNumberFormat="1" applyFont="1" applyBorder="1" applyAlignment="1">
      <alignment horizontal="center" vertical="center"/>
    </xf>
    <xf numFmtId="10" fontId="0" fillId="0" borderId="29" xfId="0" applyNumberFormat="1" applyFont="1" applyBorder="1" applyAlignment="1">
      <alignment horizontal="center" vertical="center"/>
    </xf>
    <xf numFmtId="10" fontId="0" fillId="0" borderId="23" xfId="0" applyNumberFormat="1" applyBorder="1"/>
    <xf numFmtId="10" fontId="0" fillId="0" borderId="24" xfId="0" applyNumberFormat="1" applyBorder="1"/>
    <xf numFmtId="10" fontId="0" fillId="0" borderId="32" xfId="0" applyNumberFormat="1" applyBorder="1"/>
    <xf numFmtId="164" fontId="0" fillId="0" borderId="26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0" fontId="0" fillId="0" borderId="7" xfId="0" applyNumberFormat="1" applyBorder="1" applyAlignment="1">
      <alignment horizontal="center" vertical="center"/>
    </xf>
    <xf numFmtId="10" fontId="0" fillId="0" borderId="8" xfId="0" applyNumberFormat="1" applyBorder="1" applyAlignment="1">
      <alignment horizontal="center" vertical="center"/>
    </xf>
    <xf numFmtId="10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0" fontId="0" fillId="0" borderId="37" xfId="0" applyNumberFormat="1" applyBorder="1" applyAlignment="1">
      <alignment horizontal="center" vertical="center"/>
    </xf>
    <xf numFmtId="10" fontId="0" fillId="0" borderId="38" xfId="0" applyNumberFormat="1" applyBorder="1" applyAlignment="1">
      <alignment horizontal="center" vertical="center"/>
    </xf>
    <xf numFmtId="10" fontId="0" fillId="0" borderId="3" xfId="0" applyNumberFormat="1" applyBorder="1" applyAlignment="1">
      <alignment horizontal="center" vertical="center"/>
    </xf>
    <xf numFmtId="10" fontId="0" fillId="0" borderId="12" xfId="0" applyNumberForma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0" fontId="0" fillId="0" borderId="41" xfId="0" applyNumberFormat="1" applyBorder="1" applyAlignment="1">
      <alignment horizontal="center" vertical="center"/>
    </xf>
    <xf numFmtId="10" fontId="0" fillId="0" borderId="16" xfId="0" applyNumberForma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0" fontId="0" fillId="0" borderId="45" xfId="0" applyNumberFormat="1" applyBorder="1" applyAlignment="1">
      <alignment horizontal="center" vertical="center"/>
    </xf>
    <xf numFmtId="10" fontId="0" fillId="0" borderId="0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0" fontId="0" fillId="0" borderId="44" xfId="0" applyNumberForma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41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10" fontId="0" fillId="0" borderId="53" xfId="0" applyNumberFormat="1" applyBorder="1" applyAlignment="1">
      <alignment horizontal="center" vertical="center"/>
    </xf>
    <xf numFmtId="10" fontId="0" fillId="0" borderId="27" xfId="0" applyNumberFormat="1" applyBorder="1" applyAlignment="1">
      <alignment horizontal="center" vertical="center"/>
    </xf>
    <xf numFmtId="10" fontId="0" fillId="0" borderId="28" xfId="0" applyNumberFormat="1" applyBorder="1" applyAlignment="1">
      <alignment horizontal="center" vertical="center"/>
    </xf>
    <xf numFmtId="164" fontId="0" fillId="0" borderId="43" xfId="0" applyNumberFormat="1" applyBorder="1" applyAlignment="1">
      <alignment horizontal="center" vertical="center"/>
    </xf>
    <xf numFmtId="164" fontId="0" fillId="0" borderId="34" xfId="0" applyNumberFormat="1" applyBorder="1" applyAlignment="1">
      <alignment horizontal="center" vertical="center"/>
    </xf>
    <xf numFmtId="164" fontId="0" fillId="0" borderId="35" xfId="0" applyNumberFormat="1" applyBorder="1" applyAlignment="1">
      <alignment horizontal="center" vertical="center"/>
    </xf>
    <xf numFmtId="164" fontId="0" fillId="0" borderId="51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53" xfId="0" applyNumberFormat="1" applyBorder="1" applyAlignment="1">
      <alignment horizontal="center" vertical="center"/>
    </xf>
    <xf numFmtId="164" fontId="0" fillId="0" borderId="27" xfId="0" applyNumberFormat="1" applyBorder="1" applyAlignment="1">
      <alignment horizontal="center" vertical="center"/>
    </xf>
    <xf numFmtId="164" fontId="0" fillId="0" borderId="28" xfId="0" applyNumberFormat="1" applyBorder="1" applyAlignment="1">
      <alignment horizontal="center" vertical="center"/>
    </xf>
    <xf numFmtId="164" fontId="0" fillId="0" borderId="54" xfId="0" applyNumberFormat="1" applyBorder="1" applyAlignment="1">
      <alignment horizontal="center" vertical="center"/>
    </xf>
    <xf numFmtId="164" fontId="0" fillId="0" borderId="42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0" fontId="0" fillId="0" borderId="57" xfId="0" applyNumberFormat="1" applyBorder="1" applyAlignment="1">
      <alignment horizontal="center" vertical="center"/>
    </xf>
    <xf numFmtId="164" fontId="0" fillId="0" borderId="48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45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10" fontId="0" fillId="0" borderId="58" xfId="0" applyNumberFormat="1" applyBorder="1" applyAlignment="1">
      <alignment horizontal="center" vertical="center"/>
    </xf>
    <xf numFmtId="164" fontId="0" fillId="0" borderId="55" xfId="0" applyNumberFormat="1" applyBorder="1" applyAlignment="1">
      <alignment horizontal="center" vertical="center"/>
    </xf>
    <xf numFmtId="10" fontId="0" fillId="0" borderId="13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164" fontId="0" fillId="0" borderId="38" xfId="0" applyNumberFormat="1" applyBorder="1" applyAlignment="1">
      <alignment horizontal="center" vertical="center"/>
    </xf>
    <xf numFmtId="164" fontId="0" fillId="0" borderId="39" xfId="0" applyNumberFormat="1" applyBorder="1" applyAlignment="1">
      <alignment horizontal="center" vertical="center"/>
    </xf>
    <xf numFmtId="164" fontId="0" fillId="0" borderId="0" xfId="0" applyNumberFormat="1"/>
    <xf numFmtId="164" fontId="0" fillId="0" borderId="57" xfId="0" applyNumberFormat="1" applyBorder="1" applyAlignment="1">
      <alignment horizontal="center" vertical="center"/>
    </xf>
    <xf numFmtId="164" fontId="0" fillId="0" borderId="56" xfId="0" applyNumberFormat="1" applyBorder="1" applyAlignment="1">
      <alignment horizontal="center" vertical="center"/>
    </xf>
    <xf numFmtId="164" fontId="0" fillId="0" borderId="49" xfId="0" applyNumberFormat="1" applyBorder="1" applyAlignment="1">
      <alignment horizontal="center" vertical="center"/>
    </xf>
    <xf numFmtId="164" fontId="0" fillId="0" borderId="9" xfId="0" applyNumberFormat="1" applyBorder="1"/>
    <xf numFmtId="164" fontId="0" fillId="0" borderId="11" xfId="0" applyNumberFormat="1" applyBorder="1"/>
    <xf numFmtId="0" fontId="0" fillId="0" borderId="1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10" fontId="0" fillId="0" borderId="5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6" xfId="0" applyNumberFormat="1" applyBorder="1"/>
    <xf numFmtId="164" fontId="0" fillId="0" borderId="6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0" fillId="0" borderId="0" xfId="0" applyNumberFormat="1" applyFont="1" applyFill="1" applyBorder="1" applyAlignment="1">
      <alignment horizontal="center" vertical="center"/>
    </xf>
    <xf numFmtId="4" fontId="0" fillId="0" borderId="0" xfId="0" applyNumberFormat="1" applyFont="1" applyBorder="1" applyAlignment="1">
      <alignment horizontal="center" vertical="center"/>
    </xf>
    <xf numFmtId="164" fontId="0" fillId="0" borderId="0" xfId="0" applyNumberFormat="1" applyFont="1" applyBorder="1" applyAlignment="1">
      <alignment horizontal="center" vertical="center"/>
    </xf>
    <xf numFmtId="0" fontId="0" fillId="0" borderId="24" xfId="0" applyFont="1" applyBorder="1" applyAlignment="1">
      <alignment vertical="center" wrapText="1"/>
    </xf>
    <xf numFmtId="4" fontId="0" fillId="0" borderId="24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62" xfId="0" applyFont="1" applyBorder="1" applyAlignment="1">
      <alignment horizontal="left" vertical="center" wrapText="1"/>
    </xf>
    <xf numFmtId="0" fontId="0" fillId="0" borderId="34" xfId="0" applyFont="1" applyBorder="1" applyAlignment="1">
      <alignment horizontal="left" vertical="center" wrapText="1"/>
    </xf>
    <xf numFmtId="0" fontId="0" fillId="0" borderId="35" xfId="0" applyFont="1" applyBorder="1" applyAlignment="1">
      <alignment horizontal="left" vertical="center" wrapText="1"/>
    </xf>
    <xf numFmtId="0" fontId="0" fillId="0" borderId="36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22" xfId="0" applyFont="1" applyBorder="1" applyAlignment="1">
      <alignment horizontal="left" vertical="center" wrapText="1"/>
    </xf>
    <xf numFmtId="0" fontId="0" fillId="0" borderId="23" xfId="0" applyFont="1" applyBorder="1" applyAlignment="1">
      <alignment horizontal="left" vertical="center" wrapText="1"/>
    </xf>
    <xf numFmtId="0" fontId="0" fillId="0" borderId="24" xfId="0" applyFont="1" applyBorder="1" applyAlignment="1">
      <alignment horizontal="left" vertical="center" wrapText="1"/>
    </xf>
    <xf numFmtId="0" fontId="3" fillId="0" borderId="22" xfId="0" applyFont="1" applyBorder="1" applyAlignment="1">
      <alignment vertical="center" wrapText="1"/>
    </xf>
    <xf numFmtId="0" fontId="3" fillId="0" borderId="24" xfId="0" applyFont="1" applyBorder="1" applyAlignment="1">
      <alignment vertical="center" wrapText="1"/>
    </xf>
    <xf numFmtId="0" fontId="3" fillId="0" borderId="23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4" fontId="0" fillId="0" borderId="20" xfId="0" applyNumberFormat="1" applyBorder="1" applyAlignment="1">
      <alignment horizontal="center"/>
    </xf>
    <xf numFmtId="0" fontId="1" fillId="0" borderId="18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2" fontId="0" fillId="0" borderId="18" xfId="0" applyNumberFormat="1" applyBorder="1" applyAlignment="1">
      <alignment horizontal="left" vertical="center" wrapText="1"/>
    </xf>
    <xf numFmtId="2" fontId="0" fillId="0" borderId="5" xfId="0" applyNumberFormat="1" applyBorder="1" applyAlignment="1">
      <alignment horizontal="left" vertical="center" wrapText="1"/>
    </xf>
    <xf numFmtId="2" fontId="1" fillId="2" borderId="18" xfId="0" applyNumberFormat="1" applyFont="1" applyFill="1" applyBorder="1" applyAlignment="1">
      <alignment horizontal="left" vertical="center" wrapText="1"/>
    </xf>
    <xf numFmtId="2" fontId="1" fillId="2" borderId="5" xfId="0" applyNumberFormat="1" applyFont="1" applyFill="1" applyBorder="1" applyAlignment="1">
      <alignment horizontal="left" vertical="center" wrapText="1"/>
    </xf>
    <xf numFmtId="0" fontId="4" fillId="0" borderId="6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10" fontId="0" fillId="0" borderId="33" xfId="0" applyNumberForma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0" fillId="0" borderId="5" xfId="0" applyNumberFormat="1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3" fillId="0" borderId="37" xfId="0" applyFont="1" applyBorder="1" applyAlignment="1">
      <alignment vertical="center" wrapText="1"/>
    </xf>
    <xf numFmtId="4" fontId="0" fillId="0" borderId="38" xfId="0" applyNumberFormat="1" applyFont="1" applyFill="1" applyBorder="1" applyAlignment="1">
      <alignment horizontal="center" vertical="center"/>
    </xf>
    <xf numFmtId="4" fontId="0" fillId="0" borderId="38" xfId="0" applyNumberFormat="1" applyFont="1" applyBorder="1" applyAlignment="1">
      <alignment horizontal="center" vertical="center"/>
    </xf>
    <xf numFmtId="164" fontId="0" fillId="0" borderId="39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P57"/>
  <sheetViews>
    <sheetView tabSelected="1" zoomScaleNormal="100" workbookViewId="0">
      <selection activeCell="J8" sqref="J8"/>
    </sheetView>
  </sheetViews>
  <sheetFormatPr defaultRowHeight="15" x14ac:dyDescent="0.25"/>
  <cols>
    <col min="2" max="2" width="9.140625" style="1"/>
    <col min="3" max="3" width="38.5703125" customWidth="1"/>
    <col min="4" max="4" width="11.42578125" bestFit="1" customWidth="1"/>
    <col min="5" max="5" width="11.42578125" customWidth="1"/>
    <col min="6" max="6" width="19.42578125" customWidth="1"/>
    <col min="7" max="7" width="15.5703125" customWidth="1"/>
    <col min="10" max="10" width="41.140625" customWidth="1"/>
    <col min="14" max="14" width="13" style="1" customWidth="1"/>
    <col min="15" max="15" width="35.85546875" style="1" customWidth="1"/>
    <col min="16" max="16" width="9.85546875" style="1" bestFit="1" customWidth="1"/>
    <col min="17" max="17" width="6.7109375" customWidth="1"/>
    <col min="18" max="18" width="6.140625" customWidth="1"/>
    <col min="19" max="19" width="41.42578125" customWidth="1"/>
  </cols>
  <sheetData>
    <row r="3" spans="2:16" ht="15.75" thickBot="1" x14ac:dyDescent="0.3">
      <c r="C3" s="3"/>
      <c r="D3" s="3"/>
      <c r="E3" s="3"/>
      <c r="F3" s="3"/>
      <c r="G3" s="3"/>
    </row>
    <row r="4" spans="2:16" ht="15.75" thickBot="1" x14ac:dyDescent="0.3">
      <c r="B4" s="50" t="s">
        <v>14</v>
      </c>
      <c r="C4" s="23" t="s">
        <v>18</v>
      </c>
      <c r="D4" s="24" t="s">
        <v>24</v>
      </c>
      <c r="E4" s="24" t="s">
        <v>22</v>
      </c>
      <c r="F4" s="24" t="s">
        <v>21</v>
      </c>
      <c r="G4" s="24" t="s">
        <v>20</v>
      </c>
    </row>
    <row r="5" spans="2:16" ht="60" x14ac:dyDescent="0.25">
      <c r="B5" s="164">
        <v>1</v>
      </c>
      <c r="C5" s="165" t="s">
        <v>107</v>
      </c>
      <c r="D5" s="182" t="s">
        <v>25</v>
      </c>
      <c r="E5" s="30">
        <v>112.04</v>
      </c>
      <c r="F5" s="17" t="s">
        <v>45</v>
      </c>
      <c r="G5" s="20">
        <f>E5*120</f>
        <v>13444.800000000001</v>
      </c>
    </row>
    <row r="6" spans="2:16" ht="60" x14ac:dyDescent="0.25">
      <c r="B6" s="86">
        <v>2</v>
      </c>
      <c r="C6" s="166" t="s">
        <v>117</v>
      </c>
      <c r="D6" s="183"/>
      <c r="E6" s="31">
        <v>3.5</v>
      </c>
      <c r="F6" s="18">
        <v>1000</v>
      </c>
      <c r="G6" s="21">
        <f>E6*F6</f>
        <v>3500</v>
      </c>
      <c r="N6" s="157"/>
      <c r="O6" s="157"/>
      <c r="P6" s="157"/>
    </row>
    <row r="7" spans="2:16" ht="45" x14ac:dyDescent="0.25">
      <c r="B7" s="86">
        <v>3</v>
      </c>
      <c r="C7" s="166" t="s">
        <v>118</v>
      </c>
      <c r="D7" s="183"/>
      <c r="E7" s="31">
        <v>6</v>
      </c>
      <c r="F7" s="18">
        <v>873</v>
      </c>
      <c r="G7" s="21">
        <f>E7*F7</f>
        <v>5238</v>
      </c>
    </row>
    <row r="8" spans="2:16" ht="75" x14ac:dyDescent="0.25">
      <c r="B8" s="86">
        <v>4</v>
      </c>
      <c r="C8" s="166" t="s">
        <v>43</v>
      </c>
      <c r="D8" s="183"/>
      <c r="E8" s="31">
        <v>3</v>
      </c>
      <c r="F8" s="18">
        <f>D37</f>
        <v>9482.25</v>
      </c>
      <c r="G8" s="21">
        <f>E8*F8</f>
        <v>28446.75</v>
      </c>
      <c r="O8" s="94"/>
      <c r="P8" s="94"/>
    </row>
    <row r="9" spans="2:16" ht="34.5" customHeight="1" x14ac:dyDescent="0.25">
      <c r="B9" s="86">
        <v>5</v>
      </c>
      <c r="C9" s="166" t="s">
        <v>42</v>
      </c>
      <c r="D9" s="183"/>
      <c r="E9" s="31">
        <v>3</v>
      </c>
      <c r="F9" s="18">
        <f>D37</f>
        <v>9482.25</v>
      </c>
      <c r="G9" s="21">
        <f>E9*F9</f>
        <v>28446.75</v>
      </c>
      <c r="I9" s="99"/>
      <c r="J9" s="107"/>
      <c r="K9" s="158"/>
      <c r="L9" s="159"/>
      <c r="M9" s="160"/>
      <c r="N9" s="161"/>
      <c r="O9" s="156"/>
      <c r="P9" s="156"/>
    </row>
    <row r="10" spans="2:16" x14ac:dyDescent="0.25">
      <c r="B10" s="86">
        <v>6</v>
      </c>
      <c r="C10" s="166" t="s">
        <v>32</v>
      </c>
      <c r="D10" s="183"/>
      <c r="E10" s="31">
        <v>3</v>
      </c>
      <c r="F10" s="18">
        <f>D37</f>
        <v>9482.25</v>
      </c>
      <c r="G10" s="21">
        <f>E10*F10</f>
        <v>28446.75</v>
      </c>
      <c r="I10" s="99"/>
      <c r="J10" s="107"/>
      <c r="K10" s="158"/>
      <c r="L10" s="159"/>
      <c r="M10" s="160"/>
      <c r="N10" s="161"/>
      <c r="O10" s="156"/>
      <c r="P10" s="156"/>
    </row>
    <row r="11" spans="2:16" ht="45" x14ac:dyDescent="0.25">
      <c r="B11" s="86">
        <v>7</v>
      </c>
      <c r="C11" s="166" t="s">
        <v>31</v>
      </c>
      <c r="D11" s="183"/>
      <c r="E11" s="31">
        <v>3</v>
      </c>
      <c r="F11" s="18">
        <f>D37</f>
        <v>9482.25</v>
      </c>
      <c r="G11" s="21">
        <f t="shared" ref="G11:G19" si="0">E11*F11</f>
        <v>28446.75</v>
      </c>
      <c r="J11" s="16"/>
    </row>
    <row r="12" spans="2:16" x14ac:dyDescent="0.25">
      <c r="B12" s="86">
        <v>8</v>
      </c>
      <c r="C12" s="167" t="s">
        <v>33</v>
      </c>
      <c r="D12" s="183"/>
      <c r="E12" s="31">
        <v>112.04</v>
      </c>
      <c r="F12" s="18" t="s">
        <v>45</v>
      </c>
      <c r="G12" s="21">
        <f>E12*120</f>
        <v>13444.800000000001</v>
      </c>
      <c r="J12" s="16"/>
    </row>
    <row r="13" spans="2:16" ht="30.75" thickBot="1" x14ac:dyDescent="0.3">
      <c r="B13" s="87">
        <v>9</v>
      </c>
      <c r="C13" s="168" t="s">
        <v>36</v>
      </c>
      <c r="D13" s="184"/>
      <c r="E13" s="32">
        <v>112.04</v>
      </c>
      <c r="F13" s="19" t="s">
        <v>45</v>
      </c>
      <c r="G13" s="22">
        <f>E13*120</f>
        <v>13444.800000000001</v>
      </c>
      <c r="J13" s="16"/>
    </row>
    <row r="14" spans="2:16" ht="15.75" customHeight="1" thickBot="1" x14ac:dyDescent="0.3">
      <c r="B14" s="195" t="s">
        <v>79</v>
      </c>
      <c r="C14" s="196"/>
      <c r="D14" s="196"/>
      <c r="E14" s="196"/>
      <c r="F14" s="196"/>
      <c r="G14" s="81">
        <f>SUM(G5:G13)</f>
        <v>162859.39999999997</v>
      </c>
      <c r="J14" s="16"/>
    </row>
    <row r="15" spans="2:16" ht="15.75" customHeight="1" thickBot="1" x14ac:dyDescent="0.3">
      <c r="B15" s="197" t="s">
        <v>74</v>
      </c>
      <c r="C15" s="196"/>
      <c r="D15" s="196"/>
      <c r="E15" s="196"/>
      <c r="F15" s="196"/>
      <c r="G15" s="33">
        <f>G14*(1+B34)</f>
        <v>198737.07533849889</v>
      </c>
      <c r="J15" s="16"/>
    </row>
    <row r="16" spans="2:16" ht="75" x14ac:dyDescent="0.25">
      <c r="B16" s="40">
        <v>9</v>
      </c>
      <c r="C16" s="26" t="s">
        <v>116</v>
      </c>
      <c r="D16" s="185" t="s">
        <v>29</v>
      </c>
      <c r="E16" s="31">
        <v>2.1800000000000002</v>
      </c>
      <c r="F16" s="18">
        <v>2092</v>
      </c>
      <c r="G16" s="21">
        <f>E16*F16</f>
        <v>4560.5600000000004</v>
      </c>
    </row>
    <row r="17" spans="2:16" ht="30" x14ac:dyDescent="0.25">
      <c r="B17" s="40">
        <v>10</v>
      </c>
      <c r="C17" s="26" t="s">
        <v>28</v>
      </c>
      <c r="D17" s="186"/>
      <c r="E17" s="31">
        <v>3.5</v>
      </c>
      <c r="F17" s="18">
        <v>3636</v>
      </c>
      <c r="G17" s="21">
        <f>E17*F17</f>
        <v>12726</v>
      </c>
    </row>
    <row r="18" spans="2:16" ht="30" x14ac:dyDescent="0.25">
      <c r="B18" s="40">
        <v>11</v>
      </c>
      <c r="C18" s="26" t="s">
        <v>27</v>
      </c>
      <c r="D18" s="186"/>
      <c r="E18" s="31">
        <v>2.1800000000000002</v>
      </c>
      <c r="F18" s="18">
        <f>24106.3*2</f>
        <v>48212.6</v>
      </c>
      <c r="G18" s="21">
        <f t="shared" si="0"/>
        <v>105103.46800000001</v>
      </c>
    </row>
    <row r="19" spans="2:16" ht="60" x14ac:dyDescent="0.25">
      <c r="B19" s="40">
        <v>12</v>
      </c>
      <c r="C19" s="25" t="s">
        <v>114</v>
      </c>
      <c r="D19" s="186"/>
      <c r="E19" s="31">
        <v>3.5</v>
      </c>
      <c r="F19" s="18">
        <f>D37</f>
        <v>9482.25</v>
      </c>
      <c r="G19" s="21">
        <f t="shared" si="0"/>
        <v>33187.875</v>
      </c>
    </row>
    <row r="20" spans="2:16" x14ac:dyDescent="0.25">
      <c r="B20" s="40">
        <v>13</v>
      </c>
      <c r="C20" s="27" t="s">
        <v>34</v>
      </c>
      <c r="D20" s="186"/>
      <c r="E20" s="31">
        <v>112.04</v>
      </c>
      <c r="F20" s="18" t="s">
        <v>47</v>
      </c>
      <c r="G20" s="21">
        <f>E20*160</f>
        <v>17926.400000000001</v>
      </c>
    </row>
    <row r="21" spans="2:16" ht="30.75" thickBot="1" x14ac:dyDescent="0.3">
      <c r="B21" s="41">
        <v>14</v>
      </c>
      <c r="C21" s="38" t="s">
        <v>35</v>
      </c>
      <c r="D21" s="187"/>
      <c r="E21" s="32">
        <v>112.04</v>
      </c>
      <c r="F21" s="19" t="s">
        <v>47</v>
      </c>
      <c r="G21" s="22">
        <f>E21*160</f>
        <v>17926.400000000001</v>
      </c>
    </row>
    <row r="22" spans="2:16" ht="15.75" customHeight="1" thickBot="1" x14ac:dyDescent="0.3">
      <c r="B22" s="197" t="s">
        <v>78</v>
      </c>
      <c r="C22" s="196"/>
      <c r="D22" s="196"/>
      <c r="E22" s="196"/>
      <c r="F22" s="196"/>
      <c r="G22" s="81">
        <f>SUM(G16:G21)</f>
        <v>191430.70299999998</v>
      </c>
    </row>
    <row r="23" spans="2:16" ht="15.75" customHeight="1" thickBot="1" x14ac:dyDescent="0.3">
      <c r="B23" s="197" t="s">
        <v>75</v>
      </c>
      <c r="C23" s="196"/>
      <c r="D23" s="196"/>
      <c r="E23" s="196"/>
      <c r="F23" s="196"/>
      <c r="G23" s="33">
        <f>G22*(1+B34)</f>
        <v>233602.59244607808</v>
      </c>
    </row>
    <row r="24" spans="2:16" ht="60" x14ac:dyDescent="0.25">
      <c r="B24" s="39">
        <v>15</v>
      </c>
      <c r="C24" s="28" t="s">
        <v>115</v>
      </c>
      <c r="D24" s="185" t="s">
        <v>40</v>
      </c>
      <c r="E24" s="30">
        <v>2.1800000000000002</v>
      </c>
      <c r="F24" s="17">
        <f>873.3+3348.51</f>
        <v>4221.8100000000004</v>
      </c>
      <c r="G24" s="20">
        <f>F24*E24</f>
        <v>9203.5458000000017</v>
      </c>
    </row>
    <row r="25" spans="2:16" ht="30" x14ac:dyDescent="0.25">
      <c r="B25" s="208"/>
      <c r="C25" s="209" t="s">
        <v>120</v>
      </c>
      <c r="D25" s="186"/>
      <c r="E25" s="210">
        <v>2.1800000000000002</v>
      </c>
      <c r="F25" s="211">
        <v>2206.75</v>
      </c>
      <c r="G25" s="212">
        <f>F25*E25</f>
        <v>4810.7150000000001</v>
      </c>
      <c r="N25" s="175"/>
      <c r="O25" s="175"/>
      <c r="P25" s="175"/>
    </row>
    <row r="26" spans="2:16" x14ac:dyDescent="0.25">
      <c r="B26" s="40">
        <v>16</v>
      </c>
      <c r="C26" s="27" t="s">
        <v>37</v>
      </c>
      <c r="D26" s="186"/>
      <c r="E26" s="29" t="s">
        <v>44</v>
      </c>
      <c r="F26" s="29" t="s">
        <v>44</v>
      </c>
      <c r="G26" s="21">
        <v>6450</v>
      </c>
      <c r="N26" s="156"/>
      <c r="O26" s="156"/>
      <c r="P26" s="156"/>
    </row>
    <row r="27" spans="2:16" x14ac:dyDescent="0.25">
      <c r="B27" s="40">
        <v>17</v>
      </c>
      <c r="C27" s="27" t="s">
        <v>38</v>
      </c>
      <c r="D27" s="186"/>
      <c r="E27" s="18">
        <v>112.04</v>
      </c>
      <c r="F27" s="18" t="s">
        <v>46</v>
      </c>
      <c r="G27" s="21">
        <f>E27*80</f>
        <v>8963.2000000000007</v>
      </c>
    </row>
    <row r="28" spans="2:16" ht="30.75" thickBot="1" x14ac:dyDescent="0.3">
      <c r="B28" s="41">
        <v>18</v>
      </c>
      <c r="C28" s="38" t="s">
        <v>39</v>
      </c>
      <c r="D28" s="187"/>
      <c r="E28" s="19">
        <v>112.04</v>
      </c>
      <c r="F28" s="19" t="s">
        <v>46</v>
      </c>
      <c r="G28" s="22">
        <f>E28*80</f>
        <v>8963.2000000000007</v>
      </c>
    </row>
    <row r="29" spans="2:16" ht="15.75" customHeight="1" thickBot="1" x14ac:dyDescent="0.3">
      <c r="B29" s="197" t="s">
        <v>77</v>
      </c>
      <c r="C29" s="196"/>
      <c r="D29" s="196"/>
      <c r="E29" s="196"/>
      <c r="F29" s="196"/>
      <c r="G29" s="81">
        <f>SUM(G24:G28)</f>
        <v>38390.660800000005</v>
      </c>
    </row>
    <row r="30" spans="2:16" ht="15.75" customHeight="1" thickBot="1" x14ac:dyDescent="0.3">
      <c r="B30" s="197" t="s">
        <v>76</v>
      </c>
      <c r="C30" s="196"/>
      <c r="D30" s="196"/>
      <c r="E30" s="196"/>
      <c r="F30" s="196"/>
      <c r="G30" s="33">
        <f>G29*(1+B34)</f>
        <v>46848.064328521155</v>
      </c>
    </row>
    <row r="31" spans="2:16" ht="11.25" customHeight="1" thickBot="1" x14ac:dyDescent="0.3">
      <c r="B31" s="174"/>
      <c r="C31" s="174"/>
      <c r="D31" s="174"/>
      <c r="E31" s="174"/>
      <c r="F31" s="174"/>
      <c r="G31" s="207"/>
      <c r="N31" s="175"/>
      <c r="O31" s="175"/>
      <c r="P31" s="175"/>
    </row>
    <row r="32" spans="2:16" ht="15.75" customHeight="1" thickBot="1" x14ac:dyDescent="0.3">
      <c r="B32" s="197" t="s">
        <v>119</v>
      </c>
      <c r="C32" s="196"/>
      <c r="D32" s="174"/>
      <c r="E32" s="174"/>
      <c r="F32" s="174"/>
      <c r="G32" s="33">
        <f>(3*218.54)+(2494.7*3)</f>
        <v>8139.7199999999993</v>
      </c>
      <c r="N32" s="175"/>
      <c r="O32" s="175"/>
      <c r="P32" s="175"/>
    </row>
    <row r="33" spans="2:7" ht="11.25" customHeight="1" thickBot="1" x14ac:dyDescent="0.3">
      <c r="C33" s="34"/>
      <c r="D33" s="35"/>
      <c r="E33" s="36"/>
      <c r="F33" s="36"/>
      <c r="G33" s="37"/>
    </row>
    <row r="34" spans="2:7" ht="15.75" thickBot="1" x14ac:dyDescent="0.3">
      <c r="B34" s="198">
        <f>D57</f>
        <v>0.22029846197701164</v>
      </c>
      <c r="C34" s="189" t="s">
        <v>80</v>
      </c>
      <c r="D34" s="190"/>
      <c r="E34" s="190"/>
      <c r="F34" s="190"/>
      <c r="G34" s="33">
        <f>G14+G22+G29+G32</f>
        <v>400820.48379999993</v>
      </c>
    </row>
    <row r="35" spans="2:7" ht="15.75" thickBot="1" x14ac:dyDescent="0.3">
      <c r="B35" s="198"/>
      <c r="C35" s="191" t="s">
        <v>17</v>
      </c>
      <c r="D35" s="192"/>
      <c r="E35" s="192"/>
      <c r="F35" s="192"/>
      <c r="G35" s="33">
        <f>G34*B34</f>
        <v>88300.136110021689</v>
      </c>
    </row>
    <row r="36" spans="2:7" ht="16.5" thickBot="1" x14ac:dyDescent="0.3">
      <c r="B36" s="198"/>
      <c r="C36" s="193" t="s">
        <v>19</v>
      </c>
      <c r="D36" s="194"/>
      <c r="E36" s="194"/>
      <c r="F36" s="194"/>
      <c r="G36" s="42">
        <f>G35+G34</f>
        <v>489120.6199100216</v>
      </c>
    </row>
    <row r="37" spans="2:7" x14ac:dyDescent="0.25">
      <c r="C37" t="s">
        <v>26</v>
      </c>
      <c r="D37" s="188">
        <v>9482.25</v>
      </c>
      <c r="E37" s="188"/>
      <c r="F37" s="188"/>
      <c r="G37" t="s">
        <v>30</v>
      </c>
    </row>
    <row r="38" spans="2:7" x14ac:dyDescent="0.25">
      <c r="D38" s="16"/>
      <c r="F38" s="12"/>
      <c r="G38" s="12"/>
    </row>
    <row r="39" spans="2:7" x14ac:dyDescent="0.25">
      <c r="B39" s="4"/>
      <c r="C39" s="13"/>
      <c r="D39" s="13"/>
      <c r="E39" s="13"/>
      <c r="F39" s="13"/>
      <c r="G39" s="13"/>
    </row>
    <row r="40" spans="2:7" x14ac:dyDescent="0.25">
      <c r="B40" s="9" t="s">
        <v>14</v>
      </c>
      <c r="C40" s="9" t="s">
        <v>0</v>
      </c>
      <c r="D40" s="10" t="s">
        <v>15</v>
      </c>
      <c r="E40" s="14"/>
    </row>
    <row r="41" spans="2:7" x14ac:dyDescent="0.25">
      <c r="B41" s="5"/>
      <c r="C41" s="7" t="s">
        <v>1</v>
      </c>
      <c r="D41" s="8">
        <f>SUM(D42:D43)</f>
        <v>3.5900000000000001E-2</v>
      </c>
      <c r="E41" s="14"/>
    </row>
    <row r="42" spans="2:7" x14ac:dyDescent="0.25">
      <c r="B42" s="5">
        <v>1</v>
      </c>
      <c r="C42" s="5" t="s">
        <v>4</v>
      </c>
      <c r="D42" s="6">
        <v>0.03</v>
      </c>
      <c r="E42" s="15"/>
    </row>
    <row r="43" spans="2:7" x14ac:dyDescent="0.25">
      <c r="B43" s="5">
        <v>2</v>
      </c>
      <c r="C43" s="5" t="s">
        <v>5</v>
      </c>
      <c r="D43" s="6">
        <v>5.8999999999999999E-3</v>
      </c>
      <c r="E43" s="15"/>
    </row>
    <row r="44" spans="2:7" x14ac:dyDescent="0.25">
      <c r="B44" s="5"/>
      <c r="C44" s="5"/>
      <c r="D44" s="6"/>
      <c r="E44" s="15"/>
    </row>
    <row r="45" spans="2:7" x14ac:dyDescent="0.25">
      <c r="B45" s="5"/>
      <c r="C45" s="7" t="s">
        <v>2</v>
      </c>
      <c r="D45" s="8">
        <f>SUM(D46:D49)</f>
        <v>7.5499999999999998E-2</v>
      </c>
      <c r="E45" s="14"/>
    </row>
    <row r="46" spans="2:7" x14ac:dyDescent="0.25">
      <c r="B46" s="5">
        <v>3</v>
      </c>
      <c r="C46" s="5" t="s">
        <v>10</v>
      </c>
      <c r="D46" s="8">
        <v>8.0000000000000002E-3</v>
      </c>
      <c r="E46" s="14"/>
    </row>
    <row r="47" spans="2:7" x14ac:dyDescent="0.25">
      <c r="B47" s="5">
        <v>4</v>
      </c>
      <c r="C47" s="5" t="s">
        <v>11</v>
      </c>
      <c r="D47" s="8">
        <v>0</v>
      </c>
      <c r="E47" s="14"/>
    </row>
    <row r="48" spans="2:7" x14ac:dyDescent="0.25">
      <c r="B48" s="5">
        <v>5</v>
      </c>
      <c r="C48" s="5" t="s">
        <v>3</v>
      </c>
      <c r="D48" s="6">
        <v>6.1600000000000002E-2</v>
      </c>
      <c r="E48" s="15"/>
    </row>
    <row r="49" spans="2:5" x14ac:dyDescent="0.25">
      <c r="B49" s="5">
        <v>6</v>
      </c>
      <c r="C49" s="5" t="s">
        <v>12</v>
      </c>
      <c r="D49" s="8">
        <v>5.8999999999999999E-3</v>
      </c>
      <c r="E49" s="14"/>
    </row>
    <row r="50" spans="2:5" x14ac:dyDescent="0.25">
      <c r="B50" s="5"/>
      <c r="C50" s="5"/>
      <c r="D50" s="5"/>
      <c r="E50" s="12"/>
    </row>
    <row r="51" spans="2:5" x14ac:dyDescent="0.25">
      <c r="B51" s="5"/>
      <c r="C51" s="7" t="s">
        <v>6</v>
      </c>
      <c r="D51" s="8">
        <f>SUM(D52:D55)</f>
        <v>8.6499999999999994E-2</v>
      </c>
      <c r="E51" s="14"/>
    </row>
    <row r="52" spans="2:5" x14ac:dyDescent="0.25">
      <c r="B52" s="5">
        <v>7</v>
      </c>
      <c r="C52" s="5" t="s">
        <v>23</v>
      </c>
      <c r="D52" s="6">
        <v>0.05</v>
      </c>
      <c r="E52" s="15"/>
    </row>
    <row r="53" spans="2:5" x14ac:dyDescent="0.25">
      <c r="B53" s="5">
        <v>8</v>
      </c>
      <c r="C53" s="5" t="s">
        <v>7</v>
      </c>
      <c r="D53" s="6">
        <v>6.4999999999999997E-3</v>
      </c>
      <c r="E53" s="15"/>
    </row>
    <row r="54" spans="2:5" x14ac:dyDescent="0.25">
      <c r="B54" s="5">
        <v>9</v>
      </c>
      <c r="C54" s="5" t="s">
        <v>8</v>
      </c>
      <c r="D54" s="6">
        <v>0.03</v>
      </c>
      <c r="E54" s="15"/>
    </row>
    <row r="55" spans="2:5" x14ac:dyDescent="0.25">
      <c r="B55" s="5">
        <v>10</v>
      </c>
      <c r="C55" s="5" t="s">
        <v>9</v>
      </c>
      <c r="D55" s="6">
        <v>0</v>
      </c>
      <c r="E55" s="15"/>
    </row>
    <row r="56" spans="2:5" x14ac:dyDescent="0.25">
      <c r="B56" s="5"/>
      <c r="C56" s="5"/>
      <c r="D56" s="6"/>
      <c r="E56" s="15"/>
    </row>
    <row r="57" spans="2:5" ht="30" x14ac:dyDescent="0.25">
      <c r="B57" s="9" t="s">
        <v>13</v>
      </c>
      <c r="C57" s="11" t="s">
        <v>16</v>
      </c>
      <c r="D57" s="10">
        <f>(((1+D42+D46+D43+D47)*(1+D49)*(1+D48))/(1-D51))-1</f>
        <v>0.22029846197701164</v>
      </c>
      <c r="E57" s="14"/>
    </row>
  </sheetData>
  <mergeCells count="15">
    <mergeCell ref="D5:D13"/>
    <mergeCell ref="D16:D21"/>
    <mergeCell ref="D37:F37"/>
    <mergeCell ref="C34:F34"/>
    <mergeCell ref="C35:F35"/>
    <mergeCell ref="C36:F36"/>
    <mergeCell ref="B14:F14"/>
    <mergeCell ref="B15:F15"/>
    <mergeCell ref="B34:B36"/>
    <mergeCell ref="B29:F29"/>
    <mergeCell ref="B30:F30"/>
    <mergeCell ref="B22:F22"/>
    <mergeCell ref="B23:F23"/>
    <mergeCell ref="D24:D28"/>
    <mergeCell ref="B32:C32"/>
  </mergeCells>
  <pageMargins left="0.511811024" right="0.511811024" top="0.78740157499999996" bottom="0.78740157499999996" header="0.31496062000000002" footer="0.31496062000000002"/>
  <pageSetup paperSize="9" scale="91" orientation="portrait" verticalDpi="20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E21"/>
  <sheetViews>
    <sheetView workbookViewId="0">
      <selection activeCell="H11" sqref="H11"/>
    </sheetView>
  </sheetViews>
  <sheetFormatPr defaultRowHeight="15" x14ac:dyDescent="0.25"/>
  <cols>
    <col min="4" max="4" width="28.28515625" bestFit="1" customWidth="1"/>
  </cols>
  <sheetData>
    <row r="4" spans="3:5" x14ac:dyDescent="0.25">
      <c r="C4" s="9" t="s">
        <v>14</v>
      </c>
      <c r="D4" s="9" t="s">
        <v>0</v>
      </c>
      <c r="E4" s="10" t="s">
        <v>15</v>
      </c>
    </row>
    <row r="5" spans="3:5" x14ac:dyDescent="0.25">
      <c r="C5" s="5"/>
      <c r="D5" s="169" t="s">
        <v>1</v>
      </c>
      <c r="E5" s="8">
        <f>SUM(E6:E7)</f>
        <v>3.5900000000000001E-2</v>
      </c>
    </row>
    <row r="6" spans="3:5" x14ac:dyDescent="0.25">
      <c r="C6" s="5">
        <v>1</v>
      </c>
      <c r="D6" s="5" t="s">
        <v>4</v>
      </c>
      <c r="E6" s="6">
        <v>0.03</v>
      </c>
    </row>
    <row r="7" spans="3:5" x14ac:dyDescent="0.25">
      <c r="C7" s="5">
        <v>2</v>
      </c>
      <c r="D7" s="5" t="s">
        <v>5</v>
      </c>
      <c r="E7" s="6">
        <v>5.8999999999999999E-3</v>
      </c>
    </row>
    <row r="8" spans="3:5" x14ac:dyDescent="0.25">
      <c r="C8" s="5"/>
      <c r="D8" s="5"/>
      <c r="E8" s="6"/>
    </row>
    <row r="9" spans="3:5" x14ac:dyDescent="0.25">
      <c r="C9" s="5"/>
      <c r="D9" s="169" t="s">
        <v>2</v>
      </c>
      <c r="E9" s="8">
        <f>SUM(E10:E13)</f>
        <v>7.5499999999999998E-2</v>
      </c>
    </row>
    <row r="10" spans="3:5" x14ac:dyDescent="0.25">
      <c r="C10" s="5">
        <v>3</v>
      </c>
      <c r="D10" s="5" t="s">
        <v>10</v>
      </c>
      <c r="E10" s="8">
        <v>8.0000000000000002E-3</v>
      </c>
    </row>
    <row r="11" spans="3:5" x14ac:dyDescent="0.25">
      <c r="C11" s="5">
        <v>4</v>
      </c>
      <c r="D11" s="5" t="s">
        <v>11</v>
      </c>
      <c r="E11" s="8">
        <v>0</v>
      </c>
    </row>
    <row r="12" spans="3:5" x14ac:dyDescent="0.25">
      <c r="C12" s="5">
        <v>5</v>
      </c>
      <c r="D12" s="5" t="s">
        <v>3</v>
      </c>
      <c r="E12" s="6">
        <v>6.1600000000000002E-2</v>
      </c>
    </row>
    <row r="13" spans="3:5" x14ac:dyDescent="0.25">
      <c r="C13" s="5">
        <v>6</v>
      </c>
      <c r="D13" s="5" t="s">
        <v>12</v>
      </c>
      <c r="E13" s="8">
        <v>5.8999999999999999E-3</v>
      </c>
    </row>
    <row r="14" spans="3:5" x14ac:dyDescent="0.25">
      <c r="C14" s="5"/>
      <c r="D14" s="5"/>
      <c r="E14" s="5"/>
    </row>
    <row r="15" spans="3:5" x14ac:dyDescent="0.25">
      <c r="C15" s="5"/>
      <c r="D15" s="169" t="s">
        <v>6</v>
      </c>
      <c r="E15" s="8">
        <f>SUM(E16:E19)</f>
        <v>8.6499999999999994E-2</v>
      </c>
    </row>
    <row r="16" spans="3:5" x14ac:dyDescent="0.25">
      <c r="C16" s="5">
        <v>7</v>
      </c>
      <c r="D16" s="5" t="s">
        <v>23</v>
      </c>
      <c r="E16" s="6">
        <v>0.05</v>
      </c>
    </row>
    <row r="17" spans="3:5" x14ac:dyDescent="0.25">
      <c r="C17" s="5">
        <v>8</v>
      </c>
      <c r="D17" s="5" t="s">
        <v>7</v>
      </c>
      <c r="E17" s="6">
        <v>6.4999999999999997E-3</v>
      </c>
    </row>
    <row r="18" spans="3:5" x14ac:dyDescent="0.25">
      <c r="C18" s="5">
        <v>9</v>
      </c>
      <c r="D18" s="5" t="s">
        <v>8</v>
      </c>
      <c r="E18" s="6">
        <v>0.03</v>
      </c>
    </row>
    <row r="19" spans="3:5" x14ac:dyDescent="0.25">
      <c r="C19" s="5">
        <v>10</v>
      </c>
      <c r="D19" s="5" t="s">
        <v>9</v>
      </c>
      <c r="E19" s="6">
        <v>0</v>
      </c>
    </row>
    <row r="20" spans="3:5" x14ac:dyDescent="0.25">
      <c r="C20" s="5"/>
      <c r="D20" s="5"/>
      <c r="E20" s="6"/>
    </row>
    <row r="21" spans="3:5" ht="45" x14ac:dyDescent="0.25">
      <c r="C21" s="9" t="s">
        <v>13</v>
      </c>
      <c r="D21" s="11" t="s">
        <v>16</v>
      </c>
      <c r="E21" s="10">
        <f>(((1+E6+E10+E7+E11)*(1+E13)*(1+E12))/(1-E15))-1</f>
        <v>0.22029846197701164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B62"/>
  <sheetViews>
    <sheetView topLeftCell="A49" zoomScaleNormal="100" workbookViewId="0">
      <selection activeCell="A55" sqref="A55:XFD55"/>
    </sheetView>
  </sheetViews>
  <sheetFormatPr defaultRowHeight="15" x14ac:dyDescent="0.25"/>
  <cols>
    <col min="2" max="2" width="23.5703125" style="1" bestFit="1" customWidth="1"/>
    <col min="3" max="3" width="52.85546875" style="1" customWidth="1"/>
    <col min="4" max="4" width="9.140625" style="1"/>
    <col min="5" max="5" width="15.5703125" style="1" customWidth="1"/>
    <col min="6" max="6" width="9.140625" style="1"/>
    <col min="7" max="7" width="14.42578125" style="1" bestFit="1" customWidth="1"/>
    <col min="8" max="8" width="10.28515625" style="1" customWidth="1"/>
    <col min="9" max="9" width="14.42578125" style="1" bestFit="1" customWidth="1"/>
    <col min="10" max="10" width="13.85546875" customWidth="1"/>
    <col min="11" max="11" width="14.42578125" bestFit="1" customWidth="1"/>
    <col min="13" max="13" width="14.42578125" bestFit="1" customWidth="1"/>
    <col min="14" max="14" width="9.28515625" bestFit="1" customWidth="1"/>
    <col min="15" max="15" width="14.42578125" bestFit="1" customWidth="1"/>
    <col min="16" max="16" width="9.28515625" bestFit="1" customWidth="1"/>
    <col min="17" max="17" width="14.5703125" bestFit="1" customWidth="1"/>
    <col min="18" max="18" width="9.140625" style="150"/>
    <col min="26" max="26" width="72.42578125" customWidth="1"/>
  </cols>
  <sheetData>
    <row r="1" spans="2:18" x14ac:dyDescent="0.25">
      <c r="B1" s="94"/>
      <c r="C1" s="94"/>
      <c r="D1" s="94"/>
      <c r="E1" s="94"/>
      <c r="F1" s="94"/>
      <c r="G1" s="94"/>
      <c r="H1" s="94"/>
      <c r="I1" s="94"/>
    </row>
    <row r="2" spans="2:18" x14ac:dyDescent="0.25">
      <c r="B2" s="1" t="s">
        <v>109</v>
      </c>
      <c r="C2" s="199" t="s">
        <v>108</v>
      </c>
      <c r="D2" s="199"/>
      <c r="E2" s="199"/>
      <c r="F2" s="199"/>
      <c r="G2" s="199"/>
      <c r="H2" s="199"/>
      <c r="I2" s="199"/>
    </row>
    <row r="4" spans="2:18" ht="15.75" thickBot="1" x14ac:dyDescent="0.3">
      <c r="B4" s="202" t="s">
        <v>99</v>
      </c>
      <c r="C4" s="202"/>
      <c r="D4" s="202"/>
      <c r="E4" s="202"/>
      <c r="F4" s="202"/>
      <c r="G4" s="202"/>
      <c r="H4" s="202"/>
      <c r="I4" s="202"/>
    </row>
    <row r="5" spans="2:18" ht="15.75" thickBot="1" x14ac:dyDescent="0.3">
      <c r="B5" s="82" t="s">
        <v>94</v>
      </c>
      <c r="C5" s="55" t="s">
        <v>103</v>
      </c>
      <c r="D5" s="200" t="s">
        <v>81</v>
      </c>
      <c r="E5" s="201"/>
      <c r="F5" s="200" t="s">
        <v>82</v>
      </c>
      <c r="G5" s="201"/>
      <c r="H5" s="200" t="s">
        <v>83</v>
      </c>
      <c r="I5" s="201"/>
    </row>
    <row r="6" spans="2:18" ht="15.75" thickBot="1" x14ac:dyDescent="0.3">
      <c r="B6" s="82"/>
      <c r="C6" s="55"/>
      <c r="D6" s="109" t="s">
        <v>104</v>
      </c>
      <c r="E6" s="110" t="s">
        <v>105</v>
      </c>
      <c r="F6" s="109" t="s">
        <v>104</v>
      </c>
      <c r="G6" s="110" t="s">
        <v>105</v>
      </c>
      <c r="H6" s="97" t="s">
        <v>104</v>
      </c>
      <c r="I6" s="128" t="s">
        <v>105</v>
      </c>
    </row>
    <row r="7" spans="2:18" ht="15.75" thickBot="1" x14ac:dyDescent="0.3">
      <c r="B7" s="82" t="s">
        <v>95</v>
      </c>
      <c r="C7" s="55" t="s">
        <v>93</v>
      </c>
      <c r="D7" s="95">
        <f>'Desembolso mensal'!C11/2</f>
        <v>5.2083333333333329E-2</v>
      </c>
      <c r="E7" s="114"/>
      <c r="F7" s="96"/>
      <c r="G7" s="119"/>
      <c r="H7" s="111"/>
      <c r="I7" s="123"/>
      <c r="J7" s="2"/>
      <c r="K7" s="2"/>
    </row>
    <row r="8" spans="2:18" ht="45" x14ac:dyDescent="0.25">
      <c r="B8" s="102" t="s">
        <v>96</v>
      </c>
      <c r="C8" s="176" t="str">
        <f>'Orçamento estimativo'!C6</f>
        <v>Projetos de Arquitetura (layout para ocupação do subsolo, considerando reaproveitamento de divisórias, mobiliário e sistema elétrico e de rede)</v>
      </c>
      <c r="D8" s="83">
        <f>D7/6</f>
        <v>8.6805555555555542E-3</v>
      </c>
      <c r="E8" s="115"/>
      <c r="F8" s="84"/>
      <c r="G8" s="120"/>
      <c r="H8" s="112"/>
      <c r="I8" s="124"/>
      <c r="J8" s="2"/>
      <c r="K8" s="2"/>
    </row>
    <row r="9" spans="2:18" x14ac:dyDescent="0.25">
      <c r="B9" s="103" t="s">
        <v>96</v>
      </c>
      <c r="C9" s="177" t="str">
        <f>'Orçamento estimativo'!C7</f>
        <v>Projeto estrutural (escada de incêndio, caixa d'água, etc.) de acordo com as normas dos Bombeiros</v>
      </c>
      <c r="D9" s="85">
        <f>D8</f>
        <v>8.6805555555555542E-3</v>
      </c>
      <c r="E9" s="116"/>
      <c r="F9" s="6"/>
      <c r="G9" s="121"/>
      <c r="H9" s="113"/>
      <c r="I9" s="125"/>
      <c r="J9" s="2"/>
      <c r="K9" s="2"/>
    </row>
    <row r="10" spans="2:18" ht="60" x14ac:dyDescent="0.25">
      <c r="B10" s="103" t="s">
        <v>96</v>
      </c>
      <c r="C10" s="177" t="str">
        <f>'Orçamento estimativo'!C8</f>
        <v>Projeto do sistema elétrico e SPDA (quadros, cabos, tomadas, iluminação, iluminação de emergência,  para-raios, etc), com aproveitamento do gerador de emergência existente</v>
      </c>
      <c r="D10" s="85">
        <f>D9</f>
        <v>8.6805555555555542E-3</v>
      </c>
      <c r="E10" s="116"/>
      <c r="F10" s="6"/>
      <c r="G10" s="121"/>
      <c r="H10" s="113"/>
      <c r="I10" s="125"/>
      <c r="J10" s="2"/>
      <c r="K10" s="2"/>
    </row>
    <row r="11" spans="2:18" x14ac:dyDescent="0.25">
      <c r="B11" s="103" t="s">
        <v>96</v>
      </c>
      <c r="C11" s="177" t="str">
        <f>'Orçamento estimativo'!C9</f>
        <v>Projeto do cabeamento de rede/telecomunicações</v>
      </c>
      <c r="D11" s="85">
        <f>D9</f>
        <v>8.6805555555555542E-3</v>
      </c>
      <c r="E11" s="116"/>
      <c r="F11" s="6"/>
      <c r="G11" s="121"/>
      <c r="H11" s="113"/>
      <c r="I11" s="125"/>
      <c r="J11" s="2"/>
      <c r="K11" s="2"/>
    </row>
    <row r="12" spans="2:18" x14ac:dyDescent="0.25">
      <c r="B12" s="103" t="s">
        <v>96</v>
      </c>
      <c r="C12" s="177" t="str">
        <f>'Orçamento estimativo'!C10</f>
        <v>Projeto de climatização</v>
      </c>
      <c r="D12" s="85">
        <f t="shared" ref="D12:D13" si="0">D10</f>
        <v>8.6805555555555542E-3</v>
      </c>
      <c r="E12" s="130"/>
      <c r="F12" s="100"/>
      <c r="G12" s="144"/>
      <c r="H12" s="129"/>
      <c r="I12" s="146"/>
      <c r="J12" s="2"/>
      <c r="K12" s="2"/>
      <c r="R12" s="157"/>
    </row>
    <row r="13" spans="2:18" ht="30.75" thickBot="1" x14ac:dyDescent="0.3">
      <c r="B13" s="103" t="s">
        <v>96</v>
      </c>
      <c r="C13" s="178" t="str">
        <f>'Orçamento estimativo'!C11</f>
        <v>Projeto hidrossanitário (copas, banheiros, sistemas de hidrantes, caixa d'água, etc)</v>
      </c>
      <c r="D13" s="106">
        <f t="shared" si="0"/>
        <v>8.6805555555555542E-3</v>
      </c>
      <c r="E13" s="130"/>
      <c r="F13" s="100"/>
      <c r="G13" s="144"/>
      <c r="H13" s="129"/>
      <c r="I13" s="146"/>
      <c r="J13" s="2"/>
      <c r="K13" s="2"/>
      <c r="R13" s="157"/>
    </row>
    <row r="14" spans="2:18" ht="45" x14ac:dyDescent="0.25">
      <c r="B14" s="102" t="s">
        <v>97</v>
      </c>
      <c r="C14" s="171" t="str">
        <f t="shared" ref="C14:C24" si="1">C8</f>
        <v>Projetos de Arquitetura (layout para ocupação do subsolo, considerando reaproveitamento de divisórias, mobiliário e sistema elétrico e de rede)</v>
      </c>
      <c r="D14" s="84"/>
      <c r="E14" s="131"/>
      <c r="F14" s="84">
        <f>'Desembolso mensal'!D11/6</f>
        <v>1.0416666666666666E-2</v>
      </c>
      <c r="G14" s="131"/>
      <c r="H14" s="84"/>
      <c r="I14" s="124"/>
      <c r="J14" s="2"/>
      <c r="K14" s="2"/>
    </row>
    <row r="15" spans="2:18" x14ac:dyDescent="0.25">
      <c r="B15" s="103" t="s">
        <v>97</v>
      </c>
      <c r="C15" s="172" t="str">
        <f t="shared" si="1"/>
        <v>Projeto estrutural (escada de incêndio, caixa d'água, etc.) de acordo com as normas dos Bombeiros</v>
      </c>
      <c r="D15" s="6"/>
      <c r="E15" s="132"/>
      <c r="F15" s="6">
        <f>F14</f>
        <v>1.0416666666666666E-2</v>
      </c>
      <c r="G15" s="132"/>
      <c r="H15" s="6"/>
      <c r="I15" s="125"/>
      <c r="J15" s="2"/>
      <c r="K15" s="2"/>
    </row>
    <row r="16" spans="2:18" ht="60" x14ac:dyDescent="0.25">
      <c r="B16" s="103" t="s">
        <v>97</v>
      </c>
      <c r="C16" s="172" t="str">
        <f t="shared" si="1"/>
        <v>Projeto do sistema elétrico e SPDA (quadros, cabos, tomadas, iluminação, iluminação de emergência,  para-raios, etc), com aproveitamento do gerador de emergência existente</v>
      </c>
      <c r="D16" s="6"/>
      <c r="E16" s="132"/>
      <c r="F16" s="6">
        <f t="shared" ref="F16:F19" si="2">F15</f>
        <v>1.0416666666666666E-2</v>
      </c>
      <c r="G16" s="132"/>
      <c r="H16" s="6"/>
      <c r="I16" s="125"/>
      <c r="J16" s="2"/>
      <c r="K16" s="2"/>
      <c r="R16" s="157"/>
    </row>
    <row r="17" spans="2:28" x14ac:dyDescent="0.25">
      <c r="B17" s="103" t="s">
        <v>97</v>
      </c>
      <c r="C17" s="172" t="str">
        <f t="shared" si="1"/>
        <v>Projeto do cabeamento de rede/telecomunicações</v>
      </c>
      <c r="D17" s="6"/>
      <c r="E17" s="132"/>
      <c r="F17" s="6">
        <f t="shared" si="2"/>
        <v>1.0416666666666666E-2</v>
      </c>
      <c r="G17" s="132"/>
      <c r="H17" s="6"/>
      <c r="I17" s="125"/>
      <c r="J17" s="2"/>
      <c r="K17" s="2"/>
      <c r="R17" s="157"/>
    </row>
    <row r="18" spans="2:28" x14ac:dyDescent="0.25">
      <c r="B18" s="103" t="s">
        <v>97</v>
      </c>
      <c r="C18" s="172" t="str">
        <f t="shared" si="1"/>
        <v>Projeto de climatização</v>
      </c>
      <c r="D18" s="6"/>
      <c r="E18" s="132"/>
      <c r="F18" s="6">
        <f t="shared" si="2"/>
        <v>1.0416666666666666E-2</v>
      </c>
      <c r="G18" s="132"/>
      <c r="H18" s="6"/>
      <c r="I18" s="125"/>
      <c r="J18" s="2"/>
      <c r="K18" s="2"/>
      <c r="R18" s="157"/>
    </row>
    <row r="19" spans="2:28" ht="30.75" thickBot="1" x14ac:dyDescent="0.3">
      <c r="B19" s="104" t="s">
        <v>97</v>
      </c>
      <c r="C19" s="173" t="str">
        <f t="shared" si="1"/>
        <v>Projeto hidrossanitário (copas, banheiros, sistemas de hidrantes, caixa d'água, etc)</v>
      </c>
      <c r="D19" s="92"/>
      <c r="E19" s="134"/>
      <c r="F19" s="92">
        <f t="shared" si="2"/>
        <v>1.0416666666666666E-2</v>
      </c>
      <c r="G19" s="134"/>
      <c r="H19" s="92"/>
      <c r="I19" s="126"/>
      <c r="J19" s="2"/>
      <c r="K19" s="2"/>
      <c r="R19" s="157"/>
    </row>
    <row r="20" spans="2:28" ht="45" x14ac:dyDescent="0.25">
      <c r="B20" s="103" t="s">
        <v>98</v>
      </c>
      <c r="C20" s="170" t="str">
        <f t="shared" si="1"/>
        <v>Projetos de Arquitetura (layout para ocupação do subsolo, considerando reaproveitamento de divisórias, mobiliário e sistema elétrico e de rede)</v>
      </c>
      <c r="D20" s="93"/>
      <c r="E20" s="117"/>
      <c r="F20" s="90"/>
      <c r="G20" s="122"/>
      <c r="H20" s="90">
        <f>'Desembolso mensal'!E11/7</f>
        <v>1.1904761904761904E-2</v>
      </c>
      <c r="I20" s="142"/>
      <c r="J20" s="2"/>
      <c r="K20" s="2"/>
    </row>
    <row r="21" spans="2:28" x14ac:dyDescent="0.25">
      <c r="B21" s="103" t="s">
        <v>98</v>
      </c>
      <c r="C21" s="170" t="str">
        <f t="shared" si="1"/>
        <v>Projeto estrutural (escada de incêndio, caixa d'água, etc.) de acordo com as normas dos Bombeiros</v>
      </c>
      <c r="D21" s="86"/>
      <c r="E21" s="116"/>
      <c r="F21" s="6"/>
      <c r="G21" s="121"/>
      <c r="H21" s="6">
        <f>H20</f>
        <v>1.1904761904761904E-2</v>
      </c>
      <c r="I21" s="125"/>
      <c r="J21" s="2"/>
      <c r="K21" s="2"/>
      <c r="Y21" s="99"/>
      <c r="Z21" s="107"/>
      <c r="AA21" s="101"/>
      <c r="AB21" s="101"/>
    </row>
    <row r="22" spans="2:28" ht="60" x14ac:dyDescent="0.25">
      <c r="B22" s="103" t="s">
        <v>98</v>
      </c>
      <c r="C22" s="170" t="str">
        <f t="shared" si="1"/>
        <v>Projeto do sistema elétrico e SPDA (quadros, cabos, tomadas, iluminação, iluminação de emergência,  para-raios, etc), com aproveitamento do gerador de emergência existente</v>
      </c>
      <c r="D22" s="86"/>
      <c r="E22" s="116"/>
      <c r="F22" s="6"/>
      <c r="G22" s="121"/>
      <c r="H22" s="6">
        <f t="shared" ref="H22:H26" si="3">H21</f>
        <v>1.1904761904761904E-2</v>
      </c>
      <c r="I22" s="125"/>
      <c r="J22" s="2"/>
      <c r="K22" s="2"/>
      <c r="R22" s="157"/>
      <c r="Y22" s="99"/>
      <c r="Z22" s="107"/>
      <c r="AA22" s="101"/>
      <c r="AB22" s="101"/>
    </row>
    <row r="23" spans="2:28" x14ac:dyDescent="0.25">
      <c r="B23" s="103" t="s">
        <v>98</v>
      </c>
      <c r="C23" s="170" t="str">
        <f t="shared" si="1"/>
        <v>Projeto do cabeamento de rede/telecomunicações</v>
      </c>
      <c r="D23" s="86"/>
      <c r="E23" s="116"/>
      <c r="F23" s="6"/>
      <c r="G23" s="121"/>
      <c r="H23" s="6">
        <f t="shared" si="3"/>
        <v>1.1904761904761904E-2</v>
      </c>
      <c r="I23" s="125"/>
      <c r="J23" s="2"/>
      <c r="K23" s="2"/>
      <c r="R23" s="157"/>
      <c r="Y23" s="99"/>
      <c r="Z23" s="107"/>
      <c r="AA23" s="101"/>
      <c r="AB23" s="101"/>
    </row>
    <row r="24" spans="2:28" x14ac:dyDescent="0.25">
      <c r="B24" s="103" t="s">
        <v>98</v>
      </c>
      <c r="C24" s="170" t="str">
        <f t="shared" si="1"/>
        <v>Projeto de climatização</v>
      </c>
      <c r="D24" s="86"/>
      <c r="E24" s="116"/>
      <c r="F24" s="6"/>
      <c r="G24" s="121"/>
      <c r="H24" s="6">
        <f t="shared" si="3"/>
        <v>1.1904761904761904E-2</v>
      </c>
      <c r="I24" s="125"/>
      <c r="J24" s="2"/>
      <c r="K24" s="2"/>
      <c r="R24" s="157"/>
      <c r="Y24" s="99"/>
      <c r="Z24" s="107"/>
      <c r="AA24" s="101"/>
      <c r="AB24" s="101"/>
    </row>
    <row r="25" spans="2:28" x14ac:dyDescent="0.25">
      <c r="B25" s="103" t="s">
        <v>98</v>
      </c>
      <c r="C25" s="170" t="str">
        <f>'Orçamento estimativo'!C12</f>
        <v>Orçamento  1ª etapa</v>
      </c>
      <c r="D25" s="86"/>
      <c r="E25" s="116"/>
      <c r="F25" s="6"/>
      <c r="G25" s="121"/>
      <c r="H25" s="6">
        <f t="shared" si="3"/>
        <v>1.1904761904761904E-2</v>
      </c>
      <c r="I25" s="125"/>
      <c r="J25" s="2"/>
      <c r="K25" s="2"/>
      <c r="Y25" s="99"/>
      <c r="Z25" s="107"/>
      <c r="AA25" s="101"/>
      <c r="AB25" s="101"/>
    </row>
    <row r="26" spans="2:28" ht="15.75" thickBot="1" x14ac:dyDescent="0.3">
      <c r="B26" s="103" t="s">
        <v>98</v>
      </c>
      <c r="C26" s="170" t="str">
        <f>'Orçamento estimativo'!C13</f>
        <v>Memorial descritivo e especificações da 1ª etapa</v>
      </c>
      <c r="D26" s="86"/>
      <c r="E26" s="116"/>
      <c r="F26" s="5"/>
      <c r="G26" s="121"/>
      <c r="H26" s="6">
        <f t="shared" si="3"/>
        <v>1.1904761904761904E-2</v>
      </c>
      <c r="I26" s="125"/>
      <c r="J26" s="150" t="s">
        <v>110</v>
      </c>
      <c r="Y26" s="108"/>
      <c r="Z26" s="108"/>
      <c r="AA26" s="101"/>
      <c r="AB26" s="101"/>
    </row>
    <row r="27" spans="2:28" ht="15.75" thickBot="1" x14ac:dyDescent="0.3">
      <c r="B27" s="149" t="s">
        <v>106</v>
      </c>
      <c r="C27" s="151"/>
      <c r="D27" s="152">
        <f t="shared" ref="D27:I27" si="4">SUM(D7:D26)</f>
        <v>0.10416666666666664</v>
      </c>
      <c r="E27" s="153">
        <f t="shared" si="4"/>
        <v>0</v>
      </c>
      <c r="F27" s="152">
        <f t="shared" si="4"/>
        <v>6.2499999999999993E-2</v>
      </c>
      <c r="G27" s="153">
        <f t="shared" si="4"/>
        <v>0</v>
      </c>
      <c r="H27" s="152">
        <f t="shared" si="4"/>
        <v>8.3333333333333329E-2</v>
      </c>
      <c r="I27" s="153">
        <f t="shared" si="4"/>
        <v>0</v>
      </c>
      <c r="J27" s="154">
        <f>E27+G27+I27</f>
        <v>0</v>
      </c>
    </row>
    <row r="28" spans="2:28" x14ac:dyDescent="0.25">
      <c r="D28" s="4"/>
      <c r="E28" s="118"/>
      <c r="F28" s="4"/>
      <c r="G28" s="118"/>
      <c r="H28" s="4"/>
      <c r="I28" s="118"/>
    </row>
    <row r="29" spans="2:28" x14ac:dyDescent="0.25">
      <c r="D29" s="4"/>
      <c r="E29" s="118"/>
      <c r="F29" s="4"/>
      <c r="G29" s="118"/>
      <c r="H29" s="4"/>
      <c r="I29" s="118"/>
    </row>
    <row r="31" spans="2:28" ht="15.75" thickBot="1" x14ac:dyDescent="0.3">
      <c r="B31" s="202" t="s">
        <v>101</v>
      </c>
      <c r="C31" s="202"/>
      <c r="D31" s="202"/>
      <c r="E31" s="202"/>
      <c r="F31" s="202"/>
      <c r="G31" s="202"/>
      <c r="H31" s="202"/>
      <c r="I31" s="202"/>
    </row>
    <row r="32" spans="2:28" ht="15.75" thickBot="1" x14ac:dyDescent="0.3">
      <c r="C32" s="98" t="s">
        <v>100</v>
      </c>
      <c r="D32" s="200" t="s">
        <v>84</v>
      </c>
      <c r="E32" s="203"/>
      <c r="F32" s="204" t="s">
        <v>85</v>
      </c>
      <c r="G32" s="205"/>
      <c r="H32" s="200" t="s">
        <v>86</v>
      </c>
      <c r="I32" s="201"/>
      <c r="J32" s="200" t="s">
        <v>87</v>
      </c>
      <c r="K32" s="201"/>
      <c r="L32" s="200" t="s">
        <v>88</v>
      </c>
      <c r="M32" s="201"/>
      <c r="N32" s="200" t="s">
        <v>89</v>
      </c>
      <c r="O32" s="201"/>
      <c r="P32" s="200" t="s">
        <v>90</v>
      </c>
      <c r="Q32" s="201"/>
    </row>
    <row r="33" spans="2:18" ht="15.75" thickBot="1" x14ac:dyDescent="0.3">
      <c r="C33" s="98"/>
      <c r="D33" s="109" t="s">
        <v>104</v>
      </c>
      <c r="E33" s="110" t="s">
        <v>105</v>
      </c>
      <c r="F33" s="109" t="s">
        <v>104</v>
      </c>
      <c r="G33" s="110" t="s">
        <v>105</v>
      </c>
      <c r="H33" s="109" t="s">
        <v>104</v>
      </c>
      <c r="I33" s="110" t="s">
        <v>105</v>
      </c>
      <c r="J33" s="109" t="s">
        <v>104</v>
      </c>
      <c r="K33" s="110" t="s">
        <v>105</v>
      </c>
      <c r="L33" s="109" t="s">
        <v>104</v>
      </c>
      <c r="M33" s="110" t="s">
        <v>105</v>
      </c>
      <c r="N33" s="109" t="s">
        <v>104</v>
      </c>
      <c r="O33" s="110" t="s">
        <v>105</v>
      </c>
      <c r="P33" s="109" t="s">
        <v>104</v>
      </c>
      <c r="Q33" s="110" t="s">
        <v>105</v>
      </c>
    </row>
    <row r="34" spans="2:18" ht="45" x14ac:dyDescent="0.25">
      <c r="B34" s="102" t="s">
        <v>96</v>
      </c>
      <c r="C34" s="57" t="str">
        <f>'Orçamento estimativo'!C16</f>
        <v>Projeto para restauração do espelho dágua (impermeabilização do espelho d'água; recuperação de domos e floreiras, sistema de filtragem de água e afins)</v>
      </c>
      <c r="D34" s="83">
        <f>'Desembolso mensal'!F12/4</f>
        <v>2.0833333333333332E-2</v>
      </c>
      <c r="E34" s="115"/>
      <c r="F34" s="84">
        <f>'Desembolso mensal'!G12/4</f>
        <v>2.0833333333333332E-2</v>
      </c>
      <c r="G34" s="115"/>
      <c r="H34" s="90">
        <f>'Desembolso mensal'!H12/4</f>
        <v>2.0833333333333332E-2</v>
      </c>
      <c r="I34" s="141"/>
      <c r="J34" s="84"/>
      <c r="K34" s="131"/>
      <c r="L34" s="84"/>
      <c r="M34" s="131"/>
      <c r="N34" s="84"/>
      <c r="O34" s="120"/>
      <c r="P34" s="112"/>
      <c r="Q34" s="124"/>
    </row>
    <row r="35" spans="2:18" x14ac:dyDescent="0.25">
      <c r="B35" s="103" t="s">
        <v>96</v>
      </c>
      <c r="C35" s="58" t="str">
        <f>'Orçamento estimativo'!C17</f>
        <v xml:space="preserve">Projeto para restauração de fachadas de concreto </v>
      </c>
      <c r="D35" s="85">
        <f>D34</f>
        <v>2.0833333333333332E-2</v>
      </c>
      <c r="E35" s="116"/>
      <c r="F35" s="6">
        <f>F34</f>
        <v>2.0833333333333332E-2</v>
      </c>
      <c r="G35" s="116"/>
      <c r="H35" s="6">
        <f>H34</f>
        <v>2.0833333333333332E-2</v>
      </c>
      <c r="I35" s="132"/>
      <c r="J35" s="6"/>
      <c r="K35" s="132"/>
      <c r="L35" s="6"/>
      <c r="M35" s="132"/>
      <c r="N35" s="6"/>
      <c r="O35" s="121"/>
      <c r="P35" s="113"/>
      <c r="Q35" s="125"/>
    </row>
    <row r="36" spans="2:18" ht="30" x14ac:dyDescent="0.25">
      <c r="B36" s="103" t="s">
        <v>96</v>
      </c>
      <c r="C36" s="58" t="str">
        <f>'Orçamento estimativo'!C18</f>
        <v>Projeto para restauração de fachadas em esquadria de alumínio</v>
      </c>
      <c r="D36" s="85">
        <f t="shared" ref="D36:D37" si="5">D35</f>
        <v>2.0833333333333332E-2</v>
      </c>
      <c r="E36" s="116"/>
      <c r="F36" s="6">
        <f t="shared" ref="F36:F37" si="6">F35</f>
        <v>2.0833333333333332E-2</v>
      </c>
      <c r="G36" s="116"/>
      <c r="H36" s="6">
        <f t="shared" ref="H36:H37" si="7">H35</f>
        <v>2.0833333333333332E-2</v>
      </c>
      <c r="I36" s="132"/>
      <c r="J36" s="6"/>
      <c r="K36" s="132"/>
      <c r="L36" s="6"/>
      <c r="M36" s="132"/>
      <c r="N36" s="6"/>
      <c r="O36" s="121"/>
      <c r="P36" s="113"/>
      <c r="Q36" s="125"/>
    </row>
    <row r="37" spans="2:18" ht="45.75" thickBot="1" x14ac:dyDescent="0.3">
      <c r="B37" s="103" t="s">
        <v>96</v>
      </c>
      <c r="C37" s="162" t="str">
        <f>'Orçamento estimativo'!C19</f>
        <v>Projeto de Arquitetura (definição/atualização de novos: layout, mobiliário, pisos, forro, cobertura, paredes, paisagismo, etc)</v>
      </c>
      <c r="D37" s="85">
        <f t="shared" si="5"/>
        <v>2.0833333333333332E-2</v>
      </c>
      <c r="E37" s="116"/>
      <c r="F37" s="6">
        <f t="shared" si="6"/>
        <v>2.0833333333333332E-2</v>
      </c>
      <c r="G37" s="116"/>
      <c r="H37" s="6">
        <f t="shared" si="7"/>
        <v>2.0833333333333332E-2</v>
      </c>
      <c r="I37" s="132"/>
      <c r="J37" s="6"/>
      <c r="K37" s="132"/>
      <c r="L37" s="6"/>
      <c r="M37" s="132"/>
      <c r="N37" s="6"/>
      <c r="O37" s="121"/>
      <c r="P37" s="113"/>
      <c r="Q37" s="125"/>
    </row>
    <row r="38" spans="2:18" ht="45" x14ac:dyDescent="0.25">
      <c r="B38" s="102" t="s">
        <v>97</v>
      </c>
      <c r="C38" s="57" t="str">
        <f>C34</f>
        <v>Projeto para restauração do espelho dágua (impermeabilização do espelho d'água; recuperação de domos e floreiras, sistema de filtragem de água e afins)</v>
      </c>
      <c r="D38" s="83"/>
      <c r="E38" s="115"/>
      <c r="F38" s="84"/>
      <c r="G38" s="115"/>
      <c r="H38" s="84"/>
      <c r="I38" s="131"/>
      <c r="J38" s="84">
        <f>'Desembolso mensal'!I12/4</f>
        <v>2.0833333333333332E-2</v>
      </c>
      <c r="K38" s="131"/>
      <c r="L38" s="84">
        <f>'Desembolso mensal'!J12/4</f>
        <v>2.0833333333333332E-2</v>
      </c>
      <c r="M38" s="131"/>
      <c r="N38" s="84">
        <f>'Desembolso mensal'!K12/4</f>
        <v>2.0833333333333332E-2</v>
      </c>
      <c r="O38" s="120"/>
      <c r="P38" s="112"/>
      <c r="Q38" s="124"/>
    </row>
    <row r="39" spans="2:18" x14ac:dyDescent="0.25">
      <c r="B39" s="103" t="s">
        <v>97</v>
      </c>
      <c r="C39" s="58" t="str">
        <f t="shared" ref="C39:C41" si="8">C35</f>
        <v xml:space="preserve">Projeto para restauração de fachadas de concreto </v>
      </c>
      <c r="D39" s="106"/>
      <c r="E39" s="130"/>
      <c r="F39" s="100"/>
      <c r="G39" s="130"/>
      <c r="H39" s="100"/>
      <c r="I39" s="133"/>
      <c r="J39" s="100">
        <f>J38</f>
        <v>2.0833333333333332E-2</v>
      </c>
      <c r="K39" s="133"/>
      <c r="L39" s="100">
        <f>L38</f>
        <v>2.0833333333333332E-2</v>
      </c>
      <c r="M39" s="133"/>
      <c r="N39" s="100">
        <f>N38</f>
        <v>2.0833333333333332E-2</v>
      </c>
      <c r="O39" s="144"/>
      <c r="P39" s="129"/>
      <c r="Q39" s="146"/>
    </row>
    <row r="40" spans="2:18" ht="30" x14ac:dyDescent="0.25">
      <c r="B40" s="103" t="s">
        <v>97</v>
      </c>
      <c r="C40" s="58" t="str">
        <f t="shared" si="8"/>
        <v>Projeto para restauração de fachadas em esquadria de alumínio</v>
      </c>
      <c r="D40" s="85"/>
      <c r="E40" s="116"/>
      <c r="F40" s="6"/>
      <c r="G40" s="116"/>
      <c r="H40" s="6"/>
      <c r="I40" s="132"/>
      <c r="J40" s="100">
        <f t="shared" ref="J40:J41" si="9">J39</f>
        <v>2.0833333333333332E-2</v>
      </c>
      <c r="K40" s="133"/>
      <c r="L40" s="100">
        <f t="shared" ref="L40:L41" si="10">L39</f>
        <v>2.0833333333333332E-2</v>
      </c>
      <c r="M40" s="133"/>
      <c r="N40" s="100">
        <f t="shared" ref="N40:N41" si="11">N39</f>
        <v>2.0833333333333332E-2</v>
      </c>
      <c r="O40" s="144"/>
      <c r="P40" s="129"/>
      <c r="Q40" s="125"/>
    </row>
    <row r="41" spans="2:18" ht="45.75" thickBot="1" x14ac:dyDescent="0.3">
      <c r="B41" s="103" t="s">
        <v>97</v>
      </c>
      <c r="C41" s="162" t="str">
        <f t="shared" si="8"/>
        <v>Projeto de Arquitetura (definição/atualização de novos: layout, mobiliário, pisos, forro, cobertura, paredes, paisagismo, etc)</v>
      </c>
      <c r="D41" s="106"/>
      <c r="E41" s="130"/>
      <c r="F41" s="100"/>
      <c r="G41" s="130"/>
      <c r="H41" s="100"/>
      <c r="I41" s="133"/>
      <c r="J41" s="100">
        <f t="shared" si="9"/>
        <v>2.0833333333333332E-2</v>
      </c>
      <c r="K41" s="133"/>
      <c r="L41" s="100">
        <f t="shared" si="10"/>
        <v>2.0833333333333332E-2</v>
      </c>
      <c r="M41" s="133"/>
      <c r="N41" s="100">
        <f t="shared" si="11"/>
        <v>2.0833333333333332E-2</v>
      </c>
      <c r="O41" s="144"/>
      <c r="P41" s="129"/>
      <c r="Q41" s="146"/>
    </row>
    <row r="42" spans="2:18" ht="45" x14ac:dyDescent="0.25">
      <c r="B42" s="102" t="s">
        <v>98</v>
      </c>
      <c r="C42" s="57" t="str">
        <f>'Orçamento estimativo'!C16</f>
        <v>Projeto para restauração do espelho dágua (impermeabilização do espelho d'água; recuperação de domos e floreiras, sistema de filtragem de água e afins)</v>
      </c>
      <c r="D42" s="135"/>
      <c r="E42" s="136"/>
      <c r="F42" s="137"/>
      <c r="G42" s="136"/>
      <c r="H42" s="137"/>
      <c r="I42" s="138"/>
      <c r="J42" s="137"/>
      <c r="K42" s="138"/>
      <c r="L42" s="137"/>
      <c r="M42" s="138"/>
      <c r="N42" s="137"/>
      <c r="O42" s="145"/>
      <c r="P42" s="84">
        <f>'Desembolso mensal'!L12/6</f>
        <v>1.3888888888888888E-2</v>
      </c>
      <c r="Q42" s="147"/>
    </row>
    <row r="43" spans="2:18" x14ac:dyDescent="0.25">
      <c r="B43" s="103" t="s">
        <v>98</v>
      </c>
      <c r="C43" s="58" t="str">
        <f>'Orçamento estimativo'!C17</f>
        <v xml:space="preserve">Projeto para restauração de fachadas de concreto </v>
      </c>
      <c r="D43" s="85"/>
      <c r="E43" s="116"/>
      <c r="F43" s="6"/>
      <c r="G43" s="116"/>
      <c r="H43" s="6"/>
      <c r="I43" s="132"/>
      <c r="J43" s="6"/>
      <c r="K43" s="132"/>
      <c r="L43" s="6"/>
      <c r="M43" s="132"/>
      <c r="N43" s="6"/>
      <c r="O43" s="121"/>
      <c r="P43" s="6">
        <f>P42</f>
        <v>1.3888888888888888E-2</v>
      </c>
      <c r="Q43" s="148"/>
    </row>
    <row r="44" spans="2:18" ht="30" x14ac:dyDescent="0.25">
      <c r="B44" s="103" t="s">
        <v>98</v>
      </c>
      <c r="C44" s="58" t="str">
        <f>'Orçamento estimativo'!C18</f>
        <v>Projeto para restauração de fachadas em esquadria de alumínio</v>
      </c>
      <c r="D44" s="106"/>
      <c r="E44" s="130"/>
      <c r="F44" s="100"/>
      <c r="G44" s="130"/>
      <c r="H44" s="100"/>
      <c r="I44" s="133"/>
      <c r="J44" s="100"/>
      <c r="K44" s="133"/>
      <c r="L44" s="100"/>
      <c r="M44" s="133"/>
      <c r="N44" s="100"/>
      <c r="O44" s="144"/>
      <c r="P44" s="6">
        <f t="shared" ref="P44:P47" si="12">P43</f>
        <v>1.3888888888888888E-2</v>
      </c>
      <c r="Q44" s="148"/>
    </row>
    <row r="45" spans="2:18" ht="45" x14ac:dyDescent="0.25">
      <c r="B45" s="103" t="s">
        <v>98</v>
      </c>
      <c r="C45" s="58" t="str">
        <f>'Orçamento estimativo'!C19</f>
        <v>Projeto de Arquitetura (definição/atualização de novos: layout, mobiliário, pisos, forro, cobertura, paredes, paisagismo, etc)</v>
      </c>
      <c r="D45" s="85"/>
      <c r="E45" s="116"/>
      <c r="F45" s="6"/>
      <c r="G45" s="116"/>
      <c r="H45" s="6"/>
      <c r="I45" s="132"/>
      <c r="J45" s="6"/>
      <c r="K45" s="132"/>
      <c r="L45" s="6"/>
      <c r="M45" s="132"/>
      <c r="N45" s="6"/>
      <c r="O45" s="121"/>
      <c r="P45" s="6">
        <f t="shared" si="12"/>
        <v>1.3888888888888888E-2</v>
      </c>
      <c r="Q45" s="148"/>
    </row>
    <row r="46" spans="2:18" x14ac:dyDescent="0.25">
      <c r="B46" s="103" t="s">
        <v>98</v>
      </c>
      <c r="C46" s="58" t="str">
        <f>'Orçamento estimativo'!C20</f>
        <v>Orçamento  2ª etapa</v>
      </c>
      <c r="D46" s="106"/>
      <c r="E46" s="130"/>
      <c r="F46" s="100"/>
      <c r="G46" s="130"/>
      <c r="H46" s="100"/>
      <c r="I46" s="133"/>
      <c r="J46" s="100"/>
      <c r="K46" s="133"/>
      <c r="L46" s="100"/>
      <c r="M46" s="133"/>
      <c r="N46" s="100"/>
      <c r="O46" s="144"/>
      <c r="P46" s="6">
        <f t="shared" si="12"/>
        <v>1.3888888888888888E-2</v>
      </c>
      <c r="Q46" s="148"/>
    </row>
    <row r="47" spans="2:18" ht="15.75" thickBot="1" x14ac:dyDescent="0.3">
      <c r="B47" s="103" t="s">
        <v>98</v>
      </c>
      <c r="C47" s="162" t="str">
        <f>'Orçamento estimativo'!C21</f>
        <v>Memorial descritivo e especificações da 2ª etapa</v>
      </c>
      <c r="D47" s="85"/>
      <c r="E47" s="116"/>
      <c r="F47" s="6"/>
      <c r="G47" s="116"/>
      <c r="H47" s="6"/>
      <c r="I47" s="132"/>
      <c r="J47" s="6"/>
      <c r="K47" s="132"/>
      <c r="L47" s="6"/>
      <c r="M47" s="132"/>
      <c r="N47" s="6"/>
      <c r="O47" s="121"/>
      <c r="P47" s="6">
        <f t="shared" si="12"/>
        <v>1.3888888888888888E-2</v>
      </c>
      <c r="Q47" s="148"/>
    </row>
    <row r="48" spans="2:18" ht="15.75" thickBot="1" x14ac:dyDescent="0.3">
      <c r="B48" s="149" t="s">
        <v>111</v>
      </c>
      <c r="C48" s="151"/>
      <c r="D48" s="152">
        <f t="shared" ref="D48:Q48" si="13">SUM(D34:D47)</f>
        <v>8.3333333333333329E-2</v>
      </c>
      <c r="E48" s="153">
        <f t="shared" si="13"/>
        <v>0</v>
      </c>
      <c r="F48" s="152">
        <f t="shared" si="13"/>
        <v>8.3333333333333329E-2</v>
      </c>
      <c r="G48" s="153">
        <f t="shared" si="13"/>
        <v>0</v>
      </c>
      <c r="H48" s="152">
        <f t="shared" si="13"/>
        <v>8.3333333333333329E-2</v>
      </c>
      <c r="I48" s="153">
        <f t="shared" si="13"/>
        <v>0</v>
      </c>
      <c r="J48" s="152">
        <f t="shared" si="13"/>
        <v>8.3333333333333329E-2</v>
      </c>
      <c r="K48" s="153">
        <f t="shared" si="13"/>
        <v>0</v>
      </c>
      <c r="L48" s="152">
        <f t="shared" si="13"/>
        <v>8.3333333333333329E-2</v>
      </c>
      <c r="M48" s="153">
        <f t="shared" si="13"/>
        <v>0</v>
      </c>
      <c r="N48" s="152">
        <f t="shared" si="13"/>
        <v>8.3333333333333329E-2</v>
      </c>
      <c r="O48" s="153">
        <f t="shared" si="13"/>
        <v>0</v>
      </c>
      <c r="P48" s="152">
        <f t="shared" si="13"/>
        <v>8.3333333333333343E-2</v>
      </c>
      <c r="Q48" s="153">
        <f t="shared" si="13"/>
        <v>0</v>
      </c>
      <c r="R48" s="155">
        <f>E48+G48+I48+K48+M48+O48+Q48</f>
        <v>0</v>
      </c>
    </row>
    <row r="49" spans="2:18" x14ac:dyDescent="0.25">
      <c r="B49"/>
      <c r="C49"/>
      <c r="D49" s="4"/>
      <c r="E49" s="118"/>
      <c r="F49" s="4"/>
      <c r="G49" s="118"/>
      <c r="H49" s="4"/>
      <c r="I49" s="118"/>
      <c r="J49" s="4"/>
      <c r="K49" s="118"/>
      <c r="L49" s="4"/>
      <c r="M49" s="118"/>
      <c r="N49" s="4"/>
      <c r="O49" s="118"/>
      <c r="P49" s="4"/>
      <c r="Q49" s="118"/>
      <c r="R49" s="4"/>
    </row>
    <row r="50" spans="2:18" x14ac:dyDescent="0.25">
      <c r="M50" s="143"/>
    </row>
    <row r="51" spans="2:18" ht="15.75" thickBot="1" x14ac:dyDescent="0.3">
      <c r="B51" s="202" t="s">
        <v>102</v>
      </c>
      <c r="C51" s="202"/>
      <c r="D51" s="202"/>
      <c r="E51" s="202"/>
      <c r="F51" s="202"/>
    </row>
    <row r="52" spans="2:18" ht="15.75" thickBot="1" x14ac:dyDescent="0.3">
      <c r="C52" s="98" t="s">
        <v>100</v>
      </c>
      <c r="D52" s="200" t="s">
        <v>91</v>
      </c>
      <c r="E52" s="201"/>
      <c r="F52" s="200" t="s">
        <v>92</v>
      </c>
      <c r="G52" s="201"/>
      <c r="H52" s="99"/>
    </row>
    <row r="53" spans="2:18" ht="15.75" thickBot="1" x14ac:dyDescent="0.3">
      <c r="C53" s="98"/>
      <c r="D53" s="139" t="s">
        <v>104</v>
      </c>
      <c r="E53" s="140" t="s">
        <v>105</v>
      </c>
      <c r="F53" s="139" t="s">
        <v>104</v>
      </c>
      <c r="G53" s="140" t="s">
        <v>105</v>
      </c>
      <c r="H53" s="99"/>
    </row>
    <row r="54" spans="2:18" ht="45" x14ac:dyDescent="0.25">
      <c r="B54" s="102" t="s">
        <v>96</v>
      </c>
      <c r="C54" s="179" t="str">
        <f>'Orçamento estimativo'!C24</f>
        <v>Projeto de compatibilização do térreo e subsolo (protocolo, sala do cidadão, recepção, auditório, almoxarifado, arquivo, etc)</v>
      </c>
      <c r="D54" s="83">
        <f>'Desembolso mensal'!M13/4</f>
        <v>2.0833333333333332E-2</v>
      </c>
      <c r="E54" s="131"/>
      <c r="F54" s="105"/>
      <c r="G54" s="124"/>
      <c r="H54" s="101"/>
    </row>
    <row r="55" spans="2:18" ht="30.75" thickBot="1" x14ac:dyDescent="0.3">
      <c r="B55" s="104" t="s">
        <v>96</v>
      </c>
      <c r="C55" s="180" t="s">
        <v>121</v>
      </c>
      <c r="D55" s="91">
        <f>D54</f>
        <v>2.0833333333333332E-2</v>
      </c>
      <c r="E55" s="134"/>
      <c r="F55" s="88"/>
      <c r="G55" s="126"/>
      <c r="H55" s="101"/>
    </row>
    <row r="56" spans="2:18" ht="45" x14ac:dyDescent="0.25">
      <c r="B56" s="102" t="s">
        <v>97</v>
      </c>
      <c r="C56" s="179" t="str">
        <f>C54</f>
        <v>Projeto de compatibilização do térreo e subsolo (protocolo, sala do cidadão, recepção, auditório, almoxarifado, arquivo, etc)</v>
      </c>
      <c r="D56" s="89">
        <f>D55</f>
        <v>2.0833333333333332E-2</v>
      </c>
      <c r="E56" s="141"/>
      <c r="F56" s="127"/>
      <c r="G56" s="142"/>
      <c r="H56" s="101"/>
    </row>
    <row r="57" spans="2:18" ht="30.75" thickBot="1" x14ac:dyDescent="0.3">
      <c r="B57" s="104" t="s">
        <v>97</v>
      </c>
      <c r="C57" s="180" t="s">
        <v>121</v>
      </c>
      <c r="D57" s="91">
        <f>D56</f>
        <v>2.0833333333333332E-2</v>
      </c>
      <c r="E57" s="134"/>
      <c r="F57" s="88"/>
      <c r="G57" s="126"/>
      <c r="H57" s="101"/>
    </row>
    <row r="58" spans="2:18" ht="45" x14ac:dyDescent="0.25">
      <c r="B58" s="102" t="s">
        <v>98</v>
      </c>
      <c r="C58" s="179" t="str">
        <f>'Orçamento estimativo'!C24</f>
        <v>Projeto de compatibilização do térreo e subsolo (protocolo, sala do cidadão, recepção, auditório, almoxarifado, arquivo, etc)</v>
      </c>
      <c r="D58" s="89"/>
      <c r="E58" s="141"/>
      <c r="F58" s="90">
        <f>'Desembolso mensal'!N13/4</f>
        <v>2.0833333333333332E-2</v>
      </c>
      <c r="G58" s="142"/>
      <c r="H58" s="101"/>
    </row>
    <row r="59" spans="2:18" ht="30" x14ac:dyDescent="0.25">
      <c r="B59" s="103" t="s">
        <v>98</v>
      </c>
      <c r="C59" s="181" t="s">
        <v>121</v>
      </c>
      <c r="D59" s="85"/>
      <c r="E59" s="132"/>
      <c r="F59" s="6">
        <f>F58</f>
        <v>2.0833333333333332E-2</v>
      </c>
      <c r="G59" s="125"/>
      <c r="H59" s="101"/>
    </row>
    <row r="60" spans="2:18" x14ac:dyDescent="0.25">
      <c r="B60" s="103" t="s">
        <v>98</v>
      </c>
      <c r="C60" s="181" t="str">
        <f>'Orçamento estimativo'!C27</f>
        <v>Orçamento  3ª etapa</v>
      </c>
      <c r="D60" s="85"/>
      <c r="E60" s="132"/>
      <c r="F60" s="6">
        <f>F59</f>
        <v>2.0833333333333332E-2</v>
      </c>
      <c r="G60" s="125"/>
      <c r="H60" s="101"/>
    </row>
    <row r="61" spans="2:18" ht="15.75" thickBot="1" x14ac:dyDescent="0.3">
      <c r="B61" s="103" t="s">
        <v>98</v>
      </c>
      <c r="C61" s="180" t="str">
        <f>'Orçamento estimativo'!C28</f>
        <v>Memorial descritivo e especificações da 3ª etapa</v>
      </c>
      <c r="D61" s="106"/>
      <c r="E61" s="133"/>
      <c r="F61" s="100">
        <f>F60</f>
        <v>2.0833333333333332E-2</v>
      </c>
      <c r="G61" s="146"/>
      <c r="H61" s="101" t="s">
        <v>112</v>
      </c>
    </row>
    <row r="62" spans="2:18" ht="15.75" thickBot="1" x14ac:dyDescent="0.3">
      <c r="B62" s="149" t="s">
        <v>113</v>
      </c>
      <c r="C62" s="151"/>
      <c r="D62" s="152">
        <f>SUM(D54:D61)</f>
        <v>8.3333333333333329E-2</v>
      </c>
      <c r="E62" s="153">
        <f>SUM(E54:E61)</f>
        <v>0</v>
      </c>
      <c r="F62" s="152">
        <f>SUM(F54:F61)</f>
        <v>8.3333333333333329E-2</v>
      </c>
      <c r="G62" s="153">
        <f>SUM(G54:G61)</f>
        <v>0</v>
      </c>
      <c r="H62" s="155">
        <f>E62+G62</f>
        <v>0</v>
      </c>
    </row>
  </sheetData>
  <mergeCells count="16">
    <mergeCell ref="F52:G52"/>
    <mergeCell ref="D52:E52"/>
    <mergeCell ref="B4:I4"/>
    <mergeCell ref="B31:I31"/>
    <mergeCell ref="B51:F51"/>
    <mergeCell ref="D5:E5"/>
    <mergeCell ref="D32:E32"/>
    <mergeCell ref="F32:G32"/>
    <mergeCell ref="H32:I32"/>
    <mergeCell ref="F5:G5"/>
    <mergeCell ref="H5:I5"/>
    <mergeCell ref="C2:I2"/>
    <mergeCell ref="J32:K32"/>
    <mergeCell ref="L32:M32"/>
    <mergeCell ref="P32:Q32"/>
    <mergeCell ref="N32:O32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J19"/>
  <sheetViews>
    <sheetView workbookViewId="0">
      <selection activeCell="F30" sqref="F30"/>
    </sheetView>
  </sheetViews>
  <sheetFormatPr defaultRowHeight="15" x14ac:dyDescent="0.25"/>
  <cols>
    <col min="3" max="3" width="17.28515625" style="1" customWidth="1"/>
    <col min="4" max="4" width="10.85546875" customWidth="1"/>
    <col min="5" max="5" width="11.140625" customWidth="1"/>
    <col min="6" max="6" width="12.140625" customWidth="1"/>
    <col min="7" max="7" width="11.7109375" bestFit="1" customWidth="1"/>
    <col min="8" max="8" width="12.85546875" style="1" customWidth="1"/>
  </cols>
  <sheetData>
    <row r="6" spans="3:10" ht="15.75" thickBot="1" x14ac:dyDescent="0.3">
      <c r="C6" s="206" t="s">
        <v>53</v>
      </c>
      <c r="D6" s="206"/>
      <c r="E6" s="206"/>
      <c r="F6" s="206"/>
      <c r="G6" s="206"/>
      <c r="H6" s="206"/>
    </row>
    <row r="7" spans="3:10" ht="31.5" customHeight="1" thickBot="1" x14ac:dyDescent="0.3">
      <c r="C7" s="50" t="s">
        <v>24</v>
      </c>
      <c r="D7" s="50" t="s">
        <v>48</v>
      </c>
      <c r="E7" s="50" t="s">
        <v>49</v>
      </c>
      <c r="F7" s="50" t="s">
        <v>50</v>
      </c>
      <c r="G7" s="50" t="s">
        <v>51</v>
      </c>
      <c r="H7" s="50" t="s">
        <v>54</v>
      </c>
    </row>
    <row r="8" spans="3:10" x14ac:dyDescent="0.25">
      <c r="C8" s="43" t="s">
        <v>25</v>
      </c>
      <c r="D8" s="45">
        <v>2</v>
      </c>
      <c r="E8" s="46">
        <v>3</v>
      </c>
      <c r="F8" s="46">
        <v>3</v>
      </c>
      <c r="G8" s="46">
        <v>4</v>
      </c>
      <c r="H8" s="49">
        <f>SUM(D8:G8)</f>
        <v>12</v>
      </c>
      <c r="I8">
        <f>H8/4</f>
        <v>3</v>
      </c>
      <c r="J8" t="s">
        <v>52</v>
      </c>
    </row>
    <row r="9" spans="3:10" x14ac:dyDescent="0.25">
      <c r="C9" s="44" t="s">
        <v>29</v>
      </c>
      <c r="D9" s="47" t="s">
        <v>44</v>
      </c>
      <c r="E9" s="48">
        <v>12</v>
      </c>
      <c r="F9" s="48">
        <v>8</v>
      </c>
      <c r="G9" s="48">
        <v>8</v>
      </c>
      <c r="H9" s="49">
        <f t="shared" ref="H9:H10" si="0">SUM(D9:G9)</f>
        <v>28</v>
      </c>
      <c r="I9">
        <f t="shared" ref="I9:I11" si="1">H9/4</f>
        <v>7</v>
      </c>
      <c r="J9" t="s">
        <v>52</v>
      </c>
    </row>
    <row r="10" spans="3:10" ht="15.75" thickBot="1" x14ac:dyDescent="0.3">
      <c r="C10" s="51" t="s">
        <v>40</v>
      </c>
      <c r="D10" s="52" t="s">
        <v>44</v>
      </c>
      <c r="E10" s="53">
        <v>2</v>
      </c>
      <c r="F10" s="53">
        <v>2</v>
      </c>
      <c r="G10" s="53">
        <v>4</v>
      </c>
      <c r="H10" s="54">
        <f t="shared" si="0"/>
        <v>8</v>
      </c>
      <c r="I10">
        <f t="shared" si="1"/>
        <v>2</v>
      </c>
      <c r="J10" t="s">
        <v>52</v>
      </c>
    </row>
    <row r="11" spans="3:10" ht="15.75" thickBot="1" x14ac:dyDescent="0.3">
      <c r="C11" s="55" t="s">
        <v>55</v>
      </c>
      <c r="D11" s="64"/>
      <c r="E11" s="64"/>
      <c r="F11" s="64"/>
      <c r="G11" s="64"/>
      <c r="H11" s="56">
        <f>SUM(H8:H10)</f>
        <v>48</v>
      </c>
      <c r="I11">
        <f t="shared" si="1"/>
        <v>12</v>
      </c>
      <c r="J11" t="s">
        <v>52</v>
      </c>
    </row>
    <row r="13" spans="3:10" x14ac:dyDescent="0.25">
      <c r="D13" s="2">
        <f>D8/$H$11</f>
        <v>4.1666666666666664E-2</v>
      </c>
      <c r="E13" s="2">
        <f t="shared" ref="E13:H13" si="2">E8/$H$11</f>
        <v>6.25E-2</v>
      </c>
      <c r="F13" s="2">
        <f t="shared" si="2"/>
        <v>6.25E-2</v>
      </c>
      <c r="G13" s="2">
        <f t="shared" si="2"/>
        <v>8.3333333333333329E-2</v>
      </c>
      <c r="H13" s="2">
        <f t="shared" si="2"/>
        <v>0.25</v>
      </c>
    </row>
    <row r="14" spans="3:10" x14ac:dyDescent="0.25">
      <c r="D14" s="2"/>
      <c r="E14" s="2">
        <f>E9/$H$11</f>
        <v>0.25</v>
      </c>
      <c r="F14" s="2">
        <f t="shared" ref="F14:H14" si="3">F9/$H$11</f>
        <v>0.16666666666666666</v>
      </c>
      <c r="G14" s="2">
        <f t="shared" si="3"/>
        <v>0.16666666666666666</v>
      </c>
      <c r="H14" s="2">
        <f t="shared" si="3"/>
        <v>0.58333333333333337</v>
      </c>
    </row>
    <row r="15" spans="3:10" x14ac:dyDescent="0.25">
      <c r="D15" s="2"/>
      <c r="E15" s="2">
        <f>E10/$H$11</f>
        <v>4.1666666666666664E-2</v>
      </c>
      <c r="F15" s="2">
        <f t="shared" ref="F15:H15" si="4">F10/$H$11</f>
        <v>4.1666666666666664E-2</v>
      </c>
      <c r="G15" s="2">
        <f t="shared" si="4"/>
        <v>8.3333333333333329E-2</v>
      </c>
      <c r="H15" s="2">
        <f t="shared" si="4"/>
        <v>0.16666666666666666</v>
      </c>
    </row>
    <row r="16" spans="3:10" x14ac:dyDescent="0.25">
      <c r="D16" s="2"/>
      <c r="E16" s="2"/>
      <c r="F16" s="2"/>
      <c r="G16" s="2"/>
      <c r="H16" s="4">
        <f>H13+H14+H15</f>
        <v>1</v>
      </c>
    </row>
    <row r="17" spans="4:8" x14ac:dyDescent="0.25">
      <c r="D17" s="2"/>
      <c r="E17" s="2"/>
      <c r="F17" s="2"/>
      <c r="G17" s="2"/>
      <c r="H17" s="4"/>
    </row>
    <row r="18" spans="4:8" x14ac:dyDescent="0.25">
      <c r="D18" s="2"/>
      <c r="E18" s="2"/>
      <c r="F18" s="2"/>
      <c r="G18" s="2"/>
      <c r="H18" s="4"/>
    </row>
    <row r="19" spans="4:8" x14ac:dyDescent="0.25">
      <c r="D19" s="2"/>
      <c r="E19" s="2"/>
      <c r="F19" s="2"/>
      <c r="G19" s="2"/>
      <c r="H19" s="4"/>
    </row>
  </sheetData>
  <mergeCells count="1">
    <mergeCell ref="C6:H6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D14"/>
  <sheetViews>
    <sheetView workbookViewId="0">
      <selection activeCell="C30" sqref="C30"/>
    </sheetView>
  </sheetViews>
  <sheetFormatPr defaultRowHeight="15" x14ac:dyDescent="0.25"/>
  <cols>
    <col min="3" max="3" width="7.140625" bestFit="1" customWidth="1"/>
    <col min="4" max="4" width="7.7109375" bestFit="1" customWidth="1"/>
    <col min="5" max="11" width="6.140625" bestFit="1" customWidth="1"/>
    <col min="12" max="14" width="7.140625" bestFit="1" customWidth="1"/>
    <col min="16" max="16" width="9.140625" customWidth="1"/>
    <col min="17" max="17" width="9.5703125" customWidth="1"/>
    <col min="18" max="18" width="26.140625" bestFit="1" customWidth="1"/>
  </cols>
  <sheetData>
    <row r="3" spans="2:30" x14ac:dyDescent="0.25">
      <c r="AD3" s="2"/>
    </row>
    <row r="4" spans="2:30" x14ac:dyDescent="0.25">
      <c r="AD4" s="2"/>
    </row>
    <row r="5" spans="2:30" x14ac:dyDescent="0.25">
      <c r="AD5" s="2"/>
    </row>
    <row r="6" spans="2:30" x14ac:dyDescent="0.25">
      <c r="AD6" s="2"/>
    </row>
    <row r="7" spans="2:30" x14ac:dyDescent="0.25">
      <c r="AD7" s="2"/>
    </row>
    <row r="8" spans="2:30" x14ac:dyDescent="0.25">
      <c r="AD8" s="2"/>
    </row>
    <row r="9" spans="2:30" ht="15.75" thickBot="1" x14ac:dyDescent="0.3">
      <c r="AD9" s="2"/>
    </row>
    <row r="10" spans="2:30" ht="15.75" thickBot="1" x14ac:dyDescent="0.3">
      <c r="B10" s="50" t="s">
        <v>24</v>
      </c>
      <c r="C10" s="50" t="s">
        <v>62</v>
      </c>
      <c r="D10" s="50" t="s">
        <v>63</v>
      </c>
      <c r="E10" s="50" t="s">
        <v>64</v>
      </c>
      <c r="F10" s="50" t="s">
        <v>65</v>
      </c>
      <c r="G10" s="50" t="s">
        <v>66</v>
      </c>
      <c r="H10" s="50" t="s">
        <v>67</v>
      </c>
      <c r="I10" s="50" t="s">
        <v>68</v>
      </c>
      <c r="J10" s="50" t="s">
        <v>69</v>
      </c>
      <c r="K10" s="50" t="s">
        <v>70</v>
      </c>
      <c r="L10" s="50" t="s">
        <v>71</v>
      </c>
      <c r="M10" s="50" t="s">
        <v>72</v>
      </c>
      <c r="N10" s="74" t="s">
        <v>73</v>
      </c>
      <c r="O10" s="23" t="s">
        <v>41</v>
      </c>
      <c r="AD10" s="2"/>
    </row>
    <row r="11" spans="2:30" x14ac:dyDescent="0.25">
      <c r="B11" s="43" t="s">
        <v>25</v>
      </c>
      <c r="C11" s="65">
        <f>'prazos de execução'!D13+'prazos de execução'!E13</f>
        <v>0.10416666666666666</v>
      </c>
      <c r="D11" s="66">
        <f>'prazos de execução'!F13</f>
        <v>6.25E-2</v>
      </c>
      <c r="E11" s="66">
        <f>'prazos de execução'!G13</f>
        <v>8.3333333333333329E-2</v>
      </c>
      <c r="F11" s="66"/>
      <c r="G11" s="72"/>
      <c r="H11" s="72"/>
      <c r="I11" s="72"/>
      <c r="J11" s="72"/>
      <c r="K11" s="72"/>
      <c r="L11" s="72"/>
      <c r="M11" s="72"/>
      <c r="N11" s="75"/>
      <c r="O11" s="80">
        <f>SUM(C11:N11)</f>
        <v>0.25</v>
      </c>
    </row>
    <row r="12" spans="2:30" x14ac:dyDescent="0.25">
      <c r="B12" s="44" t="s">
        <v>29</v>
      </c>
      <c r="C12" s="67" t="s">
        <v>44</v>
      </c>
      <c r="D12" s="68"/>
      <c r="E12" s="68"/>
      <c r="F12" s="68">
        <f>'prazos de execução'!E14/3</f>
        <v>8.3333333333333329E-2</v>
      </c>
      <c r="G12" s="71">
        <f>F12</f>
        <v>8.3333333333333329E-2</v>
      </c>
      <c r="H12" s="71">
        <f>G12</f>
        <v>8.3333333333333329E-2</v>
      </c>
      <c r="I12" s="71">
        <f>'prazos de execução'!G14/2</f>
        <v>8.3333333333333329E-2</v>
      </c>
      <c r="J12" s="71">
        <f>I12</f>
        <v>8.3333333333333329E-2</v>
      </c>
      <c r="K12" s="71">
        <f>'prazos de execução'!G14/2</f>
        <v>8.3333333333333329E-2</v>
      </c>
      <c r="L12" s="71">
        <f>'prazos de execução'!G14/2</f>
        <v>8.3333333333333329E-2</v>
      </c>
      <c r="M12" s="71"/>
      <c r="N12" s="76"/>
      <c r="O12" s="78">
        <f t="shared" ref="O12:O13" si="0">SUM(C12:N12)</f>
        <v>0.58333333333333326</v>
      </c>
    </row>
    <row r="13" spans="2:30" ht="15.75" thickBot="1" x14ac:dyDescent="0.3">
      <c r="B13" s="51" t="s">
        <v>40</v>
      </c>
      <c r="C13" s="69" t="s">
        <v>44</v>
      </c>
      <c r="D13" s="70"/>
      <c r="E13" s="70"/>
      <c r="F13" s="70"/>
      <c r="G13" s="73"/>
      <c r="H13" s="73"/>
      <c r="I13" s="73"/>
      <c r="J13" s="73"/>
      <c r="K13" s="73"/>
      <c r="L13" s="73"/>
      <c r="M13" s="73">
        <f>'prazos de execução'!F15+'prazos de execução'!E15</f>
        <v>8.3333333333333329E-2</v>
      </c>
      <c r="N13" s="77">
        <f>'prazos de execução'!G15</f>
        <v>8.3333333333333329E-2</v>
      </c>
      <c r="O13" s="79">
        <f t="shared" si="0"/>
        <v>0.16666666666666666</v>
      </c>
    </row>
    <row r="14" spans="2:30" x14ac:dyDescent="0.25"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>
        <f>SUM(O11:O13)</f>
        <v>0.99999999999999989</v>
      </c>
    </row>
  </sheetData>
  <pageMargins left="0.511811024" right="0.511811024" top="0.78740157499999996" bottom="0.78740157499999996" header="0.31496062000000002" footer="0.31496062000000002"/>
  <pageSetup paperSize="9" orientation="portrait" verticalDpi="0" r:id="rId1"/>
  <ignoredErrors>
    <ignoredError sqref="I12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10"/>
  <sheetViews>
    <sheetView workbookViewId="0">
      <selection activeCell="I21" sqref="I21"/>
    </sheetView>
  </sheetViews>
  <sheetFormatPr defaultRowHeight="15" x14ac:dyDescent="0.25"/>
  <cols>
    <col min="4" max="4" width="37.85546875" customWidth="1"/>
    <col min="5" max="5" width="23.140625" customWidth="1"/>
    <col min="6" max="6" width="27.28515625" customWidth="1"/>
  </cols>
  <sheetData>
    <row r="3" spans="3:6" ht="15.75" thickBot="1" x14ac:dyDescent="0.3"/>
    <row r="4" spans="3:6" ht="53.25" customHeight="1" thickBot="1" x14ac:dyDescent="0.3">
      <c r="C4" s="23" t="s">
        <v>14</v>
      </c>
      <c r="D4" s="23" t="s">
        <v>18</v>
      </c>
      <c r="E4" s="23" t="s">
        <v>57</v>
      </c>
      <c r="F4" s="23" t="s">
        <v>56</v>
      </c>
    </row>
    <row r="5" spans="3:6" x14ac:dyDescent="0.25">
      <c r="C5" s="39">
        <v>1</v>
      </c>
      <c r="D5" s="57" t="s">
        <v>58</v>
      </c>
      <c r="E5" s="62">
        <v>9482.25</v>
      </c>
      <c r="F5" s="59">
        <f>E5/2</f>
        <v>4741.125</v>
      </c>
    </row>
    <row r="6" spans="3:6" x14ac:dyDescent="0.25">
      <c r="C6" s="40">
        <v>3</v>
      </c>
      <c r="D6" s="58" t="s">
        <v>60</v>
      </c>
      <c r="E6" s="63">
        <f>'Orçamento estimativo'!F7</f>
        <v>873</v>
      </c>
      <c r="F6" s="60">
        <f>E6/2</f>
        <v>436.5</v>
      </c>
    </row>
    <row r="7" spans="3:6" x14ac:dyDescent="0.25">
      <c r="C7" s="40">
        <v>4</v>
      </c>
      <c r="D7" s="58" t="s">
        <v>61</v>
      </c>
      <c r="E7" s="63">
        <f>'Orçamento estimativo'!F11</f>
        <v>9482.25</v>
      </c>
      <c r="F7" s="60">
        <f>E7/2</f>
        <v>4741.125</v>
      </c>
    </row>
    <row r="8" spans="3:6" x14ac:dyDescent="0.25">
      <c r="C8" s="40">
        <v>7</v>
      </c>
      <c r="D8" s="58" t="s">
        <v>59</v>
      </c>
      <c r="E8" s="63">
        <f>'Orçamento estimativo'!F8</f>
        <v>9482.25</v>
      </c>
      <c r="F8" s="60">
        <f>E8/2</f>
        <v>4741.125</v>
      </c>
    </row>
    <row r="9" spans="3:6" ht="30" x14ac:dyDescent="0.25">
      <c r="C9" s="40">
        <v>8</v>
      </c>
      <c r="D9" s="58" t="s">
        <v>42</v>
      </c>
      <c r="E9" s="63">
        <f>'Orçamento estimativo'!F9</f>
        <v>9482.25</v>
      </c>
      <c r="F9" s="60">
        <f t="shared" ref="F9:F10" si="0">E9/2</f>
        <v>4741.125</v>
      </c>
    </row>
    <row r="10" spans="3:6" ht="15.75" thickBot="1" x14ac:dyDescent="0.3">
      <c r="C10" s="41">
        <v>11</v>
      </c>
      <c r="D10" s="162" t="s">
        <v>32</v>
      </c>
      <c r="E10" s="163">
        <f>'Orçamento estimativo'!F10</f>
        <v>9482.25</v>
      </c>
      <c r="F10" s="61">
        <f t="shared" si="0"/>
        <v>4741.125</v>
      </c>
    </row>
  </sheetData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</vt:i4>
      </vt:variant>
    </vt:vector>
  </HeadingPairs>
  <TitlesOfParts>
    <vt:vector size="7" baseType="lpstr">
      <vt:lpstr>Orçamento estimativo</vt:lpstr>
      <vt:lpstr>BDI</vt:lpstr>
      <vt:lpstr>Cronograma físico-financeiro</vt:lpstr>
      <vt:lpstr>prazos de execução</vt:lpstr>
      <vt:lpstr>Desembolso mensal</vt:lpstr>
      <vt:lpstr>Quantitativo Qualificação Tec</vt:lpstr>
      <vt:lpstr>'Orçamento estimativo'!Area_de_impressao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Martino Caldeira</dc:creator>
  <cp:lastModifiedBy>Mariana Martino Caldeira</cp:lastModifiedBy>
  <cp:lastPrinted>2019-02-20T18:16:28Z</cp:lastPrinted>
  <dcterms:created xsi:type="dcterms:W3CDTF">2017-11-17T18:27:05Z</dcterms:created>
  <dcterms:modified xsi:type="dcterms:W3CDTF">2019-03-25T18:49:06Z</dcterms:modified>
</cp:coreProperties>
</file>