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ue.vieira\Desktop\Pregão 17-2022\"/>
    </mc:Choice>
  </mc:AlternateContent>
  <xr:revisionPtr revIDLastSave="0" documentId="8_{B05E880D-769B-4CC6-9F66-A17E867E8861}" xr6:coauthVersionLast="47" xr6:coauthVersionMax="47" xr10:uidLastSave="{00000000-0000-0000-0000-000000000000}"/>
  <bookViews>
    <workbookView xWindow="-110" yWindow="-110" windowWidth="19420" windowHeight="10300" tabRatio="639" activeTab="1" xr2:uid="{00000000-000D-0000-FFFF-FFFF00000000}"/>
  </bookViews>
  <sheets>
    <sheet name="OBJETO" sheetId="20" r:id="rId1"/>
    <sheet name="Resumo" sheetId="12" r:id="rId2"/>
    <sheet name="Custos Fator K" sheetId="21" r:id="rId3"/>
    <sheet name="Estimativa Demanda" sheetId="22" r:id="rId4"/>
    <sheet name="Base Salarial Portaria" sheetId="17" r:id="rId5"/>
    <sheet name="Base Salarial Pesquisa" sheetId="23" r:id="rId6"/>
  </sheets>
  <externalReferences>
    <externalReference r:id="rId7"/>
  </externalReferences>
  <definedNames>
    <definedName name="Serviços">[1]Serviços!$A$2:$A$10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1" l="1"/>
  <c r="J17" i="21"/>
  <c r="J15" i="21"/>
  <c r="G4" i="22"/>
  <c r="I3" i="23"/>
  <c r="H11" i="21" s="1"/>
  <c r="I11" i="21" s="1"/>
  <c r="J11" i="21" s="1"/>
  <c r="D10" i="21"/>
  <c r="G19" i="22" l="1"/>
  <c r="H19" i="22" s="1"/>
  <c r="J19" i="22" s="1"/>
  <c r="H18" i="22"/>
  <c r="J18" i="22" s="1"/>
  <c r="G18" i="22"/>
  <c r="G17" i="22"/>
  <c r="H17" i="22" s="1"/>
  <c r="J17" i="22" s="1"/>
  <c r="G16" i="22"/>
  <c r="H16" i="22" s="1"/>
  <c r="J16" i="22" s="1"/>
  <c r="G15" i="22"/>
  <c r="H15" i="22" s="1"/>
  <c r="J15" i="22" s="1"/>
  <c r="H11" i="22"/>
  <c r="G11" i="22"/>
  <c r="E11" i="22"/>
  <c r="H10" i="22"/>
  <c r="G10" i="22"/>
  <c r="E10" i="22"/>
  <c r="H9" i="22"/>
  <c r="G9" i="22"/>
  <c r="I9" i="22" s="1"/>
  <c r="E9" i="22"/>
  <c r="H8" i="22"/>
  <c r="G8" i="22"/>
  <c r="E8" i="22"/>
  <c r="H7" i="22"/>
  <c r="G7" i="22"/>
  <c r="E7" i="22"/>
  <c r="H6" i="22"/>
  <c r="G6" i="22"/>
  <c r="E6" i="22"/>
  <c r="H5" i="22"/>
  <c r="G5" i="22"/>
  <c r="E5" i="22"/>
  <c r="H4" i="22"/>
  <c r="E4" i="22"/>
  <c r="H3" i="22"/>
  <c r="G3" i="22"/>
  <c r="E3" i="22"/>
  <c r="I4" i="22" l="1"/>
  <c r="I8" i="22"/>
  <c r="I5" i="22"/>
  <c r="I10" i="22"/>
  <c r="I6" i="22"/>
  <c r="I7" i="22"/>
  <c r="I3" i="22"/>
  <c r="I11" i="22"/>
  <c r="J20" i="22"/>
  <c r="H12" i="22"/>
  <c r="J7" i="22" l="1"/>
  <c r="K7" i="22" s="1"/>
  <c r="L7" i="22" s="1"/>
  <c r="M7" i="22" s="1"/>
  <c r="N7" i="22" s="1"/>
  <c r="J4" i="22"/>
  <c r="K4" i="22" s="1"/>
  <c r="L4" i="22" s="1"/>
  <c r="M4" i="22" s="1"/>
  <c r="J6" i="22"/>
  <c r="K6" i="22" s="1"/>
  <c r="L6" i="22" s="1"/>
  <c r="M6" i="22" s="1"/>
  <c r="N6" i="22" s="1"/>
  <c r="J9" i="22"/>
  <c r="K9" i="22" s="1"/>
  <c r="L9" i="22" s="1"/>
  <c r="M9" i="22" s="1"/>
  <c r="N9" i="22" s="1"/>
  <c r="J8" i="22"/>
  <c r="K8" i="22" s="1"/>
  <c r="L8" i="22" s="1"/>
  <c r="M8" i="22" s="1"/>
  <c r="N8" i="22" s="1"/>
  <c r="J5" i="22"/>
  <c r="K5" i="22" s="1"/>
  <c r="L5" i="22" s="1"/>
  <c r="M5" i="22" s="1"/>
  <c r="N5" i="22" s="1"/>
  <c r="J11" i="22"/>
  <c r="K11" i="22" s="1"/>
  <c r="L11" i="22" s="1"/>
  <c r="M11" i="22" s="1"/>
  <c r="N11" i="22" s="1"/>
  <c r="J3" i="22"/>
  <c r="K3" i="22" s="1"/>
  <c r="L3" i="22" s="1"/>
  <c r="M3" i="22" s="1"/>
  <c r="N3" i="22" s="1"/>
  <c r="J10" i="22"/>
  <c r="K10" i="22" s="1"/>
  <c r="L10" i="22" s="1"/>
  <c r="M10" i="22" s="1"/>
  <c r="N10" i="22" s="1"/>
  <c r="N12" i="22" l="1"/>
  <c r="I27" i="21" l="1"/>
  <c r="J27" i="21" s="1"/>
  <c r="J28" i="21" s="1"/>
  <c r="D10" i="12" s="1"/>
  <c r="F12" i="20" s="1"/>
  <c r="I20" i="21"/>
  <c r="I16" i="21"/>
  <c r="J16" i="21" s="1"/>
  <c r="D5" i="12" s="1"/>
  <c r="F7" i="20" s="1"/>
  <c r="I10" i="21"/>
  <c r="J10" i="21" s="1"/>
  <c r="I25" i="21"/>
  <c r="J25" i="21" s="1"/>
  <c r="I24" i="21"/>
  <c r="I22" i="21"/>
  <c r="I18" i="21"/>
  <c r="J18" i="21" s="1"/>
  <c r="D6" i="12" s="1"/>
  <c r="F8" i="20" s="1"/>
  <c r="I14" i="21"/>
  <c r="J14" i="21" s="1"/>
  <c r="I13" i="21"/>
  <c r="I8" i="21"/>
  <c r="J8" i="21" s="1"/>
  <c r="I7" i="21"/>
  <c r="I6" i="21"/>
  <c r="I5" i="21"/>
  <c r="G30" i="21"/>
  <c r="D27" i="21"/>
  <c r="D24" i="21"/>
  <c r="D22" i="21"/>
  <c r="D20" i="21"/>
  <c r="D18" i="21"/>
  <c r="D16" i="21"/>
  <c r="D13" i="21"/>
  <c r="D5" i="21"/>
  <c r="J12" i="21" l="1"/>
  <c r="D3" i="12" s="1"/>
  <c r="F5" i="20" s="1"/>
  <c r="J20" i="21"/>
  <c r="J21" i="21" s="1"/>
  <c r="D7" i="12" s="1"/>
  <c r="F9" i="20" s="1"/>
  <c r="J24" i="21"/>
  <c r="J26" i="21" s="1"/>
  <c r="D9" i="12" s="1"/>
  <c r="F11" i="20" s="1"/>
  <c r="J22" i="21"/>
  <c r="J23" i="21" s="1"/>
  <c r="D8" i="12" s="1"/>
  <c r="F10" i="20" s="1"/>
  <c r="J13" i="21"/>
  <c r="D4" i="12" s="1"/>
  <c r="F6" i="20" s="1"/>
  <c r="J7" i="21"/>
  <c r="J6" i="21"/>
  <c r="J5" i="21"/>
  <c r="D30" i="21"/>
  <c r="J9" i="21" l="1"/>
  <c r="D2" i="12" s="1"/>
  <c r="F4" i="20" s="1"/>
  <c r="J29" i="21"/>
  <c r="J30" i="21" s="1"/>
  <c r="K28" i="17" l="1"/>
  <c r="K27" i="17"/>
  <c r="K26" i="17"/>
  <c r="J26" i="17"/>
  <c r="J23" i="17"/>
  <c r="K22" i="17"/>
  <c r="K21" i="17"/>
  <c r="K20" i="17"/>
  <c r="J20" i="17"/>
  <c r="J13" i="17"/>
  <c r="K5" i="17"/>
  <c r="K4" i="17"/>
  <c r="K3" i="17"/>
  <c r="G7" i="20" l="1"/>
  <c r="G5" i="20"/>
  <c r="G6" i="20"/>
  <c r="G8" i="20"/>
  <c r="G9" i="20"/>
  <c r="G10" i="20"/>
  <c r="G11" i="20"/>
  <c r="G4" i="20" l="1"/>
  <c r="C11" i="12" l="1"/>
  <c r="D12" i="12" l="1"/>
  <c r="D13" i="12" s="1"/>
  <c r="G13" i="20" l="1"/>
  <c r="G12" i="20"/>
  <c r="G14" i="20" s="1"/>
</calcChain>
</file>

<file path=xl/sharedStrings.xml><?xml version="1.0" encoding="utf-8"?>
<sst xmlns="http://schemas.openxmlformats.org/spreadsheetml/2006/main" count="284" uniqueCount="185">
  <si>
    <t>OBJETO</t>
  </si>
  <si>
    <t>Prestação de serviços de sustentação e melhoria contínua de infraestrutura de TIC, sob o modelo de remuneração mensal por categoria de serviço com Nível Mínimo de Serviços (NMSE), sem garantia de consumo mínimo e sem dedicação exclusiva.</t>
  </si>
  <si>
    <t>Grupo</t>
  </si>
  <si>
    <t>Item</t>
  </si>
  <si>
    <t>Descrição</t>
  </si>
  <si>
    <t>Unidade</t>
  </si>
  <si>
    <t>Quantidade</t>
  </si>
  <si>
    <t>Custo Unitário Mensal</t>
  </si>
  <si>
    <t>Custo Anual Máximo</t>
  </si>
  <si>
    <t>Mês</t>
  </si>
  <si>
    <t>TOTAL MENSAL</t>
  </si>
  <si>
    <t>TOTAL ANUAL</t>
  </si>
  <si>
    <t>Nº Item</t>
  </si>
  <si>
    <t>Categoria</t>
  </si>
  <si>
    <t>Quantidade total de profissionais</t>
  </si>
  <si>
    <t>Total mensal máximo a ser pago pela ANM</t>
  </si>
  <si>
    <t>Central de Serviços e Monitoramento</t>
  </si>
  <si>
    <t>Banco de Dados</t>
  </si>
  <si>
    <t>Aplicações, virtualização e nuvem</t>
  </si>
  <si>
    <t>Serviços Corporativos</t>
  </si>
  <si>
    <t>Armazenamento e Backup</t>
  </si>
  <si>
    <t>DevOps</t>
  </si>
  <si>
    <t>Total profissionais</t>
  </si>
  <si>
    <t>Total Mensal Estimado</t>
  </si>
  <si>
    <t>Total Anual Estimado</t>
  </si>
  <si>
    <t xml:space="preserve">PORTARIA SGD/ME Nº 6.432, DE 15 DE JUNHO DE 2021 </t>
  </si>
  <si>
    <t>Fator K</t>
  </si>
  <si>
    <t>PORTARIA SGD/ME Nº 4.668, DE 23 DE MAIO DE 2022</t>
  </si>
  <si>
    <t>CBO</t>
  </si>
  <si>
    <t>Denominação do perfil</t>
  </si>
  <si>
    <t>Base Salarial Portaria</t>
  </si>
  <si>
    <t>Total mensal (apenas salário bruto)</t>
  </si>
  <si>
    <t>Esboço de distribuição</t>
  </si>
  <si>
    <t>3172-10</t>
  </si>
  <si>
    <t>Técnico de suporte ao usuário de tecnologia da informação Senior</t>
  </si>
  <si>
    <t>1 - Bloco U / 1 - Bloco B</t>
  </si>
  <si>
    <t>3132-20</t>
  </si>
  <si>
    <t>Técnico em manutenção de equipamentos de informática Senior</t>
  </si>
  <si>
    <t>1425-30</t>
  </si>
  <si>
    <t>Gerente de suporte técnico de tecnologia da informação</t>
  </si>
  <si>
    <t>NOC</t>
  </si>
  <si>
    <t>2124-20</t>
  </si>
  <si>
    <t>Total</t>
  </si>
  <si>
    <t>Gerente de infraestrutura de tecnologia da informação</t>
  </si>
  <si>
    <t>2123-5</t>
  </si>
  <si>
    <t>Administrador de banco de dados -  Senior</t>
  </si>
  <si>
    <t>Administrador de banco de dados - Pleno</t>
  </si>
  <si>
    <t>2123-15</t>
  </si>
  <si>
    <t>Administrador de sistemas operacionais Senior</t>
  </si>
  <si>
    <t>Analista de suporte computacional - Senior</t>
  </si>
  <si>
    <t>2124-10, 2123-10</t>
  </si>
  <si>
    <t>Analista de redes e de comunicação de dados Senior</t>
  </si>
  <si>
    <t>Analista de redes e de comunicação de dados Pleno</t>
  </si>
  <si>
    <t>2123-20</t>
  </si>
  <si>
    <t>Administrador em segurança da informação - Sênior</t>
  </si>
  <si>
    <t>Operação, projetos e SOC</t>
  </si>
  <si>
    <t>1425-25</t>
  </si>
  <si>
    <t>Gerente de segurança da informação</t>
  </si>
  <si>
    <t>2124-15, 2124-25</t>
  </si>
  <si>
    <t>Analista de sistemas de automação - Senior</t>
  </si>
  <si>
    <t>Total Mensal</t>
  </si>
  <si>
    <t>Total Anual</t>
  </si>
  <si>
    <t>(A)
Quantidade profissionais com alocação fixa</t>
  </si>
  <si>
    <t>(B)
Jornada fixa (8h diárias)</t>
  </si>
  <si>
    <t>(C)
Quantidade profissionais com alocação compartilhada</t>
  </si>
  <si>
    <t>(D)
Jornada compartilhada (30min diários)</t>
  </si>
  <si>
    <t>(E)
Quantidade total de profissionais, por Categoria (atualmente)</t>
  </si>
  <si>
    <t>(F)
Tempo mensal por Categoria (22 dias úteis)</t>
  </si>
  <si>
    <t>(G)
Proporção de profissionais por Categoria</t>
  </si>
  <si>
    <t>(H)
Tempo total de atendimento mensal esperado, proporcional por Categoria</t>
  </si>
  <si>
    <t>(I)
Capacidade para atendimento em tempo esperado, por Categoria</t>
  </si>
  <si>
    <t>(J)
Déficit</t>
  </si>
  <si>
    <t>(K)
Quantidade estimada de profissionais por Categoria, conforme metodologia</t>
  </si>
  <si>
    <t>Quantidade total de profissionais (atualmente)</t>
  </si>
  <si>
    <t>Contrato ANM 14/2017</t>
  </si>
  <si>
    <t>Quantitativo anual médio</t>
  </si>
  <si>
    <t>Quantitativo mensal médio (v1)</t>
  </si>
  <si>
    <t>Tempo esperado para atendimento (v2)</t>
  </si>
  <si>
    <t>Tempo total mensal = v1 x v2</t>
  </si>
  <si>
    <t>Requisições</t>
  </si>
  <si>
    <t>Incidentes</t>
  </si>
  <si>
    <t>Mudança Emergencial</t>
  </si>
  <si>
    <t>Mudança Padrão</t>
  </si>
  <si>
    <t>Problema</t>
  </si>
  <si>
    <r>
      <t>(A) </t>
    </r>
    <r>
      <rPr>
        <b/>
        <sz val="11"/>
        <rFont val="Calibri"/>
        <family val="2"/>
        <scheme val="minor"/>
      </rPr>
      <t>Quantidade de profissionais com alocação fixa</t>
    </r>
    <r>
      <rPr>
        <sz val="11"/>
        <rFont val="Calibri"/>
        <family val="2"/>
        <scheme val="minor"/>
      </rPr>
      <t> — foi considerada a estimativa do quantitativo atual de profissionais alocados presencialmente no ambiente da ANM</t>
    </r>
  </si>
  <si>
    <r>
      <t>(B) </t>
    </r>
    <r>
      <rPr>
        <b/>
        <sz val="11"/>
        <rFont val="Calibri"/>
        <family val="2"/>
        <scheme val="minor"/>
      </rPr>
      <t>Jornada fixa</t>
    </r>
    <r>
      <rPr>
        <sz val="11"/>
        <rFont val="Calibri"/>
        <family val="2"/>
        <scheme val="minor"/>
      </rPr>
      <t>— tempo de dedicação diária de 8 horas</t>
    </r>
  </si>
  <si>
    <r>
      <t>(C) </t>
    </r>
    <r>
      <rPr>
        <b/>
        <sz val="11"/>
        <rFont val="Calibri"/>
        <family val="2"/>
        <scheme val="minor"/>
      </rPr>
      <t>Quantidade de profissionais com alocação compartilhada</t>
    </r>
    <r>
      <rPr>
        <sz val="11"/>
        <rFont val="Calibri"/>
        <family val="2"/>
        <scheme val="minor"/>
      </rPr>
      <t> — foi considerada a estimativa do quantitativo atual de profissionais que são compartilhados entre vários órgãos</t>
    </r>
  </si>
  <si>
    <r>
      <t>(D)</t>
    </r>
    <r>
      <rPr>
        <b/>
        <sz val="11"/>
        <rFont val="Calibri"/>
        <family val="2"/>
        <scheme val="minor"/>
      </rPr>
      <t> Jornada compartilhada </t>
    </r>
    <r>
      <rPr>
        <sz val="11"/>
        <rFont val="Calibri"/>
        <family val="2"/>
        <scheme val="minor"/>
      </rPr>
      <t>— levando em conta que os profissionais bimodais atuam em diversos órgãos diferentes, foi considerada uma jornada de 30 minutos diários para fins do cálculo de estimativa</t>
    </r>
  </si>
  <si>
    <r>
      <t>(E) </t>
    </r>
    <r>
      <rPr>
        <b/>
        <sz val="11"/>
        <rFont val="Calibri"/>
        <family val="2"/>
        <scheme val="minor"/>
      </rPr>
      <t>Quantidade total de profissionais, por categoria</t>
    </r>
    <r>
      <rPr>
        <sz val="11"/>
        <rFont val="Calibri"/>
        <family val="2"/>
        <scheme val="minor"/>
      </rPr>
      <t>— quantitativo total de profissionais que atuam na ANM, considerando tanto aqueles que estão em alocação fixa quanto dos profissionais compartilhados</t>
    </r>
  </si>
  <si>
    <r>
      <t>(F) </t>
    </r>
    <r>
      <rPr>
        <b/>
        <sz val="11"/>
        <rFont val="Calibri"/>
        <family val="2"/>
        <scheme val="minor"/>
      </rPr>
      <t>Tempo mensal por categoria </t>
    </r>
    <r>
      <rPr>
        <sz val="11"/>
        <rFont val="Calibri"/>
        <family val="2"/>
        <scheme val="minor"/>
      </rPr>
      <t>— considerando um mês com dia 22 dias úteis, foi calculado o tempo mensal por categoria, tanto dos profissionais em alocação fixa quanto dos profissionais compartilhados</t>
    </r>
  </si>
  <si>
    <r>
      <t>(G) </t>
    </r>
    <r>
      <rPr>
        <b/>
        <sz val="11"/>
        <rFont val="Calibri"/>
        <family val="2"/>
        <scheme val="minor"/>
      </rPr>
      <t>Proporção de profissionais, por categoria </t>
    </r>
    <r>
      <rPr>
        <sz val="11"/>
        <rFont val="Calibri"/>
        <family val="2"/>
        <scheme val="minor"/>
      </rPr>
      <t>— é a fração de profissionais por categoria sobre o quantitativo total</t>
    </r>
  </si>
  <si>
    <r>
      <t>(H) </t>
    </r>
    <r>
      <rPr>
        <b/>
        <sz val="11"/>
        <rFont val="Calibri"/>
        <family val="2"/>
        <scheme val="minor"/>
      </rPr>
      <t>Tempo total de atendimento mensal esperado, proporcional por categoria </t>
    </r>
    <r>
      <rPr>
        <sz val="11"/>
        <rFont val="Calibri"/>
        <family val="2"/>
        <scheme val="minor"/>
      </rPr>
      <t>— considerando o tempo total de atendimento mensal esperado igual à 3.077,73 horas, e a proporção de profissionais por categoria, foi calculado o tempo total por categoria</t>
    </r>
  </si>
  <si>
    <r>
      <t>(I) </t>
    </r>
    <r>
      <rPr>
        <b/>
        <sz val="11"/>
        <rFont val="Calibri"/>
        <family val="2"/>
        <scheme val="minor"/>
      </rPr>
      <t>Capacidade para atendimento em tempo esperado, por categoria</t>
    </r>
    <r>
      <rPr>
        <sz val="11"/>
        <rFont val="Calibri"/>
        <family val="2"/>
        <scheme val="minor"/>
      </rPr>
      <t>— Tempo mensal por categoria(F) / Tempo total de atendimento mensal esperado, proporcional por categoria(H)</t>
    </r>
  </si>
  <si>
    <r>
      <t>(J) </t>
    </r>
    <r>
      <rPr>
        <b/>
        <sz val="11"/>
        <rFont val="Calibri"/>
        <family val="2"/>
        <scheme val="minor"/>
      </rPr>
      <t>Possível Déficit </t>
    </r>
    <r>
      <rPr>
        <sz val="11"/>
        <rFont val="Calibri"/>
        <family val="2"/>
        <scheme val="minor"/>
      </rPr>
      <t>— diante da capacidade de atendimento (I), observa-se que o tempo total de chamados é superior ao tempo disponível dos profissionais alocados, caracterizando um possível déficit na alocação da equipe</t>
    </r>
  </si>
  <si>
    <r>
      <t>(K) </t>
    </r>
    <r>
      <rPr>
        <b/>
        <sz val="11"/>
        <rFont val="Calibri"/>
        <family val="2"/>
        <scheme val="minor"/>
      </rPr>
      <t>Quantidade estimada ideal de profissionais por categoria</t>
    </r>
    <r>
      <rPr>
        <sz val="11"/>
        <rFont val="Calibri"/>
        <family val="2"/>
        <scheme val="minor"/>
      </rPr>
      <t>— Considerando o possível déficit, calcula-se a quantidade estimada ideal de profissionais por categoria</t>
    </r>
  </si>
  <si>
    <t>Nº de Amostras 2022</t>
  </si>
  <si>
    <t>COD PERFIL</t>
  </si>
  <si>
    <t>PERFIL</t>
  </si>
  <si>
    <t>Valor Salarial (R$) 2021</t>
  </si>
  <si>
    <t>Valor Salarial (R$)
2022</t>
  </si>
  <si>
    <t>Coeficiente de Variação (CV)
Amostras 2022</t>
  </si>
  <si>
    <t>CAGED</t>
  </si>
  <si>
    <t>PNAD</t>
  </si>
  <si>
    <t>Contratações Similares</t>
  </si>
  <si>
    <t>Guias Salariais</t>
  </si>
  <si>
    <t>TECSUP-01</t>
  </si>
  <si>
    <t>Técnico de suporte ao usuário de tecnologia da informação Junior</t>
  </si>
  <si>
    <t>TECSUP-02</t>
  </si>
  <si>
    <t>Técnico de suporte ao usuário de tecnologia da informação Pleno</t>
  </si>
  <si>
    <t>TECSUP-03</t>
  </si>
  <si>
    <t>TECMAN-01</t>
  </si>
  <si>
    <t>Técnico em manutenção de equipamentos de informática Junior</t>
  </si>
  <si>
    <t>TECMAN-02</t>
  </si>
  <si>
    <t>Técnico em manutenção de equipamentos de informática Pleno</t>
  </si>
  <si>
    <t>TECMAN-03</t>
  </si>
  <si>
    <t>GERSUP</t>
  </si>
  <si>
    <t>ASUPCOMP-01</t>
  </si>
  <si>
    <t>Analista de suporte computacional Junior</t>
  </si>
  <si>
    <t>ASUPCOMP-02</t>
  </si>
  <si>
    <t>Analista de suporte computacional Pleno</t>
  </si>
  <si>
    <t>ASUPCOMP-03</t>
  </si>
  <si>
    <t>Analista de suporte computacional Senior</t>
  </si>
  <si>
    <t xml:space="preserve">1425-5, 1425-15 </t>
  </si>
  <si>
    <t>GERINF</t>
  </si>
  <si>
    <t>ABD-01</t>
  </si>
  <si>
    <t>Administrador de banco de dados - Junior</t>
  </si>
  <si>
    <t>ABD-02</t>
  </si>
  <si>
    <t>Administrador de banco de dados -  Pleno</t>
  </si>
  <si>
    <t>ABD-03</t>
  </si>
  <si>
    <t>ASO-01</t>
  </si>
  <si>
    <t>Administrador de sistemas operacionais Junior</t>
  </si>
  <si>
    <t>ASO-02</t>
  </si>
  <si>
    <t>Administrador de sistemas operacionais Pleno</t>
  </si>
  <si>
    <t>ASO-03</t>
  </si>
  <si>
    <t>ARED-01</t>
  </si>
  <si>
    <t>Analista de redes e de comunicação de dados Junior</t>
  </si>
  <si>
    <t>ARED-02</t>
  </si>
  <si>
    <t>ARED-03</t>
  </si>
  <si>
    <t>3133-05,
3133-10</t>
  </si>
  <si>
    <t>TECRED-01</t>
  </si>
  <si>
    <t>Tecnico de Rede (Telecomunicacoes) Junior</t>
  </si>
  <si>
    <t>TECRED-02</t>
  </si>
  <si>
    <t>Tecnico de Rede (Telecomunicacoes) Pleno</t>
  </si>
  <si>
    <t>TECRED-03</t>
  </si>
  <si>
    <t>Tecnico de Rede (Telecomunicacoes) Senior</t>
  </si>
  <si>
    <t>3171-10, 2124-30, 2124-05</t>
  </si>
  <si>
    <t>DESTEC-01</t>
  </si>
  <si>
    <t>Desenvolvedor de sistemas de tecnologia da informação Junior</t>
  </si>
  <si>
    <t>DESTEC-02</t>
  </si>
  <si>
    <t>Desenvolvedor de sistemas de tecnologia da informação Pleno</t>
  </si>
  <si>
    <t>DESTEC-03</t>
  </si>
  <si>
    <t>Desenvolvedor de sistemas de tecnologia da informação Senior</t>
  </si>
  <si>
    <t>ASISA-01</t>
  </si>
  <si>
    <t>Analista de sistemas de automação - Junior</t>
  </si>
  <si>
    <t>ASISA-02</t>
  </si>
  <si>
    <t>Analista de sistemas de automação - Pleno</t>
  </si>
  <si>
    <t>ASISA-03</t>
  </si>
  <si>
    <t>ASEG-01</t>
  </si>
  <si>
    <t>Administrador em segurança da informação - Junior</t>
  </si>
  <si>
    <t>ASEG-02</t>
  </si>
  <si>
    <t>Administrador em segurança da informação - Pleno</t>
  </si>
  <si>
    <t>ASEG-03</t>
  </si>
  <si>
    <t>Administrador em segurança da informação - Senior</t>
  </si>
  <si>
    <t>GERSEG</t>
  </si>
  <si>
    <t>Portaria SGD/ME Nº 6.432 de 15 de Junho de 2021.</t>
  </si>
  <si>
    <t>Portaria SGD/ME Nº 4.668 de 23 de maio de 2022.</t>
  </si>
  <si>
    <t>Salario.com.br</t>
  </si>
  <si>
    <t>Glassdoor</t>
  </si>
  <si>
    <t>Vagas.com.br</t>
  </si>
  <si>
    <t>Michael Pages</t>
  </si>
  <si>
    <t>Roberthalf</t>
  </si>
  <si>
    <t>Valor Salarial (R$) 2023</t>
  </si>
  <si>
    <t>Gerente de Projeto</t>
  </si>
  <si>
    <t>1425-20</t>
  </si>
  <si>
    <t>GERENTE</t>
  </si>
  <si>
    <t>Gerente de Projetos de Tecnologia da Informação</t>
  </si>
  <si>
    <t>MÉDIA</t>
  </si>
  <si>
    <t>Base Salarial do anexo da Portaria SGD/ME 1.070 de 1 de junho de 2023</t>
  </si>
  <si>
    <t>Variação do Salário 2021/2022 (%)</t>
  </si>
  <si>
    <t xml:space="preserve">(*) - </t>
  </si>
  <si>
    <t>Conectividade e Comunicação</t>
  </si>
  <si>
    <t>Aplicações, Virtualização e Computação em Nuvem</t>
  </si>
  <si>
    <t>Segurança de TIC</t>
  </si>
  <si>
    <t xml:space="preserve">1425-15 </t>
  </si>
  <si>
    <t>Gerenciamento Técnico das Atividades Operacionais Gerenciadas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</si>
</sst>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[$R$-416]* #,##0.00_-;\-[$R$-416]* #,##0.00_-;_-[$R$-416]* &quot;-&quot;??_-;_-@"/>
    <numFmt numFmtId="165" formatCode="_-[$R$-416]\ * #,##0.00_-;\-[$R$-416]\ * #,##0.00_-;_-[$R$-416]\ * &quot;-&quot;??_-;_-@_-"/>
    <numFmt numFmtId="166" formatCode="[$R$ -416]#,##0.00"/>
    <numFmt numFmtId="167" formatCode="&quot; &quot;[$R$-416]&quot; &quot;#,##0.00&quot; &quot;;&quot;-&quot;[$R$-416]&quot; &quot;#,##0.00&quot; &quot;;&quot; &quot;[$R$-416]&quot; -&quot;00&quot; &quot;;&quot; &quot;@&quot; 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9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B7B7"/>
        <bgColor rgb="FFB7B7B7"/>
      </patternFill>
    </fill>
    <fill>
      <patternFill patternType="solid">
        <fgColor rgb="FFEFEFEF"/>
        <bgColor rgb="FFEFEFE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theme="0"/>
      </patternFill>
    </fill>
    <fill>
      <patternFill patternType="solid">
        <fgColor theme="0" tint="-0.249977111117893"/>
        <bgColor rgb="FFEFEFEF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0" fontId="15" fillId="0" borderId="0"/>
    <xf numFmtId="0" fontId="13" fillId="0" borderId="0"/>
    <xf numFmtId="167" fontId="13" fillId="0" borderId="0" applyFont="0" applyFill="0" applyBorder="0" applyAlignment="0" applyProtection="0"/>
    <xf numFmtId="0" fontId="15" fillId="0" borderId="0" applyNumberFormat="0" applyBorder="0" applyProtection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30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9" fontId="0" fillId="0" borderId="4" xfId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/>
    </xf>
    <xf numFmtId="1" fontId="0" fillId="4" borderId="4" xfId="0" applyNumberForma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center" vertical="center"/>
    </xf>
    <xf numFmtId="1" fontId="14" fillId="4" borderId="4" xfId="0" applyNumberFormat="1" applyFont="1" applyFill="1" applyBorder="1" applyAlignment="1">
      <alignment horizontal="center" vertical="center"/>
    </xf>
    <xf numFmtId="49" fontId="17" fillId="8" borderId="1" xfId="7" applyNumberFormat="1" applyFont="1" applyFill="1" applyBorder="1" applyAlignment="1">
      <alignment horizontal="center" vertical="center" wrapText="1"/>
    </xf>
    <xf numFmtId="49" fontId="16" fillId="0" borderId="16" xfId="7" applyNumberFormat="1" applyFont="1" applyBorder="1" applyAlignment="1">
      <alignment horizontal="left" vertical="center"/>
    </xf>
    <xf numFmtId="49" fontId="16" fillId="9" borderId="16" xfId="7" applyNumberFormat="1" applyFont="1" applyFill="1" applyBorder="1" applyAlignment="1">
      <alignment horizontal="left" vertical="center"/>
    </xf>
    <xf numFmtId="166" fontId="16" fillId="9" borderId="16" xfId="7" applyNumberFormat="1" applyFont="1" applyFill="1" applyBorder="1" applyAlignment="1">
      <alignment horizontal="left" vertical="center"/>
    </xf>
    <xf numFmtId="166" fontId="16" fillId="0" borderId="16" xfId="7" applyNumberFormat="1" applyFont="1" applyBorder="1" applyAlignment="1">
      <alignment horizontal="left" vertical="center"/>
    </xf>
    <xf numFmtId="166" fontId="16" fillId="0" borderId="17" xfId="7" applyNumberFormat="1" applyFont="1" applyBorder="1" applyAlignment="1">
      <alignment horizontal="left" vertical="center"/>
    </xf>
    <xf numFmtId="0" fontId="14" fillId="0" borderId="0" xfId="0" applyFont="1" applyAlignment="1">
      <alignment horizontal="left" vertical="center" indent="4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/>
    </xf>
    <xf numFmtId="49" fontId="22" fillId="8" borderId="1" xfId="0" applyNumberFormat="1" applyFont="1" applyFill="1" applyBorder="1" applyAlignment="1">
      <alignment horizontal="center" vertical="center" wrapText="1"/>
    </xf>
    <xf numFmtId="49" fontId="5" fillId="8" borderId="15" xfId="0" applyNumberFormat="1" applyFont="1" applyFill="1" applyBorder="1" applyAlignment="1">
      <alignment horizontal="center" vertical="center" wrapText="1"/>
    </xf>
    <xf numFmtId="49" fontId="23" fillId="8" borderId="1" xfId="0" applyNumberFormat="1" applyFont="1" applyFill="1" applyBorder="1" applyAlignment="1">
      <alignment horizontal="center" vertical="center" wrapText="1"/>
    </xf>
    <xf numFmtId="0" fontId="24" fillId="13" borderId="3" xfId="0" applyFont="1" applyFill="1" applyBorder="1" applyAlignment="1">
      <alignment horizontal="left"/>
    </xf>
    <xf numFmtId="0" fontId="25" fillId="13" borderId="21" xfId="0" applyFont="1" applyFill="1" applyBorder="1"/>
    <xf numFmtId="166" fontId="25" fillId="13" borderId="21" xfId="0" applyNumberFormat="1" applyFont="1" applyFill="1" applyBorder="1" applyAlignment="1">
      <alignment horizontal="right"/>
    </xf>
    <xf numFmtId="10" fontId="25" fillId="13" borderId="21" xfId="0" applyNumberFormat="1" applyFont="1" applyFill="1" applyBorder="1" applyAlignment="1">
      <alignment horizontal="center"/>
    </xf>
    <xf numFmtId="3" fontId="25" fillId="13" borderId="16" xfId="0" applyNumberFormat="1" applyFont="1" applyFill="1" applyBorder="1" applyAlignment="1">
      <alignment horizontal="center" vertical="center"/>
    </xf>
    <xf numFmtId="3" fontId="25" fillId="13" borderId="3" xfId="0" applyNumberFormat="1" applyFont="1" applyFill="1" applyBorder="1" applyAlignment="1">
      <alignment horizontal="center" vertical="center"/>
    </xf>
    <xf numFmtId="0" fontId="24" fillId="13" borderId="16" xfId="0" applyFont="1" applyFill="1" applyBorder="1" applyAlignment="1">
      <alignment horizontal="left"/>
    </xf>
    <xf numFmtId="0" fontId="25" fillId="13" borderId="22" xfId="0" applyFont="1" applyFill="1" applyBorder="1"/>
    <xf numFmtId="166" fontId="25" fillId="13" borderId="22" xfId="0" applyNumberFormat="1" applyFont="1" applyFill="1" applyBorder="1" applyAlignment="1">
      <alignment horizontal="right"/>
    </xf>
    <xf numFmtId="10" fontId="25" fillId="13" borderId="22" xfId="0" applyNumberFormat="1" applyFont="1" applyFill="1" applyBorder="1" applyAlignment="1">
      <alignment horizontal="center"/>
    </xf>
    <xf numFmtId="0" fontId="24" fillId="9" borderId="16" xfId="0" applyFont="1" applyFill="1" applyBorder="1" applyAlignment="1">
      <alignment horizontal="left"/>
    </xf>
    <xf numFmtId="0" fontId="25" fillId="9" borderId="22" xfId="0" applyFont="1" applyFill="1" applyBorder="1"/>
    <xf numFmtId="166" fontId="25" fillId="9" borderId="22" xfId="0" applyNumberFormat="1" applyFont="1" applyFill="1" applyBorder="1" applyAlignment="1">
      <alignment horizontal="right"/>
    </xf>
    <xf numFmtId="10" fontId="25" fillId="9" borderId="22" xfId="0" applyNumberFormat="1" applyFont="1" applyFill="1" applyBorder="1" applyAlignment="1">
      <alignment horizontal="center"/>
    </xf>
    <xf numFmtId="3" fontId="25" fillId="9" borderId="16" xfId="0" applyNumberFormat="1" applyFont="1" applyFill="1" applyBorder="1" applyAlignment="1">
      <alignment horizontal="center" vertical="center"/>
    </xf>
    <xf numFmtId="0" fontId="24" fillId="0" borderId="16" xfId="0" applyFont="1" applyBorder="1" applyAlignment="1">
      <alignment horizontal="left"/>
    </xf>
    <xf numFmtId="0" fontId="25" fillId="0" borderId="22" xfId="0" applyFont="1" applyBorder="1"/>
    <xf numFmtId="166" fontId="25" fillId="0" borderId="22" xfId="0" applyNumberFormat="1" applyFont="1" applyBorder="1" applyAlignment="1">
      <alignment horizontal="right"/>
    </xf>
    <xf numFmtId="10" fontId="25" fillId="0" borderId="22" xfId="0" applyNumberFormat="1" applyFont="1" applyBorder="1" applyAlignment="1">
      <alignment horizontal="center"/>
    </xf>
    <xf numFmtId="3" fontId="25" fillId="0" borderId="16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left"/>
    </xf>
    <xf numFmtId="0" fontId="25" fillId="0" borderId="23" xfId="0" applyFont="1" applyBorder="1"/>
    <xf numFmtId="166" fontId="25" fillId="0" borderId="23" xfId="0" applyNumberFormat="1" applyFont="1" applyBorder="1" applyAlignment="1">
      <alignment horizontal="right"/>
    </xf>
    <xf numFmtId="10" fontId="25" fillId="0" borderId="23" xfId="0" applyNumberFormat="1" applyFont="1" applyBorder="1" applyAlignment="1">
      <alignment horizontal="center"/>
    </xf>
    <xf numFmtId="3" fontId="25" fillId="0" borderId="17" xfId="0" applyNumberFormat="1" applyFont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11" fillId="5" borderId="13" xfId="8" applyFont="1" applyFill="1" applyBorder="1" applyAlignment="1">
      <alignment horizontal="right" vertical="center" wrapText="1"/>
    </xf>
    <xf numFmtId="2" fontId="11" fillId="5" borderId="14" xfId="8" applyNumberFormat="1" applyFont="1" applyFill="1" applyBorder="1" applyAlignment="1">
      <alignment horizontal="center" vertical="center" wrapText="1"/>
    </xf>
    <xf numFmtId="0" fontId="1" fillId="0" borderId="0" xfId="8"/>
    <xf numFmtId="10" fontId="3" fillId="5" borderId="19" xfId="8" applyNumberFormat="1" applyFont="1" applyFill="1" applyBorder="1" applyAlignment="1">
      <alignment horizontal="center" vertical="center" wrapText="1"/>
    </xf>
    <xf numFmtId="10" fontId="3" fillId="5" borderId="20" xfId="9" applyNumberFormat="1" applyFont="1" applyFill="1" applyBorder="1" applyAlignment="1">
      <alignment horizontal="center" vertical="center" wrapText="1"/>
    </xf>
    <xf numFmtId="0" fontId="3" fillId="5" borderId="8" xfId="8" applyFont="1" applyFill="1" applyBorder="1" applyAlignment="1">
      <alignment horizontal="center" vertical="center" wrapText="1"/>
    </xf>
    <xf numFmtId="0" fontId="3" fillId="5" borderId="9" xfId="8" applyFont="1" applyFill="1" applyBorder="1" applyAlignment="1">
      <alignment horizontal="center" vertical="center" wrapText="1"/>
    </xf>
    <xf numFmtId="0" fontId="3" fillId="5" borderId="10" xfId="8" applyFont="1" applyFill="1" applyBorder="1" applyAlignment="1">
      <alignment horizontal="center" vertical="center" wrapText="1"/>
    </xf>
    <xf numFmtId="0" fontId="14" fillId="3" borderId="0" xfId="8" applyFont="1" applyFill="1" applyAlignment="1">
      <alignment horizontal="center" vertical="center" wrapText="1"/>
    </xf>
    <xf numFmtId="0" fontId="14" fillId="3" borderId="0" xfId="8" applyFont="1" applyFill="1" applyAlignment="1">
      <alignment horizontal="left" vertical="center" wrapText="1"/>
    </xf>
    <xf numFmtId="3" fontId="14" fillId="3" borderId="0" xfId="8" applyNumberFormat="1" applyFont="1" applyFill="1" applyAlignment="1">
      <alignment horizontal="center" vertical="center" wrapText="1"/>
    </xf>
    <xf numFmtId="164" fontId="28" fillId="3" borderId="0" xfId="10" applyNumberFormat="1" applyFont="1" applyFill="1" applyAlignment="1">
      <alignment horizontal="right" vertical="center"/>
    </xf>
    <xf numFmtId="165" fontId="14" fillId="3" borderId="0" xfId="8" applyNumberFormat="1" applyFont="1" applyFill="1" applyAlignment="1">
      <alignment horizontal="center" vertical="center" wrapText="1"/>
    </xf>
    <xf numFmtId="165" fontId="14" fillId="3" borderId="11" xfId="8" applyNumberFormat="1" applyFont="1" applyFill="1" applyBorder="1" applyAlignment="1">
      <alignment horizontal="center" vertical="center" wrapText="1"/>
    </xf>
    <xf numFmtId="0" fontId="1" fillId="0" borderId="0" xfId="8" applyAlignment="1">
      <alignment horizontal="left" vertical="center" wrapText="1"/>
    </xf>
    <xf numFmtId="0" fontId="27" fillId="0" borderId="0" xfId="8" applyFont="1" applyAlignment="1">
      <alignment horizontal="left" vertical="center"/>
    </xf>
    <xf numFmtId="0" fontId="4" fillId="0" borderId="0" xfId="8" applyFont="1" applyAlignment="1">
      <alignment horizontal="left" vertical="center"/>
    </xf>
    <xf numFmtId="0" fontId="14" fillId="6" borderId="5" xfId="8" applyFont="1" applyFill="1" applyBorder="1" applyAlignment="1">
      <alignment horizontal="center" vertical="center" wrapText="1"/>
    </xf>
    <xf numFmtId="0" fontId="14" fillId="6" borderId="0" xfId="8" applyFont="1" applyFill="1" applyAlignment="1">
      <alignment horizontal="left" vertical="center" wrapText="1"/>
    </xf>
    <xf numFmtId="3" fontId="14" fillId="6" borderId="0" xfId="8" applyNumberFormat="1" applyFont="1" applyFill="1" applyAlignment="1">
      <alignment horizontal="center" vertical="center" wrapText="1"/>
    </xf>
    <xf numFmtId="0" fontId="14" fillId="6" borderId="0" xfId="8" applyFont="1" applyFill="1" applyAlignment="1">
      <alignment horizontal="center" vertical="center" wrapText="1"/>
    </xf>
    <xf numFmtId="3" fontId="14" fillId="6" borderId="0" xfId="8" applyNumberFormat="1" applyFont="1" applyFill="1" applyAlignment="1">
      <alignment vertical="center" wrapText="1"/>
    </xf>
    <xf numFmtId="0" fontId="14" fillId="6" borderId="0" xfId="8" applyFont="1" applyFill="1" applyAlignment="1">
      <alignment vertical="center" wrapText="1"/>
    </xf>
    <xf numFmtId="0" fontId="14" fillId="6" borderId="0" xfId="8" applyFont="1" applyFill="1" applyAlignment="1">
      <alignment horizontal="right" vertical="center" wrapText="1"/>
    </xf>
    <xf numFmtId="165" fontId="14" fillId="6" borderId="11" xfId="8" applyNumberFormat="1" applyFont="1" applyFill="1" applyBorder="1" applyAlignment="1">
      <alignment horizontal="center" vertical="center" wrapText="1"/>
    </xf>
    <xf numFmtId="0" fontId="14" fillId="0" borderId="5" xfId="8" applyFont="1" applyBorder="1" applyAlignment="1">
      <alignment horizontal="center" vertical="center" wrapText="1"/>
    </xf>
    <xf numFmtId="0" fontId="14" fillId="0" borderId="0" xfId="8" applyFont="1" applyAlignment="1">
      <alignment horizontal="left" vertical="center" wrapText="1"/>
    </xf>
    <xf numFmtId="3" fontId="14" fillId="0" borderId="0" xfId="8" applyNumberFormat="1" applyFont="1" applyAlignment="1">
      <alignment horizontal="center" vertical="center" wrapText="1"/>
    </xf>
    <xf numFmtId="0" fontId="14" fillId="0" borderId="0" xfId="8" applyFont="1" applyAlignment="1">
      <alignment horizontal="center" vertical="center" wrapText="1"/>
    </xf>
    <xf numFmtId="164" fontId="28" fillId="0" borderId="0" xfId="10" applyNumberFormat="1" applyFont="1" applyAlignment="1">
      <alignment horizontal="right" vertical="center"/>
    </xf>
    <xf numFmtId="165" fontId="14" fillId="0" borderId="0" xfId="8" applyNumberFormat="1" applyFont="1" applyAlignment="1">
      <alignment horizontal="center" vertical="center" wrapText="1"/>
    </xf>
    <xf numFmtId="165" fontId="14" fillId="0" borderId="11" xfId="8" applyNumberFormat="1" applyFont="1" applyBorder="1" applyAlignment="1">
      <alignment horizontal="center" vertical="center" wrapText="1"/>
    </xf>
    <xf numFmtId="0" fontId="14" fillId="3" borderId="5" xfId="8" applyFont="1" applyFill="1" applyBorder="1" applyAlignment="1">
      <alignment horizontal="center" vertical="center" wrapText="1"/>
    </xf>
    <xf numFmtId="0" fontId="1" fillId="0" borderId="0" xfId="8" applyAlignment="1">
      <alignment horizontal="left" vertical="center"/>
    </xf>
    <xf numFmtId="0" fontId="14" fillId="0" borderId="0" xfId="8" applyFont="1" applyAlignment="1">
      <alignment vertical="center" wrapText="1"/>
    </xf>
    <xf numFmtId="0" fontId="29" fillId="0" borderId="0" xfId="8" applyFont="1" applyAlignment="1">
      <alignment horizontal="center" vertical="center" wrapText="1"/>
    </xf>
    <xf numFmtId="0" fontId="14" fillId="0" borderId="0" xfId="8" quotePrefix="1" applyFont="1" applyAlignment="1">
      <alignment horizontal="center" vertical="center" wrapText="1"/>
    </xf>
    <xf numFmtId="0" fontId="1" fillId="7" borderId="5" xfId="8" applyFill="1" applyBorder="1" applyAlignment="1">
      <alignment horizontal="left" vertical="center" wrapText="1"/>
    </xf>
    <xf numFmtId="0" fontId="1" fillId="7" borderId="0" xfId="8" applyFill="1" applyAlignment="1">
      <alignment horizontal="left" vertical="center" wrapText="1"/>
    </xf>
    <xf numFmtId="0" fontId="14" fillId="6" borderId="12" xfId="8" applyFont="1" applyFill="1" applyBorder="1" applyAlignment="1">
      <alignment horizontal="center" vertical="center" wrapText="1"/>
    </xf>
    <xf numFmtId="0" fontId="14" fillId="6" borderId="6" xfId="8" applyFont="1" applyFill="1" applyBorder="1" applyAlignment="1">
      <alignment horizontal="left" vertical="center" wrapText="1"/>
    </xf>
    <xf numFmtId="3" fontId="14" fillId="6" borderId="6" xfId="8" applyNumberFormat="1" applyFont="1" applyFill="1" applyBorder="1" applyAlignment="1">
      <alignment horizontal="center" vertical="center" wrapText="1"/>
    </xf>
    <xf numFmtId="0" fontId="14" fillId="6" borderId="6" xfId="8" applyFont="1" applyFill="1" applyBorder="1" applyAlignment="1">
      <alignment horizontal="center" vertical="center" wrapText="1"/>
    </xf>
    <xf numFmtId="3" fontId="14" fillId="6" borderId="6" xfId="8" applyNumberFormat="1" applyFont="1" applyFill="1" applyBorder="1" applyAlignment="1">
      <alignment vertical="center" wrapText="1"/>
    </xf>
    <xf numFmtId="0" fontId="14" fillId="6" borderId="6" xfId="8" applyFont="1" applyFill="1" applyBorder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1" fillId="0" borderId="12" xfId="8" applyBorder="1" applyAlignment="1">
      <alignment horizontal="center" vertical="center" wrapText="1"/>
    </xf>
    <xf numFmtId="165" fontId="1" fillId="0" borderId="7" xfId="8" applyNumberFormat="1" applyBorder="1" applyAlignment="1">
      <alignment horizontal="center" vertical="center" wrapText="1"/>
    </xf>
    <xf numFmtId="165" fontId="1" fillId="0" borderId="0" xfId="8" applyNumberFormat="1" applyAlignment="1">
      <alignment horizontal="center" vertical="center" wrapText="1"/>
    </xf>
    <xf numFmtId="0" fontId="14" fillId="11" borderId="5" xfId="8" applyFont="1" applyFill="1" applyBorder="1" applyAlignment="1">
      <alignment horizontal="center" vertical="center" wrapText="1"/>
    </xf>
    <xf numFmtId="0" fontId="14" fillId="11" borderId="0" xfId="8" applyFont="1" applyFill="1" applyAlignment="1">
      <alignment vertical="center" wrapText="1"/>
    </xf>
    <xf numFmtId="0" fontId="14" fillId="11" borderId="0" xfId="8" applyFont="1" applyFill="1" applyAlignment="1">
      <alignment horizontal="center" vertical="center" wrapText="1"/>
    </xf>
    <xf numFmtId="0" fontId="14" fillId="11" borderId="0" xfId="8" applyFont="1" applyFill="1" applyAlignment="1">
      <alignment horizontal="left" vertical="center" wrapText="1"/>
    </xf>
    <xf numFmtId="3" fontId="14" fillId="11" borderId="0" xfId="8" applyNumberFormat="1" applyFont="1" applyFill="1" applyAlignment="1">
      <alignment horizontal="center" vertical="center" wrapText="1"/>
    </xf>
    <xf numFmtId="164" fontId="28" fillId="11" borderId="0" xfId="10" applyNumberFormat="1" applyFont="1" applyFill="1" applyAlignment="1">
      <alignment horizontal="right" vertical="center"/>
    </xf>
    <xf numFmtId="165" fontId="14" fillId="11" borderId="0" xfId="8" applyNumberFormat="1" applyFont="1" applyFill="1" applyAlignment="1">
      <alignment horizontal="center" vertical="center" wrapText="1"/>
    </xf>
    <xf numFmtId="165" fontId="14" fillId="11" borderId="11" xfId="8" applyNumberFormat="1" applyFont="1" applyFill="1" applyBorder="1" applyAlignment="1">
      <alignment horizontal="center" vertical="center" wrapText="1"/>
    </xf>
    <xf numFmtId="0" fontId="14" fillId="14" borderId="5" xfId="8" applyFont="1" applyFill="1" applyBorder="1" applyAlignment="1">
      <alignment horizontal="center" vertical="center" wrapText="1"/>
    </xf>
    <xf numFmtId="0" fontId="14" fillId="14" borderId="0" xfId="8" applyFont="1" applyFill="1" applyAlignment="1">
      <alignment horizontal="left" vertical="center" wrapText="1"/>
    </xf>
    <xf numFmtId="3" fontId="14" fillId="14" borderId="0" xfId="8" applyNumberFormat="1" applyFont="1" applyFill="1" applyAlignment="1">
      <alignment horizontal="center" vertical="center" wrapText="1"/>
    </xf>
    <xf numFmtId="0" fontId="14" fillId="14" borderId="0" xfId="8" applyFont="1" applyFill="1" applyAlignment="1">
      <alignment horizontal="center" vertical="center" wrapText="1"/>
    </xf>
    <xf numFmtId="164" fontId="28" fillId="14" borderId="0" xfId="10" applyNumberFormat="1" applyFont="1" applyFill="1" applyAlignment="1">
      <alignment horizontal="right" vertical="center"/>
    </xf>
    <xf numFmtId="165" fontId="14" fillId="14" borderId="0" xfId="8" applyNumberFormat="1" applyFont="1" applyFill="1" applyAlignment="1">
      <alignment horizontal="center" vertical="center" wrapText="1"/>
    </xf>
    <xf numFmtId="165" fontId="14" fillId="14" borderId="11" xfId="8" applyNumberFormat="1" applyFont="1" applyFill="1" applyBorder="1" applyAlignment="1">
      <alignment horizontal="center" vertical="center" wrapText="1"/>
    </xf>
    <xf numFmtId="3" fontId="2" fillId="0" borderId="0" xfId="8" applyNumberFormat="1" applyFont="1" applyAlignment="1">
      <alignment horizontal="center" vertical="center" wrapText="1"/>
    </xf>
    <xf numFmtId="0" fontId="1" fillId="0" borderId="8" xfId="8" applyBorder="1" applyAlignment="1">
      <alignment horizontal="center" vertical="center" wrapText="1"/>
    </xf>
    <xf numFmtId="165" fontId="1" fillId="0" borderId="10" xfId="8" applyNumberFormat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0" fillId="12" borderId="2" xfId="0" applyFill="1" applyBorder="1"/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 wrapText="1"/>
    </xf>
    <xf numFmtId="44" fontId="2" fillId="0" borderId="2" xfId="0" applyNumberFormat="1" applyFont="1" applyBorder="1"/>
    <xf numFmtId="0" fontId="2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44" fontId="0" fillId="0" borderId="2" xfId="2" applyFont="1" applyBorder="1" applyAlignment="1">
      <alignment horizontal="center" vertical="center" wrapText="1"/>
    </xf>
    <xf numFmtId="1" fontId="2" fillId="6" borderId="2" xfId="0" applyNumberFormat="1" applyFont="1" applyFill="1" applyBorder="1" applyAlignment="1">
      <alignment horizontal="center" vertical="center" wrapText="1"/>
    </xf>
    <xf numFmtId="44" fontId="0" fillId="6" borderId="2" xfId="2" applyFont="1" applyFill="1" applyBorder="1" applyAlignment="1">
      <alignment horizontal="center" vertical="center" wrapText="1"/>
    </xf>
    <xf numFmtId="44" fontId="2" fillId="6" borderId="2" xfId="0" applyNumberFormat="1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26" xfId="0" applyFont="1" applyBorder="1" applyAlignment="1">
      <alignment vertical="center"/>
    </xf>
    <xf numFmtId="4" fontId="5" fillId="0" borderId="27" xfId="0" applyNumberFormat="1" applyFont="1" applyBorder="1" applyAlignment="1">
      <alignment horizontal="center" vertical="center"/>
    </xf>
    <xf numFmtId="0" fontId="14" fillId="0" borderId="4" xfId="5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6" fontId="26" fillId="13" borderId="21" xfId="0" applyNumberFormat="1" applyFont="1" applyFill="1" applyBorder="1" applyAlignment="1">
      <alignment horizontal="right"/>
    </xf>
    <xf numFmtId="166" fontId="26" fillId="13" borderId="22" xfId="0" applyNumberFormat="1" applyFont="1" applyFill="1" applyBorder="1" applyAlignment="1">
      <alignment horizontal="right"/>
    </xf>
    <xf numFmtId="166" fontId="26" fillId="9" borderId="22" xfId="0" applyNumberFormat="1" applyFont="1" applyFill="1" applyBorder="1" applyAlignment="1">
      <alignment horizontal="right"/>
    </xf>
    <xf numFmtId="166" fontId="26" fillId="0" borderId="22" xfId="0" applyNumberFormat="1" applyFont="1" applyBorder="1" applyAlignment="1">
      <alignment horizontal="right"/>
    </xf>
    <xf numFmtId="166" fontId="26" fillId="0" borderId="23" xfId="0" applyNumberFormat="1" applyFont="1" applyBorder="1" applyAlignment="1">
      <alignment horizontal="right"/>
    </xf>
    <xf numFmtId="0" fontId="0" fillId="12" borderId="2" xfId="0" applyFill="1" applyBorder="1" applyAlignment="1">
      <alignment wrapText="1"/>
    </xf>
    <xf numFmtId="49" fontId="5" fillId="8" borderId="28" xfId="0" applyNumberFormat="1" applyFont="1" applyFill="1" applyBorder="1" applyAlignment="1">
      <alignment horizontal="center" vertical="center" wrapText="1"/>
    </xf>
    <xf numFmtId="0" fontId="30" fillId="8" borderId="3" xfId="11" applyFill="1" applyBorder="1" applyAlignment="1">
      <alignment horizontal="center" vertical="center" wrapText="1"/>
    </xf>
    <xf numFmtId="0" fontId="30" fillId="8" borderId="3" xfId="11" applyFill="1" applyBorder="1" applyAlignment="1">
      <alignment horizontal="center" vertical="center"/>
    </xf>
    <xf numFmtId="49" fontId="30" fillId="8" borderId="3" xfId="11" applyNumberFormat="1" applyFill="1" applyBorder="1" applyAlignment="1">
      <alignment horizontal="center" vertical="center" wrapText="1"/>
    </xf>
    <xf numFmtId="49" fontId="22" fillId="8" borderId="3" xfId="0" applyNumberFormat="1" applyFont="1" applyFill="1" applyBorder="1" applyAlignment="1">
      <alignment horizontal="center" vertical="center" wrapText="1"/>
    </xf>
    <xf numFmtId="0" fontId="25" fillId="13" borderId="2" xfId="0" applyFont="1" applyFill="1" applyBorder="1"/>
    <xf numFmtId="166" fontId="25" fillId="13" borderId="2" xfId="0" applyNumberFormat="1" applyFont="1" applyFill="1" applyBorder="1" applyAlignment="1">
      <alignment horizontal="right"/>
    </xf>
    <xf numFmtId="166" fontId="26" fillId="13" borderId="2" xfId="0" applyNumberFormat="1" applyFont="1" applyFill="1" applyBorder="1" applyAlignment="1">
      <alignment horizontal="right"/>
    </xf>
    <xf numFmtId="49" fontId="30" fillId="8" borderId="21" xfId="11" applyNumberFormat="1" applyFill="1" applyBorder="1" applyAlignment="1">
      <alignment horizontal="center" vertical="center" wrapText="1"/>
    </xf>
    <xf numFmtId="166" fontId="26" fillId="13" borderId="19" xfId="0" applyNumberFormat="1" applyFont="1" applyFill="1" applyBorder="1" applyAlignment="1">
      <alignment horizontal="right"/>
    </xf>
    <xf numFmtId="49" fontId="22" fillId="8" borderId="2" xfId="0" applyNumberFormat="1" applyFont="1" applyFill="1" applyBorder="1" applyAlignment="1">
      <alignment horizontal="center" vertical="center" wrapText="1"/>
    </xf>
    <xf numFmtId="49" fontId="17" fillId="8" borderId="3" xfId="7" applyNumberFormat="1" applyFont="1" applyFill="1" applyBorder="1" applyAlignment="1">
      <alignment horizontal="center" vertical="center" wrapText="1"/>
    </xf>
    <xf numFmtId="49" fontId="16" fillId="0" borderId="2" xfId="7" applyNumberFormat="1" applyFont="1" applyBorder="1" applyAlignment="1">
      <alignment horizontal="left" vertical="center"/>
    </xf>
    <xf numFmtId="0" fontId="24" fillId="13" borderId="2" xfId="0" applyFont="1" applyFill="1" applyBorder="1" applyAlignment="1">
      <alignment horizontal="left"/>
    </xf>
    <xf numFmtId="0" fontId="0" fillId="0" borderId="2" xfId="0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166" fontId="26" fillId="15" borderId="21" xfId="0" applyNumberFormat="1" applyFont="1" applyFill="1" applyBorder="1" applyAlignment="1">
      <alignment horizontal="right"/>
    </xf>
    <xf numFmtId="166" fontId="26" fillId="15" borderId="22" xfId="0" applyNumberFormat="1" applyFont="1" applyFill="1" applyBorder="1" applyAlignment="1">
      <alignment horizontal="right"/>
    </xf>
    <xf numFmtId="166" fontId="26" fillId="16" borderId="22" xfId="0" applyNumberFormat="1" applyFont="1" applyFill="1" applyBorder="1" applyAlignment="1">
      <alignment horizontal="right"/>
    </xf>
    <xf numFmtId="166" fontId="26" fillId="12" borderId="22" xfId="0" applyNumberFormat="1" applyFont="1" applyFill="1" applyBorder="1" applyAlignment="1">
      <alignment horizontal="right"/>
    </xf>
    <xf numFmtId="166" fontId="26" fillId="12" borderId="23" xfId="0" applyNumberFormat="1" applyFont="1" applyFill="1" applyBorder="1" applyAlignment="1">
      <alignment horizontal="right"/>
    </xf>
    <xf numFmtId="0" fontId="2" fillId="1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2" fillId="1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right" vertical="center" wrapText="1"/>
    </xf>
    <xf numFmtId="0" fontId="2" fillId="6" borderId="19" xfId="0" applyFont="1" applyFill="1" applyBorder="1" applyAlignment="1">
      <alignment horizontal="right" vertical="center"/>
    </xf>
    <xf numFmtId="0" fontId="2" fillId="6" borderId="24" xfId="0" applyFont="1" applyFill="1" applyBorder="1" applyAlignment="1">
      <alignment horizontal="right" vertical="center"/>
    </xf>
    <xf numFmtId="0" fontId="2" fillId="6" borderId="20" xfId="0" applyFont="1" applyFill="1" applyBorder="1" applyAlignment="1">
      <alignment horizontal="right" vertical="center"/>
    </xf>
    <xf numFmtId="3" fontId="14" fillId="11" borderId="0" xfId="8" applyNumberFormat="1" applyFont="1" applyFill="1" applyAlignment="1">
      <alignment horizontal="center" vertical="center" wrapText="1"/>
    </xf>
    <xf numFmtId="0" fontId="14" fillId="3" borderId="5" xfId="8" applyFont="1" applyFill="1" applyBorder="1" applyAlignment="1">
      <alignment horizontal="center" vertical="center" wrapText="1"/>
    </xf>
    <xf numFmtId="0" fontId="14" fillId="3" borderId="0" xfId="8" applyFont="1" applyFill="1" applyAlignment="1">
      <alignment horizontal="left" vertical="center" wrapText="1"/>
    </xf>
    <xf numFmtId="3" fontId="14" fillId="3" borderId="0" xfId="8" applyNumberFormat="1" applyFont="1" applyFill="1" applyAlignment="1">
      <alignment horizontal="center" vertical="center" wrapText="1"/>
    </xf>
    <xf numFmtId="3" fontId="14" fillId="3" borderId="0" xfId="8" applyNumberFormat="1" applyFont="1" applyFill="1" applyAlignment="1">
      <alignment horizontal="center" vertical="center"/>
    </xf>
    <xf numFmtId="3" fontId="14" fillId="0" borderId="0" xfId="8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4" xfId="0" applyFont="1" applyBorder="1" applyAlignment="1">
      <alignment horizontal="right" vertical="center"/>
    </xf>
    <xf numFmtId="3" fontId="25" fillId="0" borderId="16" xfId="0" applyNumberFormat="1" applyFont="1" applyBorder="1" applyAlignment="1">
      <alignment horizontal="center" vertical="center"/>
    </xf>
    <xf numFmtId="0" fontId="26" fillId="0" borderId="16" xfId="0" applyFont="1" applyBorder="1"/>
    <xf numFmtId="3" fontId="25" fillId="9" borderId="16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3" fontId="25" fillId="13" borderId="3" xfId="0" applyNumberFormat="1" applyFont="1" applyFill="1" applyBorder="1" applyAlignment="1">
      <alignment horizontal="center" vertical="center"/>
    </xf>
  </cellXfs>
  <cellStyles count="12">
    <cellStyle name="Hiperlink" xfId="11" builtinId="8"/>
    <cellStyle name="Moeda" xfId="2" builtinId="4"/>
    <cellStyle name="Moeda 2" xfId="6" xr:uid="{00000000-0005-0000-0000-000002000000}"/>
    <cellStyle name="Normal" xfId="0" builtinId="0"/>
    <cellStyle name="Normal 2" xfId="3" xr:uid="{00000000-0005-0000-0000-000004000000}"/>
    <cellStyle name="Normal 2 2" xfId="7" xr:uid="{00000000-0005-0000-0000-000005000000}"/>
    <cellStyle name="Normal 2 2 2" xfId="10" xr:uid="{00000000-0005-0000-0000-000006000000}"/>
    <cellStyle name="Normal 3" xfId="4" xr:uid="{00000000-0005-0000-0000-000007000000}"/>
    <cellStyle name="Normal 4" xfId="5" xr:uid="{00000000-0005-0000-0000-000008000000}"/>
    <cellStyle name="Normal 5" xfId="8" xr:uid="{00000000-0005-0000-0000-000009000000}"/>
    <cellStyle name="Porcentagem" xfId="1" builtinId="5"/>
    <cellStyle name="Porcentagem 3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nmbr-my.sharepoint.com/Users/igor.alves/Downloads/planilha-de-estimativa-atualizada%20(1)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va_-_ITEM_&lt;Nº&gt;"/>
      <sheetName val="Perfis"/>
      <sheetName val="Serviç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agas.com.br/cargo/gerente-de-projetos" TargetMode="External"/><Relationship Id="rId2" Type="http://schemas.openxmlformats.org/officeDocument/2006/relationships/hyperlink" Target="https://www.glassdoor.com.br/Sal%C3%A1rios/brasil-gerente-de-projetos-de-ti-sal%C3%A1rio-SRCH_IL.0,6_IN36_KO7,32.htm?clickSource=searchBtn" TargetMode="External"/><Relationship Id="rId1" Type="http://schemas.openxmlformats.org/officeDocument/2006/relationships/hyperlink" Target="https://www.salario.com.br/profissao/gerente-de-projetos-de-tecnologia-da-informacao-cbo-142520/brasilia-df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s://www.roberthalf.com.br/guia-salarial" TargetMode="External"/><Relationship Id="rId4" Type="http://schemas.openxmlformats.org/officeDocument/2006/relationships/hyperlink" Target="https://www.michaelpage.com.br/estudos-e-tendencias/it/planos-carreira-profissionais-tecnologia/obrigado-client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workbookViewId="0">
      <selection activeCell="K9" sqref="K9"/>
    </sheetView>
  </sheetViews>
  <sheetFormatPr defaultRowHeight="14.5" x14ac:dyDescent="0.35"/>
  <cols>
    <col min="1" max="1" width="6.81640625" bestFit="1" customWidth="1"/>
    <col min="2" max="2" width="5.26953125" bestFit="1" customWidth="1"/>
    <col min="3" max="3" width="37" customWidth="1"/>
    <col min="4" max="4" width="7.7265625" customWidth="1"/>
    <col min="5" max="5" width="10.453125" bestFit="1" customWidth="1"/>
    <col min="6" max="6" width="14.26953125" bestFit="1" customWidth="1"/>
    <col min="7" max="7" width="15.7265625" bestFit="1" customWidth="1"/>
    <col min="9" max="9" width="15.81640625" bestFit="1" customWidth="1"/>
  </cols>
  <sheetData>
    <row r="1" spans="1:9" x14ac:dyDescent="0.35">
      <c r="A1" s="179" t="s">
        <v>0</v>
      </c>
      <c r="B1" s="179"/>
      <c r="C1" s="179"/>
      <c r="D1" s="179"/>
      <c r="E1" s="179"/>
      <c r="F1" s="179"/>
      <c r="G1" s="179"/>
    </row>
    <row r="2" spans="1:9" ht="46.15" customHeight="1" x14ac:dyDescent="0.35">
      <c r="A2" s="181" t="s">
        <v>1</v>
      </c>
      <c r="B2" s="181"/>
      <c r="C2" s="181"/>
      <c r="D2" s="181"/>
      <c r="E2" s="181"/>
      <c r="F2" s="181"/>
      <c r="G2" s="181"/>
    </row>
    <row r="3" spans="1:9" ht="29" x14ac:dyDescent="0.35">
      <c r="A3" s="125" t="s">
        <v>2</v>
      </c>
      <c r="B3" s="125" t="s">
        <v>3</v>
      </c>
      <c r="C3" s="125" t="s">
        <v>4</v>
      </c>
      <c r="D3" s="126" t="s">
        <v>5</v>
      </c>
      <c r="E3" s="126" t="s">
        <v>6</v>
      </c>
      <c r="F3" s="154" t="s">
        <v>7</v>
      </c>
      <c r="G3" s="154" t="s">
        <v>8</v>
      </c>
    </row>
    <row r="4" spans="1:9" ht="15.5" x14ac:dyDescent="0.35">
      <c r="A4" s="180">
        <v>1</v>
      </c>
      <c r="B4" s="127">
        <v>1</v>
      </c>
      <c r="C4" s="128" t="s">
        <v>16</v>
      </c>
      <c r="D4" s="169" t="s">
        <v>9</v>
      </c>
      <c r="E4" s="169">
        <v>12</v>
      </c>
      <c r="F4" s="170">
        <f>Resumo!D2</f>
        <v>131690.005</v>
      </c>
      <c r="G4" s="170">
        <f>F4*E4</f>
        <v>1580280.06</v>
      </c>
    </row>
    <row r="5" spans="1:9" ht="31" x14ac:dyDescent="0.35">
      <c r="A5" s="180"/>
      <c r="B5" s="127">
        <v>2</v>
      </c>
      <c r="C5" s="128" t="s">
        <v>184</v>
      </c>
      <c r="D5" s="169" t="s">
        <v>9</v>
      </c>
      <c r="E5" s="169">
        <v>12</v>
      </c>
      <c r="F5" s="170">
        <f>Resumo!D3</f>
        <v>78326.36480000001</v>
      </c>
      <c r="G5" s="170">
        <f t="shared" ref="G5:G11" si="0">F5*E5</f>
        <v>939916.37760000012</v>
      </c>
    </row>
    <row r="6" spans="1:9" ht="15.5" x14ac:dyDescent="0.35">
      <c r="A6" s="180"/>
      <c r="B6" s="127">
        <v>3</v>
      </c>
      <c r="C6" s="128" t="s">
        <v>17</v>
      </c>
      <c r="D6" s="169" t="s">
        <v>9</v>
      </c>
      <c r="E6" s="169">
        <v>12</v>
      </c>
      <c r="F6" s="170">
        <f>Resumo!D4</f>
        <v>61460.842499999999</v>
      </c>
      <c r="G6" s="170">
        <f t="shared" si="0"/>
        <v>737530.11</v>
      </c>
    </row>
    <row r="7" spans="1:9" ht="31" x14ac:dyDescent="0.35">
      <c r="A7" s="180"/>
      <c r="B7" s="127">
        <v>4</v>
      </c>
      <c r="C7" s="128" t="s">
        <v>181</v>
      </c>
      <c r="D7" s="169" t="s">
        <v>9</v>
      </c>
      <c r="E7" s="169">
        <v>12</v>
      </c>
      <c r="F7" s="170">
        <f>Resumo!D5</f>
        <v>43706.945000000007</v>
      </c>
      <c r="G7" s="170">
        <f t="shared" si="0"/>
        <v>524483.34000000008</v>
      </c>
    </row>
    <row r="8" spans="1:9" ht="15.5" x14ac:dyDescent="0.35">
      <c r="A8" s="180"/>
      <c r="B8" s="127">
        <v>5</v>
      </c>
      <c r="C8" s="128" t="s">
        <v>19</v>
      </c>
      <c r="D8" s="169" t="s">
        <v>9</v>
      </c>
      <c r="E8" s="169">
        <v>12</v>
      </c>
      <c r="F8" s="170">
        <f>Resumo!D6</f>
        <v>30977.23</v>
      </c>
      <c r="G8" s="170">
        <f t="shared" si="0"/>
        <v>371726.76</v>
      </c>
    </row>
    <row r="9" spans="1:9" ht="15.5" x14ac:dyDescent="0.35">
      <c r="A9" s="180"/>
      <c r="B9" s="127">
        <v>6</v>
      </c>
      <c r="C9" s="128" t="s">
        <v>20</v>
      </c>
      <c r="D9" s="169" t="s">
        <v>9</v>
      </c>
      <c r="E9" s="169">
        <v>12</v>
      </c>
      <c r="F9" s="170">
        <f>Resumo!D7</f>
        <v>34231.369000000006</v>
      </c>
      <c r="G9" s="170">
        <f t="shared" si="0"/>
        <v>410776.42800000007</v>
      </c>
    </row>
    <row r="10" spans="1:9" ht="15.5" x14ac:dyDescent="0.35">
      <c r="A10" s="180"/>
      <c r="B10" s="127">
        <v>7</v>
      </c>
      <c r="C10" s="128" t="s">
        <v>180</v>
      </c>
      <c r="D10" s="169" t="s">
        <v>9</v>
      </c>
      <c r="E10" s="169">
        <v>12</v>
      </c>
      <c r="F10" s="170">
        <f>Resumo!D8</f>
        <v>40922.006999999998</v>
      </c>
      <c r="G10" s="170">
        <f t="shared" si="0"/>
        <v>491064.08399999997</v>
      </c>
    </row>
    <row r="11" spans="1:9" ht="15.5" x14ac:dyDescent="0.35">
      <c r="A11" s="180"/>
      <c r="B11" s="127">
        <v>8</v>
      </c>
      <c r="C11" s="128" t="s">
        <v>182</v>
      </c>
      <c r="D11" s="169" t="s">
        <v>9</v>
      </c>
      <c r="E11" s="169">
        <v>12</v>
      </c>
      <c r="F11" s="170">
        <f>Resumo!D9</f>
        <v>73945.781499999997</v>
      </c>
      <c r="G11" s="170">
        <f t="shared" si="0"/>
        <v>887349.37800000003</v>
      </c>
    </row>
    <row r="12" spans="1:9" ht="15.5" x14ac:dyDescent="0.35">
      <c r="A12" s="180"/>
      <c r="B12" s="127">
        <v>9</v>
      </c>
      <c r="C12" s="129" t="s">
        <v>21</v>
      </c>
      <c r="D12" s="169" t="s">
        <v>9</v>
      </c>
      <c r="E12" s="169">
        <v>12</v>
      </c>
      <c r="F12" s="170">
        <f>Resumo!D10</f>
        <v>44691.313000000009</v>
      </c>
      <c r="G12" s="170">
        <f>F12*E12</f>
        <v>536295.75600000005</v>
      </c>
    </row>
    <row r="13" spans="1:9" x14ac:dyDescent="0.35">
      <c r="A13" s="178" t="s">
        <v>10</v>
      </c>
      <c r="B13" s="178"/>
      <c r="C13" s="178"/>
      <c r="D13" s="178"/>
      <c r="E13" s="178"/>
      <c r="F13" s="178"/>
      <c r="G13" s="130">
        <f>SUM(F4:F12)</f>
        <v>539951.8578</v>
      </c>
    </row>
    <row r="14" spans="1:9" x14ac:dyDescent="0.35">
      <c r="A14" s="178" t="s">
        <v>11</v>
      </c>
      <c r="B14" s="178"/>
      <c r="C14" s="178"/>
      <c r="D14" s="178"/>
      <c r="E14" s="178"/>
      <c r="F14" s="178"/>
      <c r="G14" s="130">
        <f>SUM(G4:G12)</f>
        <v>6479422.2935999995</v>
      </c>
      <c r="I14" s="171"/>
    </row>
    <row r="15" spans="1:9" x14ac:dyDescent="0.35">
      <c r="I15" s="171"/>
    </row>
  </sheetData>
  <mergeCells count="5">
    <mergeCell ref="A14:F14"/>
    <mergeCell ref="A1:G1"/>
    <mergeCell ref="A4:A12"/>
    <mergeCell ref="A2:G2"/>
    <mergeCell ref="A13:F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tabSelected="1" workbookViewId="0">
      <selection activeCell="D7" sqref="D7"/>
    </sheetView>
  </sheetViews>
  <sheetFormatPr defaultColWidth="9.1796875" defaultRowHeight="14.5" x14ac:dyDescent="0.35"/>
  <cols>
    <col min="1" max="1" width="7.81640625" style="2" bestFit="1" customWidth="1"/>
    <col min="2" max="2" width="45.81640625" style="2" bestFit="1" customWidth="1"/>
    <col min="3" max="3" width="16.1796875" style="2" customWidth="1"/>
    <col min="4" max="4" width="23.7265625" style="2" customWidth="1"/>
    <col min="5" max="16384" width="9.1796875" style="2"/>
  </cols>
  <sheetData>
    <row r="1" spans="1:4" ht="45" customHeight="1" x14ac:dyDescent="0.35">
      <c r="A1" s="131" t="s">
        <v>12</v>
      </c>
      <c r="B1" s="131" t="s">
        <v>13</v>
      </c>
      <c r="C1" s="131" t="s">
        <v>14</v>
      </c>
      <c r="D1" s="131" t="s">
        <v>15</v>
      </c>
    </row>
    <row r="2" spans="1:4" x14ac:dyDescent="0.35">
      <c r="A2" s="132">
        <v>1</v>
      </c>
      <c r="B2" s="132" t="s">
        <v>16</v>
      </c>
      <c r="C2" s="133">
        <v>14</v>
      </c>
      <c r="D2" s="134">
        <f>'Custos Fator K'!J9</f>
        <v>131690.005</v>
      </c>
    </row>
    <row r="3" spans="1:4" ht="29" x14ac:dyDescent="0.35">
      <c r="A3" s="132">
        <v>2</v>
      </c>
      <c r="B3" s="132" t="s">
        <v>184</v>
      </c>
      <c r="C3" s="133">
        <v>2</v>
      </c>
      <c r="D3" s="134">
        <f>'Custos Fator K'!J12</f>
        <v>78326.36480000001</v>
      </c>
    </row>
    <row r="4" spans="1:4" x14ac:dyDescent="0.35">
      <c r="A4" s="132">
        <v>3</v>
      </c>
      <c r="B4" s="132" t="s">
        <v>17</v>
      </c>
      <c r="C4" s="133">
        <v>3</v>
      </c>
      <c r="D4" s="134">
        <f>'Custos Fator K'!J15</f>
        <v>61460.842499999999</v>
      </c>
    </row>
    <row r="5" spans="1:4" x14ac:dyDescent="0.35">
      <c r="A5" s="132">
        <v>4</v>
      </c>
      <c r="B5" s="132" t="s">
        <v>18</v>
      </c>
      <c r="C5" s="133">
        <v>2</v>
      </c>
      <c r="D5" s="134">
        <f>'Custos Fator K'!J17</f>
        <v>43706.945000000007</v>
      </c>
    </row>
    <row r="6" spans="1:4" x14ac:dyDescent="0.35">
      <c r="A6" s="132">
        <v>5</v>
      </c>
      <c r="B6" s="132" t="s">
        <v>19</v>
      </c>
      <c r="C6" s="133">
        <v>2</v>
      </c>
      <c r="D6" s="134">
        <f>'Custos Fator K'!J19</f>
        <v>30977.23</v>
      </c>
    </row>
    <row r="7" spans="1:4" x14ac:dyDescent="0.35">
      <c r="A7" s="132">
        <v>6</v>
      </c>
      <c r="B7" s="132" t="s">
        <v>20</v>
      </c>
      <c r="C7" s="133">
        <v>2</v>
      </c>
      <c r="D7" s="134">
        <f>'Custos Fator K'!J21</f>
        <v>34231.369000000006</v>
      </c>
    </row>
    <row r="8" spans="1:4" x14ac:dyDescent="0.35">
      <c r="A8" s="132">
        <v>7</v>
      </c>
      <c r="B8" s="132" t="s">
        <v>180</v>
      </c>
      <c r="C8" s="133">
        <v>2</v>
      </c>
      <c r="D8" s="134">
        <f>'Custos Fator K'!J23</f>
        <v>40922.006999999998</v>
      </c>
    </row>
    <row r="9" spans="1:4" x14ac:dyDescent="0.35">
      <c r="A9" s="132">
        <v>8</v>
      </c>
      <c r="B9" s="132" t="s">
        <v>182</v>
      </c>
      <c r="C9" s="133">
        <v>2</v>
      </c>
      <c r="D9" s="134">
        <f>'Custos Fator K'!J26</f>
        <v>73945.781499999997</v>
      </c>
    </row>
    <row r="10" spans="1:4" ht="15" customHeight="1" x14ac:dyDescent="0.35">
      <c r="A10" s="132">
        <v>9</v>
      </c>
      <c r="B10" s="132" t="s">
        <v>21</v>
      </c>
      <c r="C10" s="133">
        <v>2</v>
      </c>
      <c r="D10" s="134">
        <f>'Custos Fator K'!J28</f>
        <v>44691.313000000009</v>
      </c>
    </row>
    <row r="11" spans="1:4" ht="15" customHeight="1" x14ac:dyDescent="0.35">
      <c r="A11" s="182" t="s">
        <v>22</v>
      </c>
      <c r="B11" s="182"/>
      <c r="C11" s="135">
        <f>SUM(C2:C10)</f>
        <v>31</v>
      </c>
      <c r="D11" s="136"/>
    </row>
    <row r="12" spans="1:4" ht="15" customHeight="1" x14ac:dyDescent="0.35">
      <c r="A12" s="183" t="s">
        <v>23</v>
      </c>
      <c r="B12" s="184"/>
      <c r="C12" s="185"/>
      <c r="D12" s="137">
        <f>SUM(D2:D10)</f>
        <v>539951.8578</v>
      </c>
    </row>
    <row r="13" spans="1:4" ht="15" customHeight="1" x14ac:dyDescent="0.35">
      <c r="A13" s="183" t="s">
        <v>24</v>
      </c>
      <c r="B13" s="184"/>
      <c r="C13" s="185"/>
      <c r="D13" s="137">
        <f>D12*12</f>
        <v>6479422.2936000004</v>
      </c>
    </row>
    <row r="14" spans="1:4" ht="15" customHeight="1" x14ac:dyDescent="0.35"/>
  </sheetData>
  <mergeCells count="3">
    <mergeCell ref="A11:B11"/>
    <mergeCell ref="A12:C12"/>
    <mergeCell ref="A13:C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0"/>
  <sheetViews>
    <sheetView showGridLines="0" zoomScaleNormal="100" workbookViewId="0">
      <selection activeCell="C5" sqref="C5:C8"/>
    </sheetView>
  </sheetViews>
  <sheetFormatPr defaultColWidth="9.1796875" defaultRowHeight="14.5" x14ac:dyDescent="0.35"/>
  <cols>
    <col min="1" max="1" width="3.26953125" style="57" customWidth="1"/>
    <col min="2" max="2" width="9.1796875" style="57"/>
    <col min="3" max="3" width="46.1796875" style="57" customWidth="1"/>
    <col min="4" max="4" width="16.7265625" style="57" customWidth="1"/>
    <col min="5" max="5" width="21.54296875" style="57" customWidth="1"/>
    <col min="6" max="6" width="67.453125" style="57" hidden="1" customWidth="1"/>
    <col min="7" max="7" width="11.453125" style="57" bestFit="1" customWidth="1"/>
    <col min="8" max="8" width="15.7265625" style="57" customWidth="1"/>
    <col min="9" max="9" width="22.1796875" style="57" customWidth="1"/>
    <col min="10" max="10" width="20.1796875" style="57" customWidth="1"/>
    <col min="11" max="11" width="37.26953125" style="57" hidden="1" customWidth="1"/>
    <col min="12" max="12" width="20.453125" style="57" customWidth="1"/>
    <col min="13" max="16384" width="9.1796875" style="57"/>
  </cols>
  <sheetData>
    <row r="1" spans="2:13" ht="15" thickBot="1" x14ac:dyDescent="0.4">
      <c r="F1" s="57" t="s">
        <v>25</v>
      </c>
    </row>
    <row r="2" spans="2:13" ht="15" thickBot="1" x14ac:dyDescent="0.4">
      <c r="C2" s="58" t="s">
        <v>26</v>
      </c>
      <c r="D2" s="59">
        <v>2.35</v>
      </c>
      <c r="E2" s="60"/>
      <c r="F2" s="61" t="s">
        <v>27</v>
      </c>
      <c r="G2" s="62"/>
    </row>
    <row r="3" spans="2:13" ht="15" thickBot="1" x14ac:dyDescent="0.4"/>
    <row r="4" spans="2:13" ht="29" x14ac:dyDescent="0.35">
      <c r="B4" s="63" t="s">
        <v>12</v>
      </c>
      <c r="C4" s="64" t="s">
        <v>13</v>
      </c>
      <c r="D4" s="64" t="s">
        <v>14</v>
      </c>
      <c r="E4" s="64" t="s">
        <v>28</v>
      </c>
      <c r="F4" s="64" t="s">
        <v>29</v>
      </c>
      <c r="G4" s="64" t="s">
        <v>6</v>
      </c>
      <c r="H4" s="64" t="s">
        <v>30</v>
      </c>
      <c r="I4" s="64" t="s">
        <v>31</v>
      </c>
      <c r="J4" s="65" t="s">
        <v>15</v>
      </c>
      <c r="K4" s="57" t="s">
        <v>32</v>
      </c>
    </row>
    <row r="5" spans="2:13" ht="15" customHeight="1" x14ac:dyDescent="0.35">
      <c r="B5" s="187">
        <v>1</v>
      </c>
      <c r="C5" s="188" t="s">
        <v>16</v>
      </c>
      <c r="D5" s="189">
        <f>SUM(G5:G8)</f>
        <v>14</v>
      </c>
      <c r="E5" s="66" t="s">
        <v>33</v>
      </c>
      <c r="F5" s="67" t="s">
        <v>34</v>
      </c>
      <c r="G5" s="68">
        <v>5</v>
      </c>
      <c r="H5" s="69">
        <v>2843.14</v>
      </c>
      <c r="I5" s="70">
        <f>H5*G5</f>
        <v>14215.699999999999</v>
      </c>
      <c r="J5" s="71">
        <f>I5*D$2</f>
        <v>33406.894999999997</v>
      </c>
      <c r="K5" s="72" t="s">
        <v>35</v>
      </c>
      <c r="L5" s="73"/>
    </row>
    <row r="6" spans="2:13" ht="15" customHeight="1" x14ac:dyDescent="0.35">
      <c r="B6" s="187"/>
      <c r="C6" s="188"/>
      <c r="D6" s="189"/>
      <c r="E6" s="66" t="s">
        <v>36</v>
      </c>
      <c r="F6" s="67" t="s">
        <v>37</v>
      </c>
      <c r="G6" s="68">
        <v>5</v>
      </c>
      <c r="H6" s="69">
        <v>2328.98</v>
      </c>
      <c r="I6" s="70">
        <f>H6*G6</f>
        <v>11644.9</v>
      </c>
      <c r="J6" s="71">
        <f>I6*D$2</f>
        <v>27365.514999999999</v>
      </c>
      <c r="K6" s="72"/>
      <c r="L6" s="74"/>
    </row>
    <row r="7" spans="2:13" ht="15" customHeight="1" x14ac:dyDescent="0.35">
      <c r="B7" s="187"/>
      <c r="C7" s="188"/>
      <c r="D7" s="189"/>
      <c r="E7" s="66" t="s">
        <v>38</v>
      </c>
      <c r="F7" s="67" t="s">
        <v>39</v>
      </c>
      <c r="G7" s="68">
        <v>1</v>
      </c>
      <c r="H7" s="69">
        <v>8327.89</v>
      </c>
      <c r="I7" s="70">
        <f>H7*G7</f>
        <v>8327.89</v>
      </c>
      <c r="J7" s="71">
        <f>I7*D$2</f>
        <v>19570.541499999999</v>
      </c>
      <c r="K7" s="72" t="s">
        <v>40</v>
      </c>
      <c r="L7" s="74"/>
    </row>
    <row r="8" spans="2:13" x14ac:dyDescent="0.35">
      <c r="B8" s="187"/>
      <c r="C8" s="188"/>
      <c r="D8" s="189"/>
      <c r="E8" s="66" t="s">
        <v>41</v>
      </c>
      <c r="F8" s="67" t="s">
        <v>49</v>
      </c>
      <c r="G8" s="68">
        <v>3</v>
      </c>
      <c r="H8" s="69">
        <v>7283.27</v>
      </c>
      <c r="I8" s="70">
        <f>H8*G8</f>
        <v>21849.81</v>
      </c>
      <c r="J8" s="71">
        <f>I8*D$2</f>
        <v>51347.053500000002</v>
      </c>
      <c r="K8" s="72" t="s">
        <v>40</v>
      </c>
      <c r="L8" s="74"/>
    </row>
    <row r="9" spans="2:13" x14ac:dyDescent="0.35">
      <c r="B9" s="75"/>
      <c r="C9" s="76"/>
      <c r="D9" s="77"/>
      <c r="E9" s="78"/>
      <c r="F9" s="76"/>
      <c r="G9" s="79"/>
      <c r="H9" s="80"/>
      <c r="I9" s="81" t="s">
        <v>42</v>
      </c>
      <c r="J9" s="82">
        <f>SUM(J5:J8)</f>
        <v>131690.005</v>
      </c>
      <c r="L9" s="74"/>
    </row>
    <row r="10" spans="2:13" ht="29" x14ac:dyDescent="0.35">
      <c r="B10" s="83">
        <v>2</v>
      </c>
      <c r="C10" s="84" t="s">
        <v>184</v>
      </c>
      <c r="D10" s="191">
        <f>SUM(G10:G11)</f>
        <v>2</v>
      </c>
      <c r="E10" s="86" t="s">
        <v>183</v>
      </c>
      <c r="F10" s="84" t="s">
        <v>43</v>
      </c>
      <c r="G10" s="85">
        <v>1</v>
      </c>
      <c r="H10" s="87">
        <v>14690.3</v>
      </c>
      <c r="I10" s="88">
        <f>H10*G10</f>
        <v>14690.3</v>
      </c>
      <c r="J10" s="89">
        <f>I10*D$2</f>
        <v>34522.205000000002</v>
      </c>
    </row>
    <row r="11" spans="2:13" x14ac:dyDescent="0.35">
      <c r="B11" s="83"/>
      <c r="C11" s="84"/>
      <c r="D11" s="192"/>
      <c r="E11" s="86" t="s">
        <v>173</v>
      </c>
      <c r="F11" s="84" t="s">
        <v>172</v>
      </c>
      <c r="G11" s="85">
        <v>1</v>
      </c>
      <c r="H11" s="87">
        <f>'Base Salarial Pesquisa'!I3</f>
        <v>18640.067999999999</v>
      </c>
      <c r="I11" s="88">
        <f>H11*G11</f>
        <v>18640.067999999999</v>
      </c>
      <c r="J11" s="89">
        <f>I11*D$2</f>
        <v>43804.159800000001</v>
      </c>
    </row>
    <row r="12" spans="2:13" ht="15" customHeight="1" x14ac:dyDescent="0.35">
      <c r="B12" s="75"/>
      <c r="C12" s="76"/>
      <c r="D12" s="77"/>
      <c r="E12" s="78"/>
      <c r="F12" s="76"/>
      <c r="G12" s="79"/>
      <c r="H12" s="80"/>
      <c r="I12" s="81" t="s">
        <v>42</v>
      </c>
      <c r="J12" s="82">
        <f>SUM(J10:J11)</f>
        <v>78326.36480000001</v>
      </c>
    </row>
    <row r="13" spans="2:13" ht="15" customHeight="1" x14ac:dyDescent="0.35">
      <c r="B13" s="90">
        <v>3</v>
      </c>
      <c r="C13" s="67" t="s">
        <v>17</v>
      </c>
      <c r="D13" s="190">
        <f>SUM(G13:G14)</f>
        <v>3</v>
      </c>
      <c r="E13" s="66" t="s">
        <v>44</v>
      </c>
      <c r="F13" s="67" t="s">
        <v>45</v>
      </c>
      <c r="G13" s="68">
        <v>2</v>
      </c>
      <c r="H13" s="69">
        <v>9726.4599999999991</v>
      </c>
      <c r="I13" s="70">
        <f>H13*G13</f>
        <v>19452.919999999998</v>
      </c>
      <c r="J13" s="71">
        <f>I13*D$2</f>
        <v>45714.362000000001</v>
      </c>
      <c r="M13" s="91"/>
    </row>
    <row r="14" spans="2:13" ht="15" customHeight="1" x14ac:dyDescent="0.35">
      <c r="B14" s="90"/>
      <c r="C14" s="67"/>
      <c r="D14" s="190"/>
      <c r="E14" s="66" t="s">
        <v>44</v>
      </c>
      <c r="F14" s="67" t="s">
        <v>46</v>
      </c>
      <c r="G14" s="68">
        <v>1</v>
      </c>
      <c r="H14" s="69">
        <v>6700.63</v>
      </c>
      <c r="I14" s="70">
        <f>H14*G14</f>
        <v>6700.63</v>
      </c>
      <c r="J14" s="71">
        <f>I14*D$2</f>
        <v>15746.480500000001</v>
      </c>
      <c r="M14" s="91"/>
    </row>
    <row r="15" spans="2:13" ht="15" customHeight="1" x14ac:dyDescent="0.35">
      <c r="B15" s="75"/>
      <c r="C15" s="76"/>
      <c r="D15" s="77"/>
      <c r="E15" s="78"/>
      <c r="F15" s="76"/>
      <c r="G15" s="79"/>
      <c r="H15" s="80"/>
      <c r="I15" s="81" t="s">
        <v>42</v>
      </c>
      <c r="J15" s="82">
        <f>SUM(J13:J14)</f>
        <v>61460.842499999999</v>
      </c>
      <c r="M15" s="91"/>
    </row>
    <row r="16" spans="2:13" ht="37.15" customHeight="1" x14ac:dyDescent="0.35">
      <c r="B16" s="83">
        <v>4</v>
      </c>
      <c r="C16" s="92" t="s">
        <v>18</v>
      </c>
      <c r="D16" s="85">
        <f>G16</f>
        <v>2</v>
      </c>
      <c r="E16" s="86" t="s">
        <v>47</v>
      </c>
      <c r="F16" s="84" t="s">
        <v>48</v>
      </c>
      <c r="G16" s="85">
        <v>2</v>
      </c>
      <c r="H16" s="87">
        <v>9299.35</v>
      </c>
      <c r="I16" s="88">
        <f>H16*G16</f>
        <v>18598.7</v>
      </c>
      <c r="J16" s="89">
        <f>I16*D$2</f>
        <v>43706.945000000007</v>
      </c>
      <c r="M16" s="91"/>
    </row>
    <row r="17" spans="1:13" ht="15" customHeight="1" x14ac:dyDescent="0.35">
      <c r="B17" s="75"/>
      <c r="C17" s="76"/>
      <c r="D17" s="77"/>
      <c r="E17" s="78"/>
      <c r="F17" s="76"/>
      <c r="G17" s="79"/>
      <c r="H17" s="80"/>
      <c r="I17" s="81" t="s">
        <v>42</v>
      </c>
      <c r="J17" s="82">
        <f>J16</f>
        <v>43706.945000000007</v>
      </c>
      <c r="M17" s="91"/>
    </row>
    <row r="18" spans="1:13" ht="15" customHeight="1" x14ac:dyDescent="0.35">
      <c r="A18" s="93"/>
      <c r="B18" s="90">
        <v>5</v>
      </c>
      <c r="C18" s="67" t="s">
        <v>19</v>
      </c>
      <c r="D18" s="68">
        <f>G18</f>
        <v>2</v>
      </c>
      <c r="E18" s="66" t="s">
        <v>41</v>
      </c>
      <c r="F18" s="67" t="s">
        <v>49</v>
      </c>
      <c r="G18" s="68">
        <v>2</v>
      </c>
      <c r="H18" s="69">
        <v>6590.9</v>
      </c>
      <c r="I18" s="70">
        <f>H18*G18</f>
        <v>13181.8</v>
      </c>
      <c r="J18" s="71">
        <f>I18*D$2</f>
        <v>30977.23</v>
      </c>
      <c r="M18" s="91"/>
    </row>
    <row r="19" spans="1:13" ht="15" customHeight="1" x14ac:dyDescent="0.35">
      <c r="B19" s="75"/>
      <c r="C19" s="76"/>
      <c r="D19" s="77"/>
      <c r="E19" s="78"/>
      <c r="F19" s="76"/>
      <c r="G19" s="79"/>
      <c r="H19" s="80"/>
      <c r="I19" s="81" t="s">
        <v>42</v>
      </c>
      <c r="J19" s="82">
        <f>J18</f>
        <v>30977.23</v>
      </c>
      <c r="M19" s="91"/>
    </row>
    <row r="20" spans="1:13" x14ac:dyDescent="0.35">
      <c r="B20" s="83">
        <v>6</v>
      </c>
      <c r="C20" s="84" t="s">
        <v>20</v>
      </c>
      <c r="D20" s="85">
        <f>G20</f>
        <v>2</v>
      </c>
      <c r="E20" s="94" t="s">
        <v>41</v>
      </c>
      <c r="F20" s="84" t="s">
        <v>49</v>
      </c>
      <c r="G20" s="85">
        <v>2</v>
      </c>
      <c r="H20" s="87">
        <v>7283.27</v>
      </c>
      <c r="I20" s="88">
        <f>H20*G20</f>
        <v>14566.54</v>
      </c>
      <c r="J20" s="89">
        <f>I20*D$2</f>
        <v>34231.369000000006</v>
      </c>
      <c r="M20" s="91"/>
    </row>
    <row r="21" spans="1:13" ht="15" customHeight="1" x14ac:dyDescent="0.35">
      <c r="B21" s="75"/>
      <c r="C21" s="76"/>
      <c r="D21" s="77"/>
      <c r="E21" s="78"/>
      <c r="F21" s="76"/>
      <c r="G21" s="79"/>
      <c r="H21" s="80"/>
      <c r="I21" s="81" t="s">
        <v>42</v>
      </c>
      <c r="J21" s="82">
        <f>SUM(J20:J20)</f>
        <v>34231.369000000006</v>
      </c>
      <c r="M21" s="91"/>
    </row>
    <row r="22" spans="1:13" ht="15" customHeight="1" x14ac:dyDescent="0.35">
      <c r="A22" s="93"/>
      <c r="B22" s="90">
        <v>7</v>
      </c>
      <c r="C22" s="67" t="s">
        <v>180</v>
      </c>
      <c r="D22" s="68">
        <f>SUM(G22:G22)</f>
        <v>2</v>
      </c>
      <c r="E22" s="66" t="s">
        <v>50</v>
      </c>
      <c r="F22" s="67" t="s">
        <v>51</v>
      </c>
      <c r="G22" s="68">
        <v>2</v>
      </c>
      <c r="H22" s="69">
        <v>8706.81</v>
      </c>
      <c r="I22" s="70">
        <f>H22*G22</f>
        <v>17413.62</v>
      </c>
      <c r="J22" s="71">
        <f>I22*D$2</f>
        <v>40922.006999999998</v>
      </c>
      <c r="M22" s="91"/>
    </row>
    <row r="23" spans="1:13" ht="15" customHeight="1" x14ac:dyDescent="0.35">
      <c r="B23" s="75"/>
      <c r="C23" s="76"/>
      <c r="D23" s="77"/>
      <c r="E23" s="78"/>
      <c r="F23" s="76"/>
      <c r="G23" s="79"/>
      <c r="H23" s="80"/>
      <c r="I23" s="81" t="s">
        <v>42</v>
      </c>
      <c r="J23" s="82">
        <f>SUM(J22:K22)</f>
        <v>40922.006999999998</v>
      </c>
      <c r="M23" s="91"/>
    </row>
    <row r="24" spans="1:13" ht="15" customHeight="1" x14ac:dyDescent="0.35">
      <c r="B24" s="107">
        <v>8</v>
      </c>
      <c r="C24" s="108" t="s">
        <v>182</v>
      </c>
      <c r="D24" s="186">
        <f>SUM(G24:G25)</f>
        <v>2</v>
      </c>
      <c r="E24" s="109" t="s">
        <v>53</v>
      </c>
      <c r="F24" s="110" t="s">
        <v>54</v>
      </c>
      <c r="G24" s="111">
        <v>1</v>
      </c>
      <c r="H24" s="112">
        <v>12011.81</v>
      </c>
      <c r="I24" s="113">
        <f>H24*G24</f>
        <v>12011.81</v>
      </c>
      <c r="J24" s="114">
        <f>I24*D$2</f>
        <v>28227.753499999999</v>
      </c>
      <c r="K24" s="95" t="s">
        <v>55</v>
      </c>
      <c r="M24" s="91"/>
    </row>
    <row r="25" spans="1:13" ht="15" customHeight="1" x14ac:dyDescent="0.35">
      <c r="B25" s="107"/>
      <c r="C25" s="108"/>
      <c r="D25" s="186"/>
      <c r="E25" s="109" t="s">
        <v>56</v>
      </c>
      <c r="F25" s="110" t="s">
        <v>57</v>
      </c>
      <c r="G25" s="111">
        <v>1</v>
      </c>
      <c r="H25" s="112">
        <v>19454.48</v>
      </c>
      <c r="I25" s="113">
        <f>H25*G25</f>
        <v>19454.48</v>
      </c>
      <c r="J25" s="114">
        <f>I25*D$2</f>
        <v>45718.027999999998</v>
      </c>
      <c r="K25" s="96"/>
      <c r="M25" s="91"/>
    </row>
    <row r="26" spans="1:13" ht="15" customHeight="1" x14ac:dyDescent="0.35">
      <c r="B26" s="75"/>
      <c r="C26" s="76"/>
      <c r="D26" s="77"/>
      <c r="E26" s="78"/>
      <c r="F26" s="76"/>
      <c r="G26" s="79"/>
      <c r="H26" s="80"/>
      <c r="I26" s="81" t="s">
        <v>42</v>
      </c>
      <c r="J26" s="82">
        <f>SUM(J24:K25)</f>
        <v>73945.781499999997</v>
      </c>
      <c r="M26" s="91"/>
    </row>
    <row r="27" spans="1:13" ht="15" customHeight="1" x14ac:dyDescent="0.35">
      <c r="B27" s="115">
        <v>9</v>
      </c>
      <c r="C27" s="116" t="s">
        <v>21</v>
      </c>
      <c r="D27" s="117">
        <f>G27</f>
        <v>2</v>
      </c>
      <c r="E27" s="118" t="s">
        <v>58</v>
      </c>
      <c r="F27" s="116" t="s">
        <v>59</v>
      </c>
      <c r="G27" s="117">
        <v>2</v>
      </c>
      <c r="H27" s="119">
        <v>9508.7900000000009</v>
      </c>
      <c r="I27" s="120">
        <f>H27*G27</f>
        <v>19017.580000000002</v>
      </c>
      <c r="J27" s="121">
        <f>I27*D$2</f>
        <v>44691.313000000009</v>
      </c>
      <c r="M27" s="91"/>
    </row>
    <row r="28" spans="1:13" ht="15" thickBot="1" x14ac:dyDescent="0.4">
      <c r="B28" s="97"/>
      <c r="C28" s="98"/>
      <c r="D28" s="99"/>
      <c r="E28" s="100"/>
      <c r="F28" s="98"/>
      <c r="G28" s="101"/>
      <c r="H28" s="102"/>
      <c r="I28" s="81" t="s">
        <v>42</v>
      </c>
      <c r="J28" s="82">
        <f>SUM(J27)</f>
        <v>44691.313000000009</v>
      </c>
      <c r="M28" s="72"/>
    </row>
    <row r="29" spans="1:13" x14ac:dyDescent="0.35">
      <c r="I29" s="123" t="s">
        <v>60</v>
      </c>
      <c r="J29" s="124">
        <f>SUM(J28,J26,J21,J19,J17,J15,J12,J9,J23)</f>
        <v>539951.8578</v>
      </c>
      <c r="M29" s="72"/>
    </row>
    <row r="30" spans="1:13" ht="15" thickBot="1" x14ac:dyDescent="0.4">
      <c r="D30" s="122">
        <f>SUM(D5:D29)</f>
        <v>31</v>
      </c>
      <c r="G30" s="103">
        <f>SUM(G5:G29)</f>
        <v>31</v>
      </c>
      <c r="I30" s="104" t="s">
        <v>61</v>
      </c>
      <c r="J30" s="105">
        <f>J29*12</f>
        <v>6479422.2936000004</v>
      </c>
      <c r="K30" s="106"/>
      <c r="M30" s="72"/>
    </row>
  </sheetData>
  <mergeCells count="6">
    <mergeCell ref="D24:D25"/>
    <mergeCell ref="B5:B8"/>
    <mergeCell ref="C5:C8"/>
    <mergeCell ref="D5:D8"/>
    <mergeCell ref="D13:D14"/>
    <mergeCell ref="D10:D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R32"/>
  <sheetViews>
    <sheetView showGridLines="0" topLeftCell="B1" zoomScale="85" zoomScaleNormal="85" workbookViewId="0">
      <selection activeCell="N5" sqref="N5"/>
    </sheetView>
  </sheetViews>
  <sheetFormatPr defaultColWidth="9.1796875" defaultRowHeight="14.5" x14ac:dyDescent="0.35"/>
  <cols>
    <col min="1" max="1" width="4" style="1" customWidth="1"/>
    <col min="2" max="2" width="9.1796875" style="2"/>
    <col min="3" max="3" width="35.7265625" style="1" bestFit="1" customWidth="1"/>
    <col min="4" max="4" width="14.453125" style="1" customWidth="1"/>
    <col min="5" max="5" width="9.54296875" style="1" customWidth="1"/>
    <col min="6" max="6" width="14.26953125" style="1" customWidth="1"/>
    <col min="7" max="7" width="12.54296875" style="1" customWidth="1"/>
    <col min="8" max="8" width="15.1796875" style="1" customWidth="1"/>
    <col min="9" max="9" width="21.7265625" style="1" customWidth="1"/>
    <col min="10" max="10" width="12.54296875" style="1" customWidth="1"/>
    <col min="11" max="11" width="23" style="1" customWidth="1"/>
    <col min="12" max="12" width="18" style="1" customWidth="1"/>
    <col min="13" max="13" width="6.1796875" style="1" bestFit="1" customWidth="1"/>
    <col min="14" max="14" width="18.26953125" style="1" customWidth="1"/>
    <col min="15" max="15" width="27.26953125" style="1" customWidth="1"/>
    <col min="16" max="16384" width="9.1796875" style="1"/>
  </cols>
  <sheetData>
    <row r="2" spans="2:18" ht="60" x14ac:dyDescent="0.35">
      <c r="B2" s="13" t="s">
        <v>12</v>
      </c>
      <c r="C2" s="11" t="s">
        <v>13</v>
      </c>
      <c r="D2" s="11" t="s">
        <v>62</v>
      </c>
      <c r="E2" s="11" t="s">
        <v>63</v>
      </c>
      <c r="F2" s="11" t="s">
        <v>64</v>
      </c>
      <c r="G2" s="11" t="s">
        <v>65</v>
      </c>
      <c r="H2" s="11" t="s">
        <v>66</v>
      </c>
      <c r="I2" s="11" t="s">
        <v>67</v>
      </c>
      <c r="J2" s="11" t="s">
        <v>68</v>
      </c>
      <c r="K2" s="11" t="s">
        <v>69</v>
      </c>
      <c r="L2" s="11" t="s">
        <v>70</v>
      </c>
      <c r="M2" s="11" t="s">
        <v>71</v>
      </c>
      <c r="N2" s="11" t="s">
        <v>72</v>
      </c>
    </row>
    <row r="3" spans="2:18" x14ac:dyDescent="0.35">
      <c r="B3" s="12">
        <v>1</v>
      </c>
      <c r="C3" s="4" t="s">
        <v>16</v>
      </c>
      <c r="D3" s="147">
        <v>5</v>
      </c>
      <c r="E3" s="148">
        <f>D3*8</f>
        <v>40</v>
      </c>
      <c r="F3" s="147">
        <v>6</v>
      </c>
      <c r="G3" s="3">
        <f>F3*0.5</f>
        <v>3</v>
      </c>
      <c r="H3" s="3">
        <f>D3+F3</f>
        <v>11</v>
      </c>
      <c r="I3" s="3">
        <f>(E3+G3)*22</f>
        <v>946</v>
      </c>
      <c r="J3" s="5">
        <f>(D3+F3)/H$12</f>
        <v>0.42307692307692307</v>
      </c>
      <c r="K3" s="6">
        <f t="shared" ref="K3:K11" si="0">J$20*J3</f>
        <v>1302.1173611111112</v>
      </c>
      <c r="L3" s="7">
        <f>I3/K3</f>
        <v>0.72650901389777012</v>
      </c>
      <c r="M3" s="8">
        <f>1-L3</f>
        <v>0.27349098610222988</v>
      </c>
      <c r="N3" s="9">
        <f>ROUND(H3+H3*M3,0)</f>
        <v>14</v>
      </c>
    </row>
    <row r="4" spans="2:18" ht="26" x14ac:dyDescent="0.35">
      <c r="B4" s="12">
        <v>2</v>
      </c>
      <c r="C4" s="4" t="s">
        <v>184</v>
      </c>
      <c r="D4" s="147">
        <v>1</v>
      </c>
      <c r="E4" s="148">
        <f t="shared" ref="E4:E11" si="1">D4*8</f>
        <v>8</v>
      </c>
      <c r="F4" s="147">
        <v>2</v>
      </c>
      <c r="G4" s="3">
        <f t="shared" ref="G4:G11" si="2">F4*0.5</f>
        <v>1</v>
      </c>
      <c r="H4" s="3">
        <f>D4+F4</f>
        <v>3</v>
      </c>
      <c r="I4" s="3">
        <f>(E4+G4)*22</f>
        <v>198</v>
      </c>
      <c r="J4" s="5">
        <f t="shared" ref="J4:J11" si="3">(D4+F4)/H$12</f>
        <v>0.11538461538461539</v>
      </c>
      <c r="K4" s="6">
        <f t="shared" si="0"/>
        <v>355.1229166666667</v>
      </c>
      <c r="L4" s="7">
        <f>I4/K4</f>
        <v>0.55755342927038165</v>
      </c>
      <c r="M4" s="8">
        <f>1-L4</f>
        <v>0.44244657072961835</v>
      </c>
      <c r="N4" s="9">
        <v>2</v>
      </c>
    </row>
    <row r="5" spans="2:18" x14ac:dyDescent="0.35">
      <c r="B5" s="12">
        <v>3</v>
      </c>
      <c r="C5" s="4" t="s">
        <v>17</v>
      </c>
      <c r="D5" s="147">
        <v>2</v>
      </c>
      <c r="E5" s="148">
        <f t="shared" si="1"/>
        <v>16</v>
      </c>
      <c r="F5" s="147">
        <v>1</v>
      </c>
      <c r="G5" s="3">
        <f t="shared" si="2"/>
        <v>0.5</v>
      </c>
      <c r="H5" s="3">
        <f>D5+F5</f>
        <v>3</v>
      </c>
      <c r="I5" s="3">
        <f>(E5+G5)*22</f>
        <v>363</v>
      </c>
      <c r="J5" s="5">
        <f t="shared" si="3"/>
        <v>0.11538461538461539</v>
      </c>
      <c r="K5" s="6">
        <f t="shared" si="0"/>
        <v>355.1229166666667</v>
      </c>
      <c r="L5" s="7">
        <f>I5/K5</f>
        <v>1.0221812869956997</v>
      </c>
      <c r="M5" s="8">
        <f>1-L5</f>
        <v>-2.2181286995699656E-2</v>
      </c>
      <c r="N5" s="9">
        <f t="shared" ref="N5:N11" si="4">ROUND(H5+H5*M5,0)</f>
        <v>3</v>
      </c>
    </row>
    <row r="6" spans="2:18" x14ac:dyDescent="0.35">
      <c r="B6" s="12">
        <v>4</v>
      </c>
      <c r="C6" s="4" t="s">
        <v>18</v>
      </c>
      <c r="D6" s="147">
        <v>1</v>
      </c>
      <c r="E6" s="148">
        <f t="shared" si="1"/>
        <v>8</v>
      </c>
      <c r="F6" s="147">
        <v>1</v>
      </c>
      <c r="G6" s="3">
        <f t="shared" si="2"/>
        <v>0.5</v>
      </c>
      <c r="H6" s="3">
        <f>D6+F6</f>
        <v>2</v>
      </c>
      <c r="I6" s="3">
        <f>(E6+G6)*22</f>
        <v>187</v>
      </c>
      <c r="J6" s="5">
        <f t="shared" si="3"/>
        <v>7.6923076923076927E-2</v>
      </c>
      <c r="K6" s="6">
        <f t="shared" si="0"/>
        <v>236.74861111111113</v>
      </c>
      <c r="L6" s="7">
        <f t="shared" ref="L6" si="5">I6/K6</f>
        <v>0.78986735813304076</v>
      </c>
      <c r="M6" s="8">
        <f t="shared" ref="M6:M11" si="6">1-L6</f>
        <v>0.21013264186695924</v>
      </c>
      <c r="N6" s="9">
        <f t="shared" si="4"/>
        <v>2</v>
      </c>
    </row>
    <row r="7" spans="2:18" x14ac:dyDescent="0.35">
      <c r="B7" s="12">
        <v>5</v>
      </c>
      <c r="C7" s="4" t="s">
        <v>19</v>
      </c>
      <c r="D7" s="147">
        <v>0</v>
      </c>
      <c r="E7" s="148">
        <f t="shared" si="1"/>
        <v>0</v>
      </c>
      <c r="F7" s="147">
        <v>1</v>
      </c>
      <c r="G7" s="3">
        <f t="shared" si="2"/>
        <v>0.5</v>
      </c>
      <c r="H7" s="3">
        <f>D7+F7</f>
        <v>1</v>
      </c>
      <c r="I7" s="3">
        <f>(E7+G7)*22</f>
        <v>11</v>
      </c>
      <c r="J7" s="5">
        <f t="shared" si="3"/>
        <v>3.8461538461538464E-2</v>
      </c>
      <c r="K7" s="6">
        <f t="shared" si="0"/>
        <v>118.37430555555557</v>
      </c>
      <c r="L7" s="7">
        <f>I7/K7</f>
        <v>9.2925571545063618E-2</v>
      </c>
      <c r="M7" s="8">
        <f t="shared" si="6"/>
        <v>0.90707442845493635</v>
      </c>
      <c r="N7" s="9">
        <f>ROUND(H7+H7*M7,0)</f>
        <v>2</v>
      </c>
    </row>
    <row r="8" spans="2:18" x14ac:dyDescent="0.35">
      <c r="B8" s="12">
        <v>6</v>
      </c>
      <c r="C8" s="4" t="s">
        <v>20</v>
      </c>
      <c r="D8" s="147">
        <v>0</v>
      </c>
      <c r="E8" s="148">
        <f t="shared" si="1"/>
        <v>0</v>
      </c>
      <c r="F8" s="147">
        <v>1</v>
      </c>
      <c r="G8" s="3">
        <f t="shared" si="2"/>
        <v>0.5</v>
      </c>
      <c r="H8" s="3">
        <f t="shared" ref="H8:H11" si="7">D8+F8</f>
        <v>1</v>
      </c>
      <c r="I8" s="3">
        <f t="shared" ref="I8:I11" si="8">(E8+G8)*22</f>
        <v>11</v>
      </c>
      <c r="J8" s="5">
        <f t="shared" si="3"/>
        <v>3.8461538461538464E-2</v>
      </c>
      <c r="K8" s="6">
        <f t="shared" si="0"/>
        <v>118.37430555555557</v>
      </c>
      <c r="L8" s="7">
        <f t="shared" ref="L8:L11" si="9">I8/K8</f>
        <v>9.2925571545063618E-2</v>
      </c>
      <c r="M8" s="8">
        <f t="shared" si="6"/>
        <v>0.90707442845493635</v>
      </c>
      <c r="N8" s="9">
        <f t="shared" si="4"/>
        <v>2</v>
      </c>
    </row>
    <row r="9" spans="2:18" x14ac:dyDescent="0.35">
      <c r="B9" s="12">
        <v>7</v>
      </c>
      <c r="C9" s="4" t="s">
        <v>180</v>
      </c>
      <c r="D9" s="147">
        <v>1</v>
      </c>
      <c r="E9" s="148">
        <f t="shared" si="1"/>
        <v>8</v>
      </c>
      <c r="F9" s="147">
        <v>1</v>
      </c>
      <c r="G9" s="3">
        <f t="shared" si="2"/>
        <v>0.5</v>
      </c>
      <c r="H9" s="3">
        <f t="shared" si="7"/>
        <v>2</v>
      </c>
      <c r="I9" s="3">
        <f t="shared" si="8"/>
        <v>187</v>
      </c>
      <c r="J9" s="5">
        <f t="shared" si="3"/>
        <v>7.6923076923076927E-2</v>
      </c>
      <c r="K9" s="6">
        <f t="shared" si="0"/>
        <v>236.74861111111113</v>
      </c>
      <c r="L9" s="7">
        <f t="shared" si="9"/>
        <v>0.78986735813304076</v>
      </c>
      <c r="M9" s="8">
        <f t="shared" si="6"/>
        <v>0.21013264186695924</v>
      </c>
      <c r="N9" s="9">
        <f t="shared" si="4"/>
        <v>2</v>
      </c>
    </row>
    <row r="10" spans="2:18" x14ac:dyDescent="0.35">
      <c r="B10" s="12">
        <v>8</v>
      </c>
      <c r="C10" s="4" t="s">
        <v>182</v>
      </c>
      <c r="D10" s="147">
        <v>1</v>
      </c>
      <c r="E10" s="148">
        <f t="shared" si="1"/>
        <v>8</v>
      </c>
      <c r="F10" s="147">
        <v>1</v>
      </c>
      <c r="G10" s="3">
        <f t="shared" si="2"/>
        <v>0.5</v>
      </c>
      <c r="H10" s="3">
        <f t="shared" si="7"/>
        <v>2</v>
      </c>
      <c r="I10" s="3">
        <f t="shared" si="8"/>
        <v>187</v>
      </c>
      <c r="J10" s="5">
        <f t="shared" si="3"/>
        <v>7.6923076923076927E-2</v>
      </c>
      <c r="K10" s="6">
        <f t="shared" si="0"/>
        <v>236.74861111111113</v>
      </c>
      <c r="L10" s="7">
        <f t="shared" si="9"/>
        <v>0.78986735813304076</v>
      </c>
      <c r="M10" s="8">
        <f t="shared" si="6"/>
        <v>0.21013264186695924</v>
      </c>
      <c r="N10" s="9">
        <f t="shared" si="4"/>
        <v>2</v>
      </c>
    </row>
    <row r="11" spans="2:18" x14ac:dyDescent="0.35">
      <c r="B11" s="12">
        <v>9</v>
      </c>
      <c r="C11" s="4" t="s">
        <v>21</v>
      </c>
      <c r="D11" s="147">
        <v>0</v>
      </c>
      <c r="E11" s="148">
        <f t="shared" si="1"/>
        <v>0</v>
      </c>
      <c r="F11" s="147">
        <v>1</v>
      </c>
      <c r="G11" s="3">
        <f t="shared" si="2"/>
        <v>0.5</v>
      </c>
      <c r="H11" s="3">
        <f t="shared" si="7"/>
        <v>1</v>
      </c>
      <c r="I11" s="3">
        <f t="shared" si="8"/>
        <v>11</v>
      </c>
      <c r="J11" s="5">
        <f t="shared" si="3"/>
        <v>3.8461538461538464E-2</v>
      </c>
      <c r="K11" s="6">
        <f t="shared" si="0"/>
        <v>118.37430555555557</v>
      </c>
      <c r="L11" s="7">
        <f t="shared" si="9"/>
        <v>9.2925571545063618E-2</v>
      </c>
      <c r="M11" s="8">
        <f t="shared" si="6"/>
        <v>0.90707442845493635</v>
      </c>
      <c r="N11" s="9">
        <f t="shared" si="4"/>
        <v>2</v>
      </c>
      <c r="Q11" s="16"/>
    </row>
    <row r="12" spans="2:18" x14ac:dyDescent="0.35">
      <c r="B12"/>
      <c r="D12" s="193" t="s">
        <v>73</v>
      </c>
      <c r="E12" s="193"/>
      <c r="F12" s="193"/>
      <c r="G12" s="193"/>
      <c r="H12" s="10">
        <f>SUM(H3:H11)</f>
        <v>26</v>
      </c>
      <c r="N12" s="17">
        <f>SUM(N3:N11)</f>
        <v>31</v>
      </c>
    </row>
    <row r="13" spans="2:18" x14ac:dyDescent="0.35">
      <c r="B13"/>
      <c r="R13" s="16"/>
    </row>
    <row r="14" spans="2:18" ht="36" customHeight="1" x14ac:dyDescent="0.35">
      <c r="C14" s="138" t="s">
        <v>74</v>
      </c>
      <c r="D14" s="139">
        <v>2019</v>
      </c>
      <c r="E14" s="139">
        <v>2020</v>
      </c>
      <c r="F14" s="139">
        <v>2021</v>
      </c>
      <c r="G14" s="139" t="s">
        <v>75</v>
      </c>
      <c r="H14" s="139" t="s">
        <v>76</v>
      </c>
      <c r="I14" s="139" t="s">
        <v>77</v>
      </c>
      <c r="J14" s="139" t="s">
        <v>78</v>
      </c>
      <c r="L14" s="15"/>
      <c r="M14" s="15"/>
      <c r="N14" s="15"/>
    </row>
    <row r="15" spans="2:18" x14ac:dyDescent="0.35">
      <c r="C15" s="140" t="s">
        <v>79</v>
      </c>
      <c r="D15" s="141">
        <v>3843</v>
      </c>
      <c r="E15" s="141">
        <v>2854</v>
      </c>
      <c r="F15" s="141">
        <v>3441</v>
      </c>
      <c r="G15" s="141">
        <f>AVERAGE(D15:F15)</f>
        <v>3379.3333333333335</v>
      </c>
      <c r="H15" s="141">
        <f>G15/12</f>
        <v>281.61111111111114</v>
      </c>
      <c r="I15" s="142">
        <v>4</v>
      </c>
      <c r="J15" s="143">
        <f>H15*I15</f>
        <v>1126.4444444444446</v>
      </c>
      <c r="L15" s="15"/>
      <c r="M15" s="15"/>
      <c r="N15" s="15"/>
    </row>
    <row r="16" spans="2:18" x14ac:dyDescent="0.35">
      <c r="C16" s="140" t="s">
        <v>80</v>
      </c>
      <c r="D16" s="141">
        <v>2059</v>
      </c>
      <c r="E16" s="141">
        <v>1872</v>
      </c>
      <c r="F16" s="141">
        <v>994</v>
      </c>
      <c r="G16" s="141">
        <f>AVERAGE(D16:F16)</f>
        <v>1641.6666666666667</v>
      </c>
      <c r="H16" s="141">
        <f>G16/12</f>
        <v>136.80555555555557</v>
      </c>
      <c r="I16" s="142">
        <v>3.33</v>
      </c>
      <c r="J16" s="143">
        <f>H16*I16</f>
        <v>455.56250000000006</v>
      </c>
      <c r="L16" s="15"/>
      <c r="M16" s="15"/>
      <c r="N16" s="15"/>
    </row>
    <row r="17" spans="2:14" x14ac:dyDescent="0.35">
      <c r="C17" s="140" t="s">
        <v>81</v>
      </c>
      <c r="D17" s="141">
        <v>27</v>
      </c>
      <c r="E17" s="141">
        <v>31</v>
      </c>
      <c r="F17" s="141">
        <v>14</v>
      </c>
      <c r="G17" s="141">
        <f>AVERAGE(D17:F17)</f>
        <v>24</v>
      </c>
      <c r="H17" s="141">
        <f>G17/12</f>
        <v>2</v>
      </c>
      <c r="I17" s="142">
        <v>3.33</v>
      </c>
      <c r="J17" s="143">
        <f>H17*I17</f>
        <v>6.66</v>
      </c>
      <c r="L17" s="15"/>
      <c r="M17" s="15"/>
      <c r="N17" s="15"/>
    </row>
    <row r="18" spans="2:14" x14ac:dyDescent="0.35">
      <c r="C18" s="140" t="s">
        <v>82</v>
      </c>
      <c r="D18" s="141">
        <v>5291</v>
      </c>
      <c r="E18" s="141">
        <v>5373</v>
      </c>
      <c r="F18" s="141">
        <v>4278</v>
      </c>
      <c r="G18" s="141">
        <f>AVERAGE(D18:F18)</f>
        <v>4980.666666666667</v>
      </c>
      <c r="H18" s="141">
        <f>G18/12</f>
        <v>415.0555555555556</v>
      </c>
      <c r="I18" s="142">
        <v>3.33</v>
      </c>
      <c r="J18" s="143">
        <f>H18*I18</f>
        <v>1382.1350000000002</v>
      </c>
      <c r="L18" s="15"/>
      <c r="M18" s="15"/>
      <c r="N18" s="15"/>
    </row>
    <row r="19" spans="2:14" x14ac:dyDescent="0.35">
      <c r="C19" s="140" t="s">
        <v>83</v>
      </c>
      <c r="D19" s="141">
        <v>389</v>
      </c>
      <c r="E19" s="141">
        <v>378</v>
      </c>
      <c r="F19" s="141">
        <v>389</v>
      </c>
      <c r="G19" s="141">
        <f>AVERAGE(D19:F19)</f>
        <v>385.33333333333331</v>
      </c>
      <c r="H19" s="141">
        <f>G19/12</f>
        <v>32.111111111111107</v>
      </c>
      <c r="I19" s="142">
        <v>3.33</v>
      </c>
      <c r="J19" s="143">
        <f>H19*I19</f>
        <v>106.92999999999999</v>
      </c>
      <c r="L19" s="15"/>
      <c r="M19" s="15"/>
      <c r="N19" s="15"/>
    </row>
    <row r="20" spans="2:14" x14ac:dyDescent="0.35">
      <c r="C20" s="144"/>
      <c r="D20" s="144"/>
      <c r="E20" s="144"/>
      <c r="F20" s="144"/>
      <c r="G20" s="144"/>
      <c r="H20" s="144"/>
      <c r="I20" s="145"/>
      <c r="J20" s="146">
        <f>SUM(J15:J19)</f>
        <v>3077.7319444444447</v>
      </c>
      <c r="L20" s="15"/>
      <c r="M20" s="15"/>
      <c r="N20" s="15"/>
    </row>
    <row r="21" spans="2:14" ht="25.5" customHeight="1" x14ac:dyDescent="0.35">
      <c r="K21" s="15"/>
      <c r="L21" s="15"/>
      <c r="M21" s="15"/>
      <c r="N21" s="15"/>
    </row>
    <row r="22" spans="2:14" x14ac:dyDescent="0.35">
      <c r="B22" s="24" t="s">
        <v>84</v>
      </c>
      <c r="C22" s="25"/>
      <c r="D22" s="25"/>
      <c r="E22" s="25"/>
      <c r="F22" s="25"/>
      <c r="G22" s="25"/>
      <c r="H22" s="25"/>
      <c r="I22" s="25"/>
      <c r="J22" s="25"/>
      <c r="K22" s="14"/>
      <c r="L22" s="14"/>
      <c r="M22" s="14"/>
      <c r="N22" s="14"/>
    </row>
    <row r="23" spans="2:14" x14ac:dyDescent="0.35">
      <c r="B23" s="24" t="s">
        <v>85</v>
      </c>
      <c r="C23" s="25"/>
      <c r="D23" s="25"/>
      <c r="E23" s="25"/>
      <c r="F23" s="25"/>
      <c r="G23" s="25"/>
      <c r="H23" s="25"/>
      <c r="I23" s="25"/>
      <c r="J23" s="25"/>
    </row>
    <row r="24" spans="2:14" x14ac:dyDescent="0.35">
      <c r="B24" s="24" t="s">
        <v>86</v>
      </c>
      <c r="C24" s="25"/>
      <c r="D24" s="25"/>
      <c r="E24" s="25"/>
      <c r="F24" s="25"/>
      <c r="G24" s="25"/>
      <c r="H24" s="25"/>
      <c r="I24" s="25"/>
      <c r="J24" s="25"/>
    </row>
    <row r="25" spans="2:14" x14ac:dyDescent="0.35">
      <c r="B25" s="24" t="s">
        <v>87</v>
      </c>
      <c r="C25" s="25"/>
      <c r="D25" s="25"/>
      <c r="E25" s="25"/>
      <c r="F25" s="25"/>
      <c r="G25" s="25"/>
      <c r="H25" s="25"/>
      <c r="I25" s="25"/>
      <c r="J25" s="25"/>
    </row>
    <row r="26" spans="2:14" x14ac:dyDescent="0.35">
      <c r="B26" s="24" t="s">
        <v>88</v>
      </c>
      <c r="C26" s="25"/>
      <c r="D26" s="25"/>
      <c r="E26" s="25"/>
      <c r="F26" s="25"/>
      <c r="G26" s="25"/>
      <c r="H26" s="25"/>
      <c r="I26" s="25"/>
      <c r="J26" s="25"/>
    </row>
    <row r="27" spans="2:14" x14ac:dyDescent="0.35">
      <c r="B27" s="24" t="s">
        <v>89</v>
      </c>
      <c r="C27" s="25"/>
      <c r="D27" s="25"/>
      <c r="E27" s="25"/>
      <c r="F27" s="25"/>
      <c r="G27" s="25"/>
      <c r="H27" s="25"/>
      <c r="I27" s="25"/>
      <c r="J27" s="25"/>
    </row>
    <row r="28" spans="2:14" x14ac:dyDescent="0.35">
      <c r="B28" s="24" t="s">
        <v>90</v>
      </c>
      <c r="C28" s="25"/>
      <c r="D28" s="25"/>
      <c r="E28" s="25"/>
      <c r="F28" s="25"/>
      <c r="G28" s="25"/>
      <c r="H28" s="25"/>
      <c r="I28" s="25"/>
      <c r="J28" s="25"/>
    </row>
    <row r="29" spans="2:14" x14ac:dyDescent="0.35">
      <c r="B29" s="24" t="s">
        <v>91</v>
      </c>
      <c r="C29" s="25"/>
      <c r="D29" s="25"/>
      <c r="E29" s="25"/>
      <c r="F29" s="25"/>
      <c r="G29" s="25"/>
      <c r="H29" s="25"/>
      <c r="I29" s="25"/>
      <c r="J29" s="25"/>
    </row>
    <row r="30" spans="2:14" x14ac:dyDescent="0.35">
      <c r="B30" s="24" t="s">
        <v>92</v>
      </c>
      <c r="C30" s="25"/>
      <c r="D30" s="25"/>
      <c r="E30" s="25"/>
      <c r="F30" s="25"/>
      <c r="G30" s="25"/>
      <c r="H30" s="25"/>
      <c r="I30" s="25"/>
      <c r="J30" s="25"/>
    </row>
    <row r="31" spans="2:14" x14ac:dyDescent="0.35">
      <c r="B31" s="24" t="s">
        <v>93</v>
      </c>
      <c r="C31" s="25"/>
      <c r="D31" s="25"/>
      <c r="E31" s="25"/>
      <c r="F31" s="25"/>
      <c r="G31" s="25"/>
      <c r="H31" s="25"/>
      <c r="I31" s="25"/>
      <c r="J31" s="25"/>
    </row>
    <row r="32" spans="2:14" x14ac:dyDescent="0.35">
      <c r="B32" s="24" t="s">
        <v>94</v>
      </c>
      <c r="C32" s="25"/>
      <c r="D32" s="25"/>
      <c r="E32" s="25"/>
      <c r="F32" s="25"/>
      <c r="G32" s="25"/>
      <c r="H32" s="25"/>
      <c r="I32" s="25"/>
      <c r="J32" s="25"/>
    </row>
  </sheetData>
  <mergeCells count="1">
    <mergeCell ref="D12:G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6"/>
  <sheetViews>
    <sheetView workbookViewId="0">
      <selection activeCell="C3" sqref="C3"/>
    </sheetView>
  </sheetViews>
  <sheetFormatPr defaultRowHeight="14.5" x14ac:dyDescent="0.35"/>
  <cols>
    <col min="1" max="1" width="26.54296875" bestFit="1" customWidth="1"/>
    <col min="2" max="2" width="13.81640625" bestFit="1" customWidth="1"/>
    <col min="3" max="3" width="54.54296875" bestFit="1" customWidth="1"/>
    <col min="4" max="4" width="23.54296875" customWidth="1"/>
    <col min="5" max="5" width="22.453125" customWidth="1"/>
    <col min="6" max="6" width="27.453125" customWidth="1"/>
    <col min="7" max="7" width="15.81640625" customWidth="1"/>
    <col min="8" max="8" width="15.26953125" customWidth="1"/>
    <col min="9" max="9" width="11.453125" customWidth="1"/>
    <col min="12" max="12" width="16.54296875" bestFit="1" customWidth="1"/>
  </cols>
  <sheetData>
    <row r="1" spans="1:13" x14ac:dyDescent="0.35">
      <c r="J1" s="197" t="s">
        <v>95</v>
      </c>
      <c r="K1" s="197"/>
      <c r="L1" s="197"/>
      <c r="M1" s="197"/>
    </row>
    <row r="2" spans="1:13" ht="74.5" customHeight="1" x14ac:dyDescent="0.35">
      <c r="A2" s="18" t="s">
        <v>28</v>
      </c>
      <c r="B2" s="28" t="s">
        <v>96</v>
      </c>
      <c r="C2" s="29" t="s">
        <v>97</v>
      </c>
      <c r="D2" s="56" t="s">
        <v>98</v>
      </c>
      <c r="E2" s="27" t="s">
        <v>99</v>
      </c>
      <c r="F2" s="28" t="s">
        <v>178</v>
      </c>
      <c r="G2" s="56" t="s">
        <v>171</v>
      </c>
      <c r="H2" s="28"/>
      <c r="I2" s="28" t="s">
        <v>100</v>
      </c>
      <c r="J2" s="28" t="s">
        <v>101</v>
      </c>
      <c r="K2" s="28" t="s">
        <v>102</v>
      </c>
      <c r="L2" s="30" t="s">
        <v>103</v>
      </c>
      <c r="M2" s="30" t="s">
        <v>104</v>
      </c>
    </row>
    <row r="3" spans="1:13" x14ac:dyDescent="0.35">
      <c r="A3" s="19" t="s">
        <v>33</v>
      </c>
      <c r="B3" s="31" t="s">
        <v>105</v>
      </c>
      <c r="C3" s="32" t="s">
        <v>106</v>
      </c>
      <c r="D3" s="33">
        <v>1327.64</v>
      </c>
      <c r="E3" s="149">
        <v>1347.1828571428573</v>
      </c>
      <c r="F3" s="34">
        <v>1.4719997245380676E-2</v>
      </c>
      <c r="G3" s="172">
        <v>1409.97</v>
      </c>
      <c r="H3" s="149"/>
      <c r="I3" s="34">
        <v>6.3144647664345271E-2</v>
      </c>
      <c r="J3" s="198">
        <v>29125</v>
      </c>
      <c r="K3" s="35">
        <f>103+222</f>
        <v>325</v>
      </c>
      <c r="L3" s="36">
        <v>4</v>
      </c>
      <c r="M3" s="36">
        <v>1</v>
      </c>
    </row>
    <row r="4" spans="1:13" x14ac:dyDescent="0.35">
      <c r="A4" s="20" t="s">
        <v>33</v>
      </c>
      <c r="B4" s="37" t="s">
        <v>107</v>
      </c>
      <c r="C4" s="38" t="s">
        <v>108</v>
      </c>
      <c r="D4" s="39">
        <v>1601.68</v>
      </c>
      <c r="E4" s="150">
        <v>1798.4779999999998</v>
      </c>
      <c r="F4" s="40">
        <v>0.12286973677638464</v>
      </c>
      <c r="G4" s="173">
        <v>2022.12</v>
      </c>
      <c r="H4" s="150"/>
      <c r="I4" s="40">
        <v>7.5921461015305947E-2</v>
      </c>
      <c r="J4" s="195"/>
      <c r="K4" s="35">
        <f>117+173</f>
        <v>290</v>
      </c>
      <c r="L4" s="35">
        <v>7</v>
      </c>
      <c r="M4" s="35">
        <v>1</v>
      </c>
    </row>
    <row r="5" spans="1:13" x14ac:dyDescent="0.35">
      <c r="A5" s="19" t="s">
        <v>33</v>
      </c>
      <c r="B5" s="37" t="s">
        <v>109</v>
      </c>
      <c r="C5" s="38" t="s">
        <v>34</v>
      </c>
      <c r="D5" s="39">
        <v>2434.6799999999998</v>
      </c>
      <c r="E5" s="150">
        <v>2635.5225</v>
      </c>
      <c r="F5" s="40">
        <v>8.2492360392330905E-2</v>
      </c>
      <c r="G5" s="173">
        <v>2843.14</v>
      </c>
      <c r="H5" s="150"/>
      <c r="I5" s="40">
        <v>0.1179414672262324</v>
      </c>
      <c r="J5" s="195"/>
      <c r="K5" s="35">
        <f>220+395</f>
        <v>615</v>
      </c>
      <c r="L5" s="35">
        <v>4</v>
      </c>
      <c r="M5" s="35">
        <v>1</v>
      </c>
    </row>
    <row r="6" spans="1:13" x14ac:dyDescent="0.35">
      <c r="A6" s="20" t="s">
        <v>36</v>
      </c>
      <c r="B6" s="41" t="s">
        <v>110</v>
      </c>
      <c r="C6" s="42" t="s">
        <v>111</v>
      </c>
      <c r="D6" s="43">
        <v>1352.79</v>
      </c>
      <c r="E6" s="151">
        <v>1572.22</v>
      </c>
      <c r="F6" s="44">
        <v>0.16220551600765828</v>
      </c>
      <c r="G6" s="174">
        <v>1424.34</v>
      </c>
      <c r="H6" s="151"/>
      <c r="I6" s="44">
        <v>0.29355225376987565</v>
      </c>
      <c r="J6" s="196">
        <v>17915</v>
      </c>
      <c r="K6" s="45"/>
      <c r="L6" s="45">
        <v>0</v>
      </c>
      <c r="M6" s="45">
        <v>1</v>
      </c>
    </row>
    <row r="7" spans="1:13" x14ac:dyDescent="0.35">
      <c r="A7" s="19" t="s">
        <v>36</v>
      </c>
      <c r="B7" s="41" t="s">
        <v>112</v>
      </c>
      <c r="C7" s="42" t="s">
        <v>113</v>
      </c>
      <c r="D7" s="43">
        <v>1507.06</v>
      </c>
      <c r="E7" s="151">
        <v>1854.0199999999998</v>
      </c>
      <c r="F7" s="44">
        <v>0.23022308335434544</v>
      </c>
      <c r="G7" s="174">
        <v>1944.94</v>
      </c>
      <c r="H7" s="151"/>
      <c r="I7" s="44">
        <v>0.269324838329701</v>
      </c>
      <c r="J7" s="195"/>
      <c r="K7" s="45"/>
      <c r="L7" s="45">
        <v>0</v>
      </c>
      <c r="M7" s="45">
        <v>1</v>
      </c>
    </row>
    <row r="8" spans="1:13" x14ac:dyDescent="0.35">
      <c r="A8" s="20" t="s">
        <v>36</v>
      </c>
      <c r="B8" s="41" t="s">
        <v>114</v>
      </c>
      <c r="C8" s="42" t="s">
        <v>37</v>
      </c>
      <c r="D8" s="43">
        <v>2151.88</v>
      </c>
      <c r="E8" s="151">
        <v>2670.7357142857145</v>
      </c>
      <c r="F8" s="44">
        <v>0.24111740166074055</v>
      </c>
      <c r="G8" s="174">
        <v>2328.98</v>
      </c>
      <c r="H8" s="151"/>
      <c r="I8" s="44">
        <v>0.23899439654564281</v>
      </c>
      <c r="J8" s="195"/>
      <c r="K8" s="45"/>
      <c r="L8" s="45">
        <v>4</v>
      </c>
      <c r="M8" s="45">
        <v>1</v>
      </c>
    </row>
    <row r="9" spans="1:13" x14ac:dyDescent="0.35">
      <c r="A9" s="19" t="s">
        <v>38</v>
      </c>
      <c r="B9" s="37" t="s">
        <v>115</v>
      </c>
      <c r="C9" s="38" t="s">
        <v>39</v>
      </c>
      <c r="D9" s="39">
        <v>8018</v>
      </c>
      <c r="E9" s="150">
        <v>9632.9549999999999</v>
      </c>
      <c r="F9" s="40">
        <v>0.20141618857570465</v>
      </c>
      <c r="G9" s="173">
        <v>8327.89</v>
      </c>
      <c r="H9" s="150"/>
      <c r="I9" s="40">
        <v>0.22965570940647778</v>
      </c>
      <c r="J9" s="35">
        <v>1601</v>
      </c>
      <c r="K9" s="35"/>
      <c r="L9" s="35">
        <v>2</v>
      </c>
      <c r="M9" s="35">
        <v>1</v>
      </c>
    </row>
    <row r="10" spans="1:13" x14ac:dyDescent="0.35">
      <c r="A10" s="21" t="s">
        <v>41</v>
      </c>
      <c r="B10" s="41" t="s">
        <v>116</v>
      </c>
      <c r="C10" s="42" t="s">
        <v>117</v>
      </c>
      <c r="D10" s="43">
        <v>2012.34</v>
      </c>
      <c r="E10" s="151">
        <v>2845.0955555555556</v>
      </c>
      <c r="F10" s="44">
        <v>0.4138244807316635</v>
      </c>
      <c r="G10" s="174">
        <v>3498.5</v>
      </c>
      <c r="H10" s="151"/>
      <c r="I10" s="44">
        <v>0.31806415652333125</v>
      </c>
      <c r="J10" s="196">
        <v>36798</v>
      </c>
      <c r="K10" s="45"/>
      <c r="L10" s="45">
        <v>4</v>
      </c>
      <c r="M10" s="45">
        <v>4</v>
      </c>
    </row>
    <row r="11" spans="1:13" x14ac:dyDescent="0.35">
      <c r="A11" s="19" t="s">
        <v>41</v>
      </c>
      <c r="B11" s="41" t="s">
        <v>118</v>
      </c>
      <c r="C11" s="42" t="s">
        <v>119</v>
      </c>
      <c r="D11" s="43">
        <v>2794.54</v>
      </c>
      <c r="E11" s="151">
        <v>4475.4015384615395</v>
      </c>
      <c r="F11" s="44">
        <v>0.60148057943759603</v>
      </c>
      <c r="G11" s="174">
        <v>4982.26</v>
      </c>
      <c r="H11" s="151"/>
      <c r="I11" s="44">
        <v>0.29062537838231406</v>
      </c>
      <c r="J11" s="195"/>
      <c r="K11" s="45"/>
      <c r="L11" s="45">
        <v>8</v>
      </c>
      <c r="M11" s="45">
        <v>4</v>
      </c>
    </row>
    <row r="12" spans="1:13" x14ac:dyDescent="0.35">
      <c r="A12" s="20" t="s">
        <v>41</v>
      </c>
      <c r="B12" s="41" t="s">
        <v>120</v>
      </c>
      <c r="C12" s="42" t="s">
        <v>121</v>
      </c>
      <c r="D12" s="43">
        <v>5916.57</v>
      </c>
      <c r="E12" s="151">
        <v>6590.9003030303029</v>
      </c>
      <c r="F12" s="44">
        <v>0.11397318091906344</v>
      </c>
      <c r="G12" s="174">
        <v>7283.27</v>
      </c>
      <c r="H12" s="151"/>
      <c r="I12" s="44">
        <v>0.27687408118437418</v>
      </c>
      <c r="J12" s="195"/>
      <c r="K12" s="45"/>
      <c r="L12" s="45">
        <v>5</v>
      </c>
      <c r="M12" s="45">
        <v>5</v>
      </c>
    </row>
    <row r="13" spans="1:13" x14ac:dyDescent="0.35">
      <c r="A13" s="22" t="s">
        <v>122</v>
      </c>
      <c r="B13" s="37" t="s">
        <v>123</v>
      </c>
      <c r="C13" s="38" t="s">
        <v>43</v>
      </c>
      <c r="D13" s="39">
        <v>8174.1</v>
      </c>
      <c r="E13" s="150">
        <v>16582.2016666667</v>
      </c>
      <c r="F13" s="40">
        <v>1.0286272087039099</v>
      </c>
      <c r="G13" s="173">
        <v>14690.3</v>
      </c>
      <c r="H13" s="150"/>
      <c r="I13" s="40">
        <v>0.215796008895351</v>
      </c>
      <c r="J13" s="35">
        <f>1150+1214</f>
        <v>2364</v>
      </c>
      <c r="K13" s="35"/>
      <c r="L13" s="35">
        <v>1</v>
      </c>
      <c r="M13" s="35">
        <v>5</v>
      </c>
    </row>
    <row r="14" spans="1:13" x14ac:dyDescent="0.35">
      <c r="A14" s="20" t="s">
        <v>44</v>
      </c>
      <c r="B14" s="41" t="s">
        <v>124</v>
      </c>
      <c r="C14" s="42" t="s">
        <v>125</v>
      </c>
      <c r="D14" s="43">
        <v>3348.94</v>
      </c>
      <c r="E14" s="151">
        <v>4430.1133333333337</v>
      </c>
      <c r="F14" s="44">
        <v>0.32284046096177704</v>
      </c>
      <c r="G14" s="174">
        <v>4081.77</v>
      </c>
      <c r="H14" s="151"/>
      <c r="I14" s="44">
        <v>0.16151633264585422</v>
      </c>
      <c r="J14" s="196">
        <v>2862</v>
      </c>
      <c r="K14" s="45">
        <v>2</v>
      </c>
      <c r="L14" s="45">
        <v>2</v>
      </c>
      <c r="M14" s="45">
        <v>2</v>
      </c>
    </row>
    <row r="15" spans="1:13" x14ac:dyDescent="0.35">
      <c r="A15" s="19" t="s">
        <v>44</v>
      </c>
      <c r="B15" s="41" t="s">
        <v>126</v>
      </c>
      <c r="C15" s="42" t="s">
        <v>127</v>
      </c>
      <c r="D15" s="43">
        <v>6091.28</v>
      </c>
      <c r="E15" s="151">
        <v>6506.0140000000001</v>
      </c>
      <c r="F15" s="44">
        <v>6.8086510552790289E-2</v>
      </c>
      <c r="G15" s="174">
        <v>6700.63</v>
      </c>
      <c r="H15" s="151"/>
      <c r="I15" s="44">
        <v>5.2546628587331855E-2</v>
      </c>
      <c r="J15" s="195"/>
      <c r="K15" s="45">
        <v>7</v>
      </c>
      <c r="L15" s="45">
        <v>3</v>
      </c>
      <c r="M15" s="45">
        <v>2</v>
      </c>
    </row>
    <row r="16" spans="1:13" x14ac:dyDescent="0.35">
      <c r="A16" s="20" t="s">
        <v>44</v>
      </c>
      <c r="B16" s="41" t="s">
        <v>128</v>
      </c>
      <c r="C16" s="42" t="s">
        <v>45</v>
      </c>
      <c r="D16" s="43">
        <v>8090.91</v>
      </c>
      <c r="E16" s="151">
        <v>9929.0949999999993</v>
      </c>
      <c r="F16" s="44">
        <v>0.22719137896726074</v>
      </c>
      <c r="G16" s="174">
        <v>9726.4599999999991</v>
      </c>
      <c r="H16" s="151"/>
      <c r="I16" s="44">
        <v>0.26643549076558848</v>
      </c>
      <c r="J16" s="195"/>
      <c r="K16" s="45">
        <v>9</v>
      </c>
      <c r="L16" s="45">
        <v>4</v>
      </c>
      <c r="M16" s="45">
        <v>2</v>
      </c>
    </row>
    <row r="17" spans="1:13" x14ac:dyDescent="0.35">
      <c r="A17" s="22" t="s">
        <v>47</v>
      </c>
      <c r="B17" s="46" t="s">
        <v>129</v>
      </c>
      <c r="C17" s="47" t="s">
        <v>130</v>
      </c>
      <c r="D17" s="48">
        <v>2419.7800000000002</v>
      </c>
      <c r="E17" s="152">
        <v>2417.1025</v>
      </c>
      <c r="F17" s="49">
        <v>-1.1065055500914282E-3</v>
      </c>
      <c r="G17" s="175">
        <v>4183.0200000000004</v>
      </c>
      <c r="H17" s="152"/>
      <c r="I17" s="49">
        <v>0.1450206217856454</v>
      </c>
      <c r="J17" s="194">
        <v>3016</v>
      </c>
      <c r="K17" s="50">
        <v>15</v>
      </c>
      <c r="L17" s="50">
        <v>1</v>
      </c>
      <c r="M17" s="50">
        <v>1</v>
      </c>
    </row>
    <row r="18" spans="1:13" x14ac:dyDescent="0.35">
      <c r="A18" s="20" t="s">
        <v>47</v>
      </c>
      <c r="B18" s="46" t="s">
        <v>131</v>
      </c>
      <c r="C18" s="47" t="s">
        <v>132</v>
      </c>
      <c r="D18" s="48">
        <v>4276.6000000000004</v>
      </c>
      <c r="E18" s="152">
        <v>4787.7562500000004</v>
      </c>
      <c r="F18" s="49">
        <v>0.11952397932937379</v>
      </c>
      <c r="G18" s="175">
        <v>6482.74</v>
      </c>
      <c r="H18" s="152"/>
      <c r="I18" s="49">
        <v>0.24335003153714804</v>
      </c>
      <c r="J18" s="195"/>
      <c r="K18" s="50">
        <v>20</v>
      </c>
      <c r="L18" s="50">
        <v>4</v>
      </c>
      <c r="M18" s="50">
        <v>2</v>
      </c>
    </row>
    <row r="19" spans="1:13" x14ac:dyDescent="0.35">
      <c r="A19" s="19" t="s">
        <v>47</v>
      </c>
      <c r="B19" s="46" t="s">
        <v>133</v>
      </c>
      <c r="C19" s="47" t="s">
        <v>48</v>
      </c>
      <c r="D19" s="48">
        <v>7792.92</v>
      </c>
      <c r="E19" s="152">
        <v>8341.0542857142846</v>
      </c>
      <c r="F19" s="49">
        <v>7.0337471155136264E-2</v>
      </c>
      <c r="G19" s="175">
        <v>9299.35</v>
      </c>
      <c r="H19" s="152"/>
      <c r="I19" s="49">
        <v>0.35677050025272933</v>
      </c>
      <c r="J19" s="195"/>
      <c r="K19" s="50">
        <v>35</v>
      </c>
      <c r="L19" s="50">
        <v>2</v>
      </c>
      <c r="M19" s="50">
        <v>3</v>
      </c>
    </row>
    <row r="20" spans="1:13" x14ac:dyDescent="0.35">
      <c r="A20" s="21" t="s">
        <v>50</v>
      </c>
      <c r="B20" s="41" t="s">
        <v>134</v>
      </c>
      <c r="C20" s="42" t="s">
        <v>135</v>
      </c>
      <c r="D20" s="43">
        <v>2390.2600000000002</v>
      </c>
      <c r="E20" s="151">
        <v>3400.8811111111113</v>
      </c>
      <c r="F20" s="44">
        <v>0.42280802553325203</v>
      </c>
      <c r="G20" s="174">
        <v>4026.78</v>
      </c>
      <c r="H20" s="151"/>
      <c r="I20" s="44">
        <v>0.35449196986972686</v>
      </c>
      <c r="J20" s="196">
        <f>2091+13646</f>
        <v>15737</v>
      </c>
      <c r="K20" s="45">
        <f>10+2</f>
        <v>12</v>
      </c>
      <c r="L20" s="45">
        <v>2</v>
      </c>
      <c r="M20" s="45">
        <v>3</v>
      </c>
    </row>
    <row r="21" spans="1:13" x14ac:dyDescent="0.35">
      <c r="A21" s="19" t="s">
        <v>50</v>
      </c>
      <c r="B21" s="41" t="s">
        <v>136</v>
      </c>
      <c r="C21" s="42" t="s">
        <v>52</v>
      </c>
      <c r="D21" s="43">
        <v>3702.08</v>
      </c>
      <c r="E21" s="151">
        <v>4897.2884615384619</v>
      </c>
      <c r="F21" s="44">
        <v>0.32284782110015503</v>
      </c>
      <c r="G21" s="174">
        <v>5683.15</v>
      </c>
      <c r="H21" s="151"/>
      <c r="I21" s="44">
        <v>0.28394055872481427</v>
      </c>
      <c r="J21" s="195"/>
      <c r="K21" s="45">
        <f>7+7</f>
        <v>14</v>
      </c>
      <c r="L21" s="45">
        <v>6</v>
      </c>
      <c r="M21" s="45">
        <v>3</v>
      </c>
    </row>
    <row r="22" spans="1:13" x14ac:dyDescent="0.35">
      <c r="A22" s="20" t="s">
        <v>50</v>
      </c>
      <c r="B22" s="41" t="s">
        <v>137</v>
      </c>
      <c r="C22" s="42" t="s">
        <v>51</v>
      </c>
      <c r="D22" s="43">
        <v>6421.6</v>
      </c>
      <c r="E22" s="151">
        <v>7105.8433333333332</v>
      </c>
      <c r="F22" s="44">
        <v>0.10655340309787792</v>
      </c>
      <c r="G22" s="174">
        <v>8706.81</v>
      </c>
      <c r="H22" s="151"/>
      <c r="I22" s="44">
        <v>0.16805716617001432</v>
      </c>
      <c r="J22" s="195"/>
      <c r="K22" s="45">
        <f>17+9</f>
        <v>26</v>
      </c>
      <c r="L22" s="45">
        <v>3</v>
      </c>
      <c r="M22" s="45">
        <v>4</v>
      </c>
    </row>
    <row r="23" spans="1:13" x14ac:dyDescent="0.35">
      <c r="A23" s="19" t="s">
        <v>138</v>
      </c>
      <c r="B23" s="46" t="s">
        <v>139</v>
      </c>
      <c r="C23" s="47" t="s">
        <v>140</v>
      </c>
      <c r="D23" s="48">
        <v>1352</v>
      </c>
      <c r="E23" s="152">
        <v>1620.8400000000001</v>
      </c>
      <c r="F23" s="49">
        <v>0.19884615384615395</v>
      </c>
      <c r="G23" s="175">
        <v>1508.35</v>
      </c>
      <c r="H23" s="152"/>
      <c r="I23" s="49">
        <v>0.31910052978399278</v>
      </c>
      <c r="J23" s="194">
        <f>1850</f>
        <v>1850</v>
      </c>
      <c r="K23" s="50">
        <v>339</v>
      </c>
      <c r="L23" s="50">
        <v>0</v>
      </c>
      <c r="M23" s="50">
        <v>1</v>
      </c>
    </row>
    <row r="24" spans="1:13" x14ac:dyDescent="0.35">
      <c r="A24" s="20" t="s">
        <v>138</v>
      </c>
      <c r="B24" s="46" t="s">
        <v>141</v>
      </c>
      <c r="C24" s="47" t="s">
        <v>142</v>
      </c>
      <c r="D24" s="48">
        <v>1614.84</v>
      </c>
      <c r="E24" s="152">
        <v>1972.9775</v>
      </c>
      <c r="F24" s="49">
        <v>0.22177893785142805</v>
      </c>
      <c r="G24" s="175">
        <v>2373.61</v>
      </c>
      <c r="H24" s="152"/>
      <c r="I24" s="49">
        <v>0.22332180288471185</v>
      </c>
      <c r="J24" s="195"/>
      <c r="K24" s="50">
        <v>321</v>
      </c>
      <c r="L24" s="50">
        <v>1</v>
      </c>
      <c r="M24" s="50">
        <v>1</v>
      </c>
    </row>
    <row r="25" spans="1:13" x14ac:dyDescent="0.35">
      <c r="A25" s="19" t="s">
        <v>138</v>
      </c>
      <c r="B25" s="46" t="s">
        <v>143</v>
      </c>
      <c r="C25" s="47" t="s">
        <v>144</v>
      </c>
      <c r="D25" s="48">
        <v>2571.7399999999998</v>
      </c>
      <c r="E25" s="152">
        <v>2943.7033333333334</v>
      </c>
      <c r="F25" s="49">
        <v>0.1446348905151118</v>
      </c>
      <c r="G25" s="175">
        <v>2988.82</v>
      </c>
      <c r="H25" s="152"/>
      <c r="I25" s="49">
        <v>4.3896949524704451E-2</v>
      </c>
      <c r="J25" s="195"/>
      <c r="K25" s="50">
        <v>660</v>
      </c>
      <c r="L25" s="50">
        <v>1</v>
      </c>
      <c r="M25" s="50">
        <v>1</v>
      </c>
    </row>
    <row r="26" spans="1:13" x14ac:dyDescent="0.35">
      <c r="A26" s="20" t="s">
        <v>145</v>
      </c>
      <c r="B26" s="41" t="s">
        <v>146</v>
      </c>
      <c r="C26" s="42" t="s">
        <v>147</v>
      </c>
      <c r="D26" s="43">
        <v>2059.58</v>
      </c>
      <c r="E26" s="151">
        <v>4313.6324999999997</v>
      </c>
      <c r="F26" s="44">
        <v>1.0944233775818371</v>
      </c>
      <c r="G26" s="174">
        <v>4799.62</v>
      </c>
      <c r="H26" s="151"/>
      <c r="I26" s="44">
        <v>0.34312088727509338</v>
      </c>
      <c r="J26" s="196">
        <f>87126+39469</f>
        <v>126595</v>
      </c>
      <c r="K26" s="45">
        <f>89+10</f>
        <v>99</v>
      </c>
      <c r="L26" s="45">
        <v>0</v>
      </c>
      <c r="M26" s="45">
        <v>4</v>
      </c>
    </row>
    <row r="27" spans="1:13" x14ac:dyDescent="0.35">
      <c r="A27" s="19" t="s">
        <v>145</v>
      </c>
      <c r="B27" s="41" t="s">
        <v>148</v>
      </c>
      <c r="C27" s="42" t="s">
        <v>149</v>
      </c>
      <c r="D27" s="43">
        <v>3200</v>
      </c>
      <c r="E27" s="151">
        <v>7301.55</v>
      </c>
      <c r="F27" s="44">
        <v>1.2817343750000001</v>
      </c>
      <c r="G27" s="174">
        <v>7904.84</v>
      </c>
      <c r="H27" s="151"/>
      <c r="I27" s="44">
        <v>0.33994256746073603</v>
      </c>
      <c r="J27" s="195"/>
      <c r="K27" s="45">
        <f>70+10</f>
        <v>80</v>
      </c>
      <c r="L27" s="45">
        <v>1</v>
      </c>
      <c r="M27" s="45">
        <v>5</v>
      </c>
    </row>
    <row r="28" spans="1:13" x14ac:dyDescent="0.35">
      <c r="A28" s="20" t="s">
        <v>145</v>
      </c>
      <c r="B28" s="41" t="s">
        <v>150</v>
      </c>
      <c r="C28" s="42" t="s">
        <v>151</v>
      </c>
      <c r="D28" s="43">
        <v>6500</v>
      </c>
      <c r="E28" s="151">
        <v>9545.7546666666658</v>
      </c>
      <c r="F28" s="44">
        <v>0.46857764102564087</v>
      </c>
      <c r="G28" s="174">
        <v>11252.32</v>
      </c>
      <c r="H28" s="151"/>
      <c r="I28" s="44">
        <v>0.34214802261060401</v>
      </c>
      <c r="J28" s="195"/>
      <c r="K28" s="45">
        <f>159+20</f>
        <v>179</v>
      </c>
      <c r="L28" s="45">
        <v>1</v>
      </c>
      <c r="M28" s="45">
        <v>5</v>
      </c>
    </row>
    <row r="29" spans="1:13" x14ac:dyDescent="0.35">
      <c r="A29" s="22" t="s">
        <v>58</v>
      </c>
      <c r="B29" s="46" t="s">
        <v>152</v>
      </c>
      <c r="C29" s="47" t="s">
        <v>153</v>
      </c>
      <c r="D29" s="48">
        <v>2623.5</v>
      </c>
      <c r="E29" s="152">
        <v>3533.3466666666668</v>
      </c>
      <c r="F29" s="49">
        <v>0.34680642907058007</v>
      </c>
      <c r="G29" s="175">
        <v>4127.87</v>
      </c>
      <c r="H29" s="152"/>
      <c r="I29" s="49">
        <v>0.40970625584209697</v>
      </c>
      <c r="J29" s="194">
        <v>3577</v>
      </c>
      <c r="K29" s="50"/>
      <c r="L29" s="50">
        <v>1</v>
      </c>
      <c r="M29" s="50">
        <v>1</v>
      </c>
    </row>
    <row r="30" spans="1:13" x14ac:dyDescent="0.35">
      <c r="A30" s="21" t="s">
        <v>58</v>
      </c>
      <c r="B30" s="46" t="s">
        <v>154</v>
      </c>
      <c r="C30" s="47" t="s">
        <v>155</v>
      </c>
      <c r="D30" s="48">
        <v>3557.08</v>
      </c>
      <c r="E30" s="152">
        <v>5036.8933333333334</v>
      </c>
      <c r="F30" s="49">
        <v>0.41601913179724198</v>
      </c>
      <c r="G30" s="175">
        <v>6110.13</v>
      </c>
      <c r="H30" s="152"/>
      <c r="I30" s="49">
        <v>0.23354438864505725</v>
      </c>
      <c r="J30" s="195"/>
      <c r="K30" s="50"/>
      <c r="L30" s="50">
        <v>4</v>
      </c>
      <c r="M30" s="50">
        <v>1</v>
      </c>
    </row>
    <row r="31" spans="1:13" x14ac:dyDescent="0.35">
      <c r="A31" s="22" t="s">
        <v>58</v>
      </c>
      <c r="B31" s="46" t="s">
        <v>156</v>
      </c>
      <c r="C31" s="47" t="s">
        <v>59</v>
      </c>
      <c r="D31" s="48">
        <v>5674.89</v>
      </c>
      <c r="E31" s="152">
        <v>8141.8099999999995</v>
      </c>
      <c r="F31" s="49">
        <v>0.43470798552923473</v>
      </c>
      <c r="G31" s="175">
        <v>9508.7900000000009</v>
      </c>
      <c r="H31" s="152"/>
      <c r="I31" s="49">
        <v>0.30798053068598208</v>
      </c>
      <c r="J31" s="195"/>
      <c r="K31" s="50"/>
      <c r="L31" s="50">
        <v>1</v>
      </c>
      <c r="M31" s="50">
        <v>2</v>
      </c>
    </row>
    <row r="32" spans="1:13" x14ac:dyDescent="0.35">
      <c r="A32" s="21" t="s">
        <v>53</v>
      </c>
      <c r="B32" s="41" t="s">
        <v>157</v>
      </c>
      <c r="C32" s="42" t="s">
        <v>158</v>
      </c>
      <c r="D32" s="43">
        <v>4000</v>
      </c>
      <c r="E32" s="151">
        <v>4798.1499999999996</v>
      </c>
      <c r="F32" s="44">
        <v>0.1995374999999999</v>
      </c>
      <c r="G32" s="174">
        <v>6133.85</v>
      </c>
      <c r="H32" s="151"/>
      <c r="I32" s="44">
        <v>0.17656446674142912</v>
      </c>
      <c r="J32" s="196">
        <v>3325</v>
      </c>
      <c r="K32" s="45"/>
      <c r="L32" s="45">
        <v>2</v>
      </c>
      <c r="M32" s="45">
        <v>3</v>
      </c>
    </row>
    <row r="33" spans="1:13" x14ac:dyDescent="0.35">
      <c r="A33" s="22" t="s">
        <v>53</v>
      </c>
      <c r="B33" s="41" t="s">
        <v>159</v>
      </c>
      <c r="C33" s="42" t="s">
        <v>160</v>
      </c>
      <c r="D33" s="43">
        <v>5759.08</v>
      </c>
      <c r="E33" s="151">
        <v>7257.3103030303027</v>
      </c>
      <c r="F33" s="44">
        <v>0.2601509795019869</v>
      </c>
      <c r="G33" s="174">
        <v>7382.47</v>
      </c>
      <c r="H33" s="151"/>
      <c r="I33" s="44">
        <v>0.25655014815827365</v>
      </c>
      <c r="J33" s="195"/>
      <c r="K33" s="45"/>
      <c r="L33" s="45">
        <v>5</v>
      </c>
      <c r="M33" s="45">
        <v>5</v>
      </c>
    </row>
    <row r="34" spans="1:13" x14ac:dyDescent="0.35">
      <c r="A34" s="21" t="s">
        <v>53</v>
      </c>
      <c r="B34" s="41" t="s">
        <v>161</v>
      </c>
      <c r="C34" s="42" t="s">
        <v>162</v>
      </c>
      <c r="D34" s="43">
        <v>8079.37</v>
      </c>
      <c r="E34" s="151">
        <v>11581.683333333332</v>
      </c>
      <c r="F34" s="44">
        <v>0.4334884196828877</v>
      </c>
      <c r="G34" s="174">
        <v>12011.81</v>
      </c>
      <c r="H34" s="151"/>
      <c r="I34" s="44">
        <v>0.22485833011150583</v>
      </c>
      <c r="J34" s="195"/>
      <c r="K34" s="45"/>
      <c r="L34" s="45">
        <v>1</v>
      </c>
      <c r="M34" s="45">
        <v>6</v>
      </c>
    </row>
    <row r="35" spans="1:13" x14ac:dyDescent="0.35">
      <c r="A35" s="23" t="s">
        <v>56</v>
      </c>
      <c r="B35" s="51" t="s">
        <v>163</v>
      </c>
      <c r="C35" s="52" t="s">
        <v>57</v>
      </c>
      <c r="D35" s="53">
        <v>11126.77</v>
      </c>
      <c r="E35" s="153">
        <v>18369.878000000001</v>
      </c>
      <c r="F35" s="54">
        <v>0.65096231880410937</v>
      </c>
      <c r="G35" s="176">
        <v>19454.48</v>
      </c>
      <c r="H35" s="153"/>
      <c r="I35" s="54">
        <v>0.12038745986114995</v>
      </c>
      <c r="J35" s="55">
        <v>332</v>
      </c>
      <c r="K35" s="55"/>
      <c r="L35" s="55">
        <v>0</v>
      </c>
      <c r="M35" s="55">
        <v>4</v>
      </c>
    </row>
    <row r="36" spans="1:13" ht="72.5" x14ac:dyDescent="0.35">
      <c r="D36" s="26" t="s">
        <v>164</v>
      </c>
      <c r="E36" s="26" t="s">
        <v>165</v>
      </c>
      <c r="G36" s="177" t="s">
        <v>177</v>
      </c>
    </row>
  </sheetData>
  <mergeCells count="11">
    <mergeCell ref="J23:J25"/>
    <mergeCell ref="J26:J28"/>
    <mergeCell ref="J29:J31"/>
    <mergeCell ref="J32:J34"/>
    <mergeCell ref="J1:M1"/>
    <mergeCell ref="J3:J5"/>
    <mergeCell ref="J6:J8"/>
    <mergeCell ref="J10:J12"/>
    <mergeCell ref="J14:J16"/>
    <mergeCell ref="J17:J19"/>
    <mergeCell ref="J20:J2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5"/>
  <sheetViews>
    <sheetView topLeftCell="B1" workbookViewId="0">
      <selection activeCell="E9" sqref="E9"/>
    </sheetView>
  </sheetViews>
  <sheetFormatPr defaultRowHeight="14.5" x14ac:dyDescent="0.35"/>
  <cols>
    <col min="1" max="1" width="26.54296875" bestFit="1" customWidth="1"/>
    <col min="2" max="2" width="13.81640625" bestFit="1" customWidth="1"/>
    <col min="3" max="3" width="54.54296875" bestFit="1" customWidth="1"/>
    <col min="4" max="9" width="18.1796875" customWidth="1"/>
  </cols>
  <sheetData>
    <row r="2" spans="1:9" ht="74.5" customHeight="1" x14ac:dyDescent="0.35">
      <c r="A2" s="166" t="s">
        <v>28</v>
      </c>
      <c r="B2" s="159" t="s">
        <v>96</v>
      </c>
      <c r="C2" s="155" t="s">
        <v>97</v>
      </c>
      <c r="D2" s="156" t="s">
        <v>166</v>
      </c>
      <c r="E2" s="157" t="s">
        <v>167</v>
      </c>
      <c r="F2" s="158" t="s">
        <v>168</v>
      </c>
      <c r="G2" s="158" t="s">
        <v>169</v>
      </c>
      <c r="H2" s="163" t="s">
        <v>170</v>
      </c>
      <c r="I2" s="165" t="s">
        <v>176</v>
      </c>
    </row>
    <row r="3" spans="1:9" x14ac:dyDescent="0.35">
      <c r="A3" s="167" t="s">
        <v>173</v>
      </c>
      <c r="B3" s="168" t="s">
        <v>174</v>
      </c>
      <c r="C3" s="160" t="s">
        <v>175</v>
      </c>
      <c r="D3" s="161">
        <v>16685.34</v>
      </c>
      <c r="E3" s="162">
        <v>16821</v>
      </c>
      <c r="F3" s="162">
        <v>12294</v>
      </c>
      <c r="G3" s="162">
        <v>23000</v>
      </c>
      <c r="H3" s="164">
        <v>24400</v>
      </c>
      <c r="I3" s="162">
        <f>AVERAGE(D3:H3)</f>
        <v>18640.067999999999</v>
      </c>
    </row>
    <row r="4" spans="1:9" x14ac:dyDescent="0.35">
      <c r="D4" s="26"/>
      <c r="E4" s="26"/>
    </row>
    <row r="5" spans="1:9" x14ac:dyDescent="0.35">
      <c r="B5" t="s">
        <v>179</v>
      </c>
    </row>
  </sheetData>
  <hyperlinks>
    <hyperlink ref="D2" r:id="rId1" xr:uid="{00000000-0004-0000-0500-000000000000}"/>
    <hyperlink ref="E2" r:id="rId2" xr:uid="{00000000-0004-0000-0500-000001000000}"/>
    <hyperlink ref="F2" r:id="rId3" location="salary" xr:uid="{00000000-0004-0000-0500-000002000000}"/>
    <hyperlink ref="G2" r:id="rId4" xr:uid="{00000000-0004-0000-0500-000003000000}"/>
    <hyperlink ref="H2" r:id="rId5" xr:uid="{00000000-0004-0000-0500-000004000000}"/>
  </hyperlinks>
  <pageMargins left="0.511811024" right="0.511811024" top="0.78740157499999996" bottom="0.78740157499999996" header="0.31496062000000002" footer="0.31496062000000002"/>
  <pageSetup paperSize="9" orientation="landscape"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4a3d509-2589-4811-881a-4342779b1e8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415C8A686261F45B30CE19484507B35" ma:contentTypeVersion="12" ma:contentTypeDescription="Crie um novo documento." ma:contentTypeScope="" ma:versionID="4e51af9cc093a1a45ea2a0d08e52e90b">
  <xsd:schema xmlns:xsd="http://www.w3.org/2001/XMLSchema" xmlns:xs="http://www.w3.org/2001/XMLSchema" xmlns:p="http://schemas.microsoft.com/office/2006/metadata/properties" xmlns:ns3="e4a3d509-2589-4811-881a-4342779b1e8f" xmlns:ns4="fc9fc3c0-827e-4514-ba04-d99050fae664" targetNamespace="http://schemas.microsoft.com/office/2006/metadata/properties" ma:root="true" ma:fieldsID="48b1e71ecde5b72f059fa3cf98f7f90d" ns3:_="" ns4:_="">
    <xsd:import namespace="e4a3d509-2589-4811-881a-4342779b1e8f"/>
    <xsd:import namespace="fc9fc3c0-827e-4514-ba04-d99050fae6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3d509-2589-4811-881a-4342779b1e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4" nillable="true" ma:displayName="_activity" ma:hidden="true" ma:internalName="_activity">
      <xsd:simpleType>
        <xsd:restriction base="dms:Note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fc3c0-827e-4514-ba04-d99050fae66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BA0234-AE4E-4061-A02E-B764893549EF}">
  <ds:schemaRefs>
    <ds:schemaRef ds:uri="http://purl.org/dc/terms/"/>
    <ds:schemaRef ds:uri="http://schemas.microsoft.com/office/2006/metadata/properties"/>
    <ds:schemaRef ds:uri="e4a3d509-2589-4811-881a-4342779b1e8f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fc9fc3c0-827e-4514-ba04-d99050fae664"/>
  </ds:schemaRefs>
</ds:datastoreItem>
</file>

<file path=customXml/itemProps2.xml><?xml version="1.0" encoding="utf-8"?>
<ds:datastoreItem xmlns:ds="http://schemas.openxmlformats.org/officeDocument/2006/customXml" ds:itemID="{9D59CBEE-C1EC-44C6-A7DC-F9308781D0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3d509-2589-4811-881a-4342779b1e8f"/>
    <ds:schemaRef ds:uri="fc9fc3c0-827e-4514-ba04-d99050fae6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58DD9-07A6-4736-ACA5-4546AD8DE0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OBJETO</vt:lpstr>
      <vt:lpstr>Resumo</vt:lpstr>
      <vt:lpstr>Custos Fator K</vt:lpstr>
      <vt:lpstr>Estimativa Demanda</vt:lpstr>
      <vt:lpstr>Base Salarial Portaria</vt:lpstr>
      <vt:lpstr>Base Salarial Pesquisa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Josue Menezes Vieira</dc:creator>
  <cp:keywords/>
  <dc:description/>
  <cp:lastModifiedBy>Josue Menezes Vieira</cp:lastModifiedBy>
  <cp:revision/>
  <cp:lastPrinted>2023-05-30T13:53:30Z</cp:lastPrinted>
  <dcterms:created xsi:type="dcterms:W3CDTF">2020-10-22T19:14:39Z</dcterms:created>
  <dcterms:modified xsi:type="dcterms:W3CDTF">2023-09-22T18:24:35Z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0x0101006415C8A686261F45B30CE19484507B35</vt:lpwstr>
  </property>
</Properties>
</file>