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cdf1001\anac\SAS\GEAC\Dados econômicos\Documentos Contábeis\Demonstrações Contábeis Publicadas\13\"/>
    </mc:Choice>
  </mc:AlternateContent>
  <bookViews>
    <workbookView xWindow="0" yWindow="0" windowWidth="24000" windowHeight="9135" activeTab="1"/>
  </bookViews>
  <sheets>
    <sheet name="DRE 2013" sheetId="10" r:id="rId1"/>
    <sheet name="BP 2013" sheetId="11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0" l="1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4" i="10"/>
  <c r="E15" i="10"/>
  <c r="E6" i="10"/>
  <c r="E4" i="10"/>
  <c r="E3" i="10"/>
  <c r="F4" i="10"/>
  <c r="F5" i="10" s="1"/>
  <c r="F6" i="10"/>
  <c r="F11" i="10"/>
  <c r="F15" i="10" s="1"/>
  <c r="E109" i="11"/>
  <c r="E108" i="11"/>
  <c r="E107" i="11"/>
  <c r="E106" i="11"/>
  <c r="E105" i="11"/>
  <c r="E104" i="11"/>
  <c r="E103" i="11"/>
  <c r="E102" i="11"/>
  <c r="E101" i="11"/>
  <c r="E100" i="11"/>
  <c r="S98" i="11"/>
  <c r="S97" i="11"/>
  <c r="S96" i="11"/>
  <c r="S95" i="11"/>
  <c r="S93" i="11"/>
  <c r="S92" i="11"/>
  <c r="S89" i="11"/>
  <c r="S88" i="11"/>
  <c r="S86" i="11"/>
  <c r="B85" i="11"/>
  <c r="E96" i="11"/>
  <c r="E95" i="11"/>
  <c r="E94" i="11" s="1"/>
  <c r="E91" i="11" s="1"/>
  <c r="E87" i="11"/>
  <c r="E85" i="11" s="1"/>
  <c r="E86" i="11"/>
  <c r="S62" i="11"/>
  <c r="S61" i="11"/>
  <c r="S59" i="11"/>
  <c r="H52" i="11"/>
  <c r="H40" i="11"/>
  <c r="H53" i="11" s="1"/>
  <c r="H34" i="11"/>
  <c r="H33" i="11" s="1"/>
  <c r="H32" i="11"/>
  <c r="H46" i="11" s="1"/>
  <c r="H14" i="11"/>
  <c r="H13" i="11"/>
  <c r="H12" i="11" s="1"/>
  <c r="H11" i="11"/>
  <c r="H10" i="11"/>
  <c r="H6" i="11"/>
  <c r="H5" i="11" s="1"/>
  <c r="H3" i="11" s="1"/>
  <c r="H4" i="11"/>
  <c r="H19" i="11" s="1"/>
  <c r="H75" i="11"/>
  <c r="E5" i="10" l="1"/>
  <c r="E8" i="10" s="1"/>
  <c r="F8" i="10"/>
  <c r="F17" i="10" s="1"/>
  <c r="F20" i="10" s="1"/>
  <c r="H9" i="11"/>
  <c r="H20" i="11"/>
  <c r="H22" i="11"/>
  <c r="H23" i="11"/>
  <c r="H21" i="11"/>
  <c r="H25" i="11"/>
  <c r="H51" i="11"/>
  <c r="H18" i="11"/>
  <c r="H26" i="11"/>
  <c r="H37" i="11"/>
  <c r="H24" i="11"/>
  <c r="H47" i="11"/>
  <c r="H31" i="11"/>
  <c r="H49" i="11" s="1"/>
  <c r="H54" i="11"/>
  <c r="H50" i="11"/>
  <c r="H48" i="11"/>
  <c r="H74" i="11"/>
  <c r="H72" i="11"/>
  <c r="E17" i="10" l="1"/>
  <c r="E20" i="10" s="1"/>
  <c r="E25" i="10"/>
  <c r="E26" i="10" s="1"/>
  <c r="E27" i="10" s="1"/>
  <c r="E23" i="10"/>
  <c r="H76" i="11"/>
  <c r="H73" i="11"/>
  <c r="E22" i="10" l="1"/>
  <c r="E21" i="10"/>
  <c r="E24" i="10"/>
  <c r="M95" i="11" l="1"/>
  <c r="M94" i="11" s="1"/>
  <c r="M91" i="11" s="1"/>
  <c r="M98" i="11"/>
  <c r="I15" i="10" l="1"/>
  <c r="I6" i="10"/>
  <c r="I4" i="10"/>
  <c r="I3" i="10"/>
  <c r="H18" i="10"/>
  <c r="H16" i="10"/>
  <c r="H15" i="10"/>
  <c r="H6" i="10"/>
  <c r="H4" i="10"/>
  <c r="H3" i="10"/>
  <c r="G10" i="10"/>
  <c r="G15" i="10" s="1"/>
  <c r="G6" i="10"/>
  <c r="G3" i="10"/>
  <c r="N3" i="10"/>
  <c r="P3" i="10"/>
  <c r="P5" i="10" s="1"/>
  <c r="N4" i="10"/>
  <c r="O5" i="10"/>
  <c r="Q5" i="10"/>
  <c r="N6" i="10"/>
  <c r="O6" i="10"/>
  <c r="Q6" i="10"/>
  <c r="N7" i="10"/>
  <c r="N10" i="10"/>
  <c r="N11" i="10"/>
  <c r="N13" i="10"/>
  <c r="N14" i="10"/>
  <c r="O15" i="10"/>
  <c r="P15" i="10"/>
  <c r="Q15" i="10"/>
  <c r="N18" i="10"/>
  <c r="D18" i="10"/>
  <c r="D15" i="10"/>
  <c r="D6" i="10"/>
  <c r="D3" i="10"/>
  <c r="C15" i="10"/>
  <c r="C5" i="10"/>
  <c r="B12" i="10"/>
  <c r="B15" i="10" s="1"/>
  <c r="B4" i="10"/>
  <c r="B5" i="10" s="1"/>
  <c r="B8" i="10" s="1"/>
  <c r="O8" i="10" l="1"/>
  <c r="O17" i="10" s="1"/>
  <c r="O20" i="10" s="1"/>
  <c r="Q8" i="10"/>
  <c r="Q17" i="10" s="1"/>
  <c r="Q20" i="10" s="1"/>
  <c r="I5" i="10"/>
  <c r="H5" i="10"/>
  <c r="H8" i="10" s="1"/>
  <c r="H27" i="10" s="1"/>
  <c r="G5" i="10"/>
  <c r="G8" i="10" s="1"/>
  <c r="N5" i="10"/>
  <c r="N8" i="10" s="1"/>
  <c r="P8" i="10"/>
  <c r="N15" i="10"/>
  <c r="D5" i="10"/>
  <c r="D8" i="10" s="1"/>
  <c r="C8" i="10"/>
  <c r="B17" i="10"/>
  <c r="B20" i="10" s="1"/>
  <c r="B4" i="11"/>
  <c r="F4" i="11"/>
  <c r="G4" i="11"/>
  <c r="I4" i="11"/>
  <c r="K4" i="11"/>
  <c r="L4" i="11"/>
  <c r="O4" i="11"/>
  <c r="C6" i="11"/>
  <c r="D6" i="11"/>
  <c r="F6" i="11"/>
  <c r="G6" i="11"/>
  <c r="I6" i="11"/>
  <c r="K6" i="11"/>
  <c r="L6" i="11"/>
  <c r="M6" i="11"/>
  <c r="N6" i="11"/>
  <c r="O6" i="11"/>
  <c r="C7" i="11"/>
  <c r="D7" i="11"/>
  <c r="F7" i="11"/>
  <c r="G7" i="11"/>
  <c r="I7" i="11"/>
  <c r="K7" i="11"/>
  <c r="L7" i="11"/>
  <c r="M7" i="11"/>
  <c r="O7" i="11"/>
  <c r="P7" i="11"/>
  <c r="R7" i="11"/>
  <c r="F8" i="11"/>
  <c r="K8" i="11"/>
  <c r="F10" i="11"/>
  <c r="G10" i="11"/>
  <c r="I10" i="11"/>
  <c r="K10" i="11"/>
  <c r="L10" i="11"/>
  <c r="O10" i="11"/>
  <c r="F11" i="11"/>
  <c r="G11" i="11"/>
  <c r="I11" i="11"/>
  <c r="K11" i="11"/>
  <c r="L11" i="11"/>
  <c r="N11" i="11"/>
  <c r="O11" i="11"/>
  <c r="F13" i="11"/>
  <c r="G13" i="11"/>
  <c r="I13" i="11"/>
  <c r="K13" i="11"/>
  <c r="L13" i="11"/>
  <c r="O13" i="11"/>
  <c r="F14" i="11"/>
  <c r="G14" i="11"/>
  <c r="I14" i="11"/>
  <c r="K14" i="11"/>
  <c r="L14" i="11"/>
  <c r="O14" i="11"/>
  <c r="I15" i="11"/>
  <c r="L15" i="11"/>
  <c r="O15" i="11"/>
  <c r="C16" i="11"/>
  <c r="D16" i="11"/>
  <c r="G16" i="11"/>
  <c r="I16" i="11"/>
  <c r="K16" i="11"/>
  <c r="L16" i="11"/>
  <c r="M16" i="11"/>
  <c r="O16" i="11"/>
  <c r="B32" i="11"/>
  <c r="C32" i="11"/>
  <c r="F32" i="11"/>
  <c r="G32" i="11"/>
  <c r="I32" i="11"/>
  <c r="K32" i="11"/>
  <c r="L32" i="11"/>
  <c r="M32" i="11"/>
  <c r="O32" i="11"/>
  <c r="C34" i="11"/>
  <c r="F34" i="11"/>
  <c r="G34" i="11"/>
  <c r="I34" i="11"/>
  <c r="K34" i="11"/>
  <c r="L34" i="11"/>
  <c r="N34" i="11"/>
  <c r="O34" i="11"/>
  <c r="B35" i="11"/>
  <c r="C35" i="11"/>
  <c r="F35" i="11"/>
  <c r="G35" i="11"/>
  <c r="I35" i="11"/>
  <c r="K35" i="11"/>
  <c r="L35" i="11"/>
  <c r="M35" i="11"/>
  <c r="N35" i="11"/>
  <c r="O35" i="11"/>
  <c r="P35" i="11"/>
  <c r="R35" i="11"/>
  <c r="C36" i="11"/>
  <c r="K36" i="11"/>
  <c r="B38" i="11"/>
  <c r="F38" i="11"/>
  <c r="G38" i="11"/>
  <c r="I38" i="11"/>
  <c r="K38" i="11"/>
  <c r="L38" i="11"/>
  <c r="O38" i="11"/>
  <c r="F39" i="11"/>
  <c r="G39" i="11"/>
  <c r="I39" i="11"/>
  <c r="K39" i="11"/>
  <c r="L39" i="11"/>
  <c r="O39" i="11"/>
  <c r="B41" i="11"/>
  <c r="F41" i="11"/>
  <c r="G41" i="11"/>
  <c r="I41" i="11"/>
  <c r="K41" i="11"/>
  <c r="L41" i="11"/>
  <c r="O41" i="11"/>
  <c r="B42" i="11"/>
  <c r="F42" i="11"/>
  <c r="G42" i="11"/>
  <c r="I42" i="11"/>
  <c r="K42" i="11"/>
  <c r="L42" i="11"/>
  <c r="O42" i="11"/>
  <c r="G43" i="11"/>
  <c r="L43" i="11"/>
  <c r="O43" i="11"/>
  <c r="B44" i="11"/>
  <c r="C44" i="11"/>
  <c r="D44" i="11"/>
  <c r="G44" i="11"/>
  <c r="I44" i="11"/>
  <c r="K44" i="11"/>
  <c r="L44" i="11"/>
  <c r="M44" i="11"/>
  <c r="O44" i="11"/>
  <c r="B59" i="11"/>
  <c r="C59" i="11"/>
  <c r="D59" i="11"/>
  <c r="F59" i="11"/>
  <c r="G59" i="11"/>
  <c r="I59" i="11"/>
  <c r="J59" i="11"/>
  <c r="K59" i="11"/>
  <c r="M59" i="11"/>
  <c r="O59" i="11"/>
  <c r="C61" i="11"/>
  <c r="D61" i="11"/>
  <c r="F61" i="11"/>
  <c r="G61" i="11"/>
  <c r="I61" i="11"/>
  <c r="J61" i="11"/>
  <c r="K61" i="11"/>
  <c r="M61" i="11"/>
  <c r="O61" i="11"/>
  <c r="B62" i="11"/>
  <c r="C62" i="11"/>
  <c r="D62" i="11"/>
  <c r="F62" i="11"/>
  <c r="G62" i="11"/>
  <c r="I62" i="11"/>
  <c r="J62" i="11"/>
  <c r="K62" i="11"/>
  <c r="M62" i="11"/>
  <c r="O62" i="11"/>
  <c r="P62" i="11"/>
  <c r="R62" i="11"/>
  <c r="K63" i="11"/>
  <c r="M63" i="11"/>
  <c r="B65" i="11"/>
  <c r="C65" i="11"/>
  <c r="D65" i="11"/>
  <c r="F65" i="11"/>
  <c r="G65" i="11"/>
  <c r="I65" i="11"/>
  <c r="J65" i="11"/>
  <c r="K65" i="11"/>
  <c r="M65" i="11"/>
  <c r="O65" i="11"/>
  <c r="C66" i="11"/>
  <c r="D66" i="11"/>
  <c r="F66" i="11"/>
  <c r="I66" i="11"/>
  <c r="J66" i="11"/>
  <c r="K66" i="11"/>
  <c r="M66" i="11"/>
  <c r="O66" i="11"/>
  <c r="B68" i="11"/>
  <c r="C68" i="11"/>
  <c r="D68" i="11"/>
  <c r="F68" i="11"/>
  <c r="I68" i="11"/>
  <c r="J68" i="11"/>
  <c r="K68" i="11"/>
  <c r="M68" i="11"/>
  <c r="O68" i="11"/>
  <c r="B69" i="11"/>
  <c r="C69" i="11"/>
  <c r="D69" i="11"/>
  <c r="F69" i="11"/>
  <c r="I69" i="11"/>
  <c r="J69" i="11"/>
  <c r="K69" i="11"/>
  <c r="M69" i="11"/>
  <c r="O69" i="11"/>
  <c r="O70" i="11"/>
  <c r="B71" i="11"/>
  <c r="C71" i="11"/>
  <c r="D71" i="11"/>
  <c r="G71" i="11"/>
  <c r="I71" i="11"/>
  <c r="K71" i="11"/>
  <c r="M71" i="11"/>
  <c r="O71" i="11"/>
  <c r="B86" i="11"/>
  <c r="D86" i="11"/>
  <c r="F86" i="11"/>
  <c r="J86" i="11"/>
  <c r="K86" i="11"/>
  <c r="L86" i="11"/>
  <c r="N86" i="11"/>
  <c r="O86" i="11"/>
  <c r="Q86" i="11"/>
  <c r="I87" i="11"/>
  <c r="C88" i="11"/>
  <c r="D88" i="11"/>
  <c r="F88" i="11"/>
  <c r="G88" i="11"/>
  <c r="J88" i="11"/>
  <c r="K88" i="11"/>
  <c r="L88" i="11"/>
  <c r="N88" i="11"/>
  <c r="O88" i="11"/>
  <c r="R88" i="11"/>
  <c r="R87" i="11" s="1"/>
  <c r="B89" i="11"/>
  <c r="C89" i="11"/>
  <c r="D89" i="11"/>
  <c r="F89" i="11"/>
  <c r="G89" i="11"/>
  <c r="J89" i="11"/>
  <c r="K89" i="11"/>
  <c r="L89" i="11"/>
  <c r="N89" i="11"/>
  <c r="O89" i="11"/>
  <c r="P89" i="11"/>
  <c r="P87" i="11" s="1"/>
  <c r="Q89" i="11"/>
  <c r="Q87" i="11" s="1"/>
  <c r="K90" i="11"/>
  <c r="L90" i="11"/>
  <c r="B92" i="11"/>
  <c r="C92" i="11"/>
  <c r="D92" i="11"/>
  <c r="F92" i="11"/>
  <c r="G92" i="11"/>
  <c r="J92" i="11"/>
  <c r="K92" i="11"/>
  <c r="L92" i="11"/>
  <c r="O92" i="11"/>
  <c r="Q92" i="11"/>
  <c r="F93" i="11"/>
  <c r="J93" i="11"/>
  <c r="K93" i="11"/>
  <c r="L93" i="11"/>
  <c r="O93" i="11"/>
  <c r="P93" i="11"/>
  <c r="Q93" i="11"/>
  <c r="B95" i="11"/>
  <c r="D95" i="11"/>
  <c r="F95" i="11"/>
  <c r="G95" i="11"/>
  <c r="J95" i="11"/>
  <c r="K95" i="11"/>
  <c r="L95" i="11"/>
  <c r="O95" i="11"/>
  <c r="Q95" i="11"/>
  <c r="B96" i="11"/>
  <c r="F96" i="11"/>
  <c r="J96" i="11"/>
  <c r="K96" i="11"/>
  <c r="O96" i="11"/>
  <c r="Q96" i="11"/>
  <c r="O97" i="11"/>
  <c r="Q97" i="11"/>
  <c r="B98" i="11"/>
  <c r="C98" i="11"/>
  <c r="D98" i="11"/>
  <c r="G98" i="11"/>
  <c r="K98" i="11"/>
  <c r="L98" i="11"/>
  <c r="N98" i="11"/>
  <c r="O98" i="11"/>
  <c r="P98" i="11"/>
  <c r="R98" i="11"/>
  <c r="K3" i="10"/>
  <c r="L3" i="10"/>
  <c r="M3" i="10"/>
  <c r="M5" i="10" s="1"/>
  <c r="K4" i="10"/>
  <c r="J5" i="10"/>
  <c r="J6" i="10"/>
  <c r="K6" i="10"/>
  <c r="M6" i="10"/>
  <c r="L15" i="10"/>
  <c r="M10" i="10"/>
  <c r="M15" i="10" s="1"/>
  <c r="J11" i="10"/>
  <c r="J15" i="10" s="1"/>
  <c r="K11" i="10"/>
  <c r="K15" i="10" s="1"/>
  <c r="K18" i="10"/>
  <c r="Q60" i="11" l="1"/>
  <c r="S87" i="11"/>
  <c r="H17" i="10"/>
  <c r="H20" i="10" s="1"/>
  <c r="L5" i="10"/>
  <c r="I8" i="10"/>
  <c r="I17" i="10" s="1"/>
  <c r="I20" i="10" s="1"/>
  <c r="K5" i="10"/>
  <c r="K8" i="10" s="1"/>
  <c r="G17" i="10"/>
  <c r="G20" i="10" s="1"/>
  <c r="G27" i="10"/>
  <c r="J8" i="10"/>
  <c r="P17" i="10"/>
  <c r="P20" i="10" s="1"/>
  <c r="N17" i="10"/>
  <c r="N20" i="10" s="1"/>
  <c r="D23" i="10"/>
  <c r="D17" i="10"/>
  <c r="D20" i="10" s="1"/>
  <c r="D22" i="10" s="1"/>
  <c r="D25" i="10"/>
  <c r="C17" i="10"/>
  <c r="C20" i="10" s="1"/>
  <c r="B21" i="10"/>
  <c r="Q33" i="11"/>
  <c r="R60" i="11"/>
  <c r="P60" i="11"/>
  <c r="I60" i="11"/>
  <c r="O87" i="11"/>
  <c r="F87" i="11"/>
  <c r="L87" i="11"/>
  <c r="L60" i="11" s="1"/>
  <c r="Q94" i="11"/>
  <c r="M60" i="11"/>
  <c r="C87" i="11"/>
  <c r="J87" i="11"/>
  <c r="F60" i="11"/>
  <c r="N87" i="11"/>
  <c r="I33" i="11"/>
  <c r="K87" i="11"/>
  <c r="F33" i="11"/>
  <c r="D87" i="11"/>
  <c r="B87" i="11"/>
  <c r="D60" i="11"/>
  <c r="J60" i="11"/>
  <c r="L33" i="11"/>
  <c r="G87" i="11"/>
  <c r="D26" i="10"/>
  <c r="D27" i="10" s="1"/>
  <c r="M8" i="10"/>
  <c r="Q102" i="11" l="1"/>
  <c r="L8" i="10"/>
  <c r="L17" i="10" s="1"/>
  <c r="L20" i="10" s="1"/>
  <c r="J17" i="10"/>
  <c r="J20" i="10" s="1"/>
  <c r="D21" i="10"/>
  <c r="D24" i="10"/>
  <c r="C21" i="10"/>
  <c r="P52" i="11"/>
  <c r="C60" i="11"/>
  <c r="K60" i="11"/>
  <c r="M33" i="11"/>
  <c r="O60" i="11"/>
  <c r="D33" i="11"/>
  <c r="G60" i="11"/>
  <c r="N60" i="11"/>
  <c r="R33" i="11"/>
  <c r="Q52" i="11"/>
  <c r="J52" i="11"/>
  <c r="J33" i="11"/>
  <c r="B60" i="11"/>
  <c r="P33" i="11"/>
  <c r="M17" i="10"/>
  <c r="M20" i="10" s="1"/>
  <c r="K17" i="10"/>
  <c r="K20" i="10" s="1"/>
  <c r="B33" i="11" l="1"/>
  <c r="S60" i="11"/>
  <c r="M52" i="11"/>
  <c r="O52" i="11"/>
  <c r="I52" i="11"/>
  <c r="C33" i="11"/>
  <c r="G52" i="11"/>
  <c r="N33" i="11"/>
  <c r="D52" i="11"/>
  <c r="J94" i="11"/>
  <c r="J102" i="11" s="1"/>
  <c r="G33" i="11"/>
  <c r="O33" i="11"/>
  <c r="K33" i="11"/>
  <c r="C52" i="11" l="1"/>
  <c r="B24" i="11" l="1"/>
  <c r="B18" i="11" l="1"/>
  <c r="C24" i="11"/>
  <c r="Q24" i="11"/>
  <c r="F24" i="11"/>
  <c r="K24" i="11"/>
  <c r="M24" i="11"/>
  <c r="D24" i="11"/>
  <c r="I24" i="11"/>
  <c r="R24" i="11"/>
  <c r="O24" i="11"/>
  <c r="M18" i="11" l="1"/>
  <c r="Q18" i="11"/>
  <c r="R5" i="11"/>
  <c r="K5" i="11"/>
  <c r="C18" i="11"/>
  <c r="F18" i="11"/>
  <c r="R18" i="11" l="1"/>
  <c r="K18" i="11"/>
  <c r="L5" i="11"/>
  <c r="D5" i="11"/>
  <c r="O5" i="11"/>
  <c r="P5" i="11"/>
  <c r="O18" i="11"/>
  <c r="I5" i="11"/>
  <c r="J5" i="11"/>
  <c r="J18" i="11"/>
  <c r="L18" i="11"/>
  <c r="N5" i="11"/>
  <c r="G5" i="11"/>
  <c r="N18" i="11"/>
  <c r="I18" i="11"/>
  <c r="G18" i="11"/>
  <c r="D18" i="11"/>
  <c r="P18" i="11"/>
  <c r="O3" i="11" l="1"/>
  <c r="O21" i="11" s="1"/>
  <c r="P3" i="11"/>
  <c r="P21" i="11" s="1"/>
  <c r="C5" i="11"/>
  <c r="M5" i="11"/>
  <c r="M3" i="11" s="1"/>
  <c r="F5" i="11"/>
  <c r="Q5" i="11"/>
  <c r="Q3" i="11" s="1"/>
  <c r="Q21" i="11" s="1"/>
  <c r="B5" i="11"/>
  <c r="M21" i="11" l="1"/>
  <c r="F58" i="11"/>
  <c r="B58" i="11"/>
  <c r="Q106" i="11"/>
  <c r="Q107" i="11"/>
  <c r="Q108" i="11"/>
  <c r="K58" i="11"/>
  <c r="L106" i="11"/>
  <c r="N106" i="11"/>
  <c r="F106" i="11"/>
  <c r="M106" i="11"/>
  <c r="C106" i="11"/>
  <c r="J106" i="11"/>
  <c r="J108" i="11"/>
  <c r="J107" i="11"/>
  <c r="G79" i="11"/>
  <c r="K106" i="11"/>
  <c r="D106" i="11"/>
  <c r="P79" i="11"/>
  <c r="J24" i="11"/>
  <c r="J3" i="11"/>
  <c r="O106" i="11"/>
  <c r="P106" i="11"/>
  <c r="G3" i="11"/>
  <c r="Q105" i="11"/>
  <c r="R106" i="11"/>
  <c r="R58" i="11"/>
  <c r="N24" i="11"/>
  <c r="N3" i="11"/>
  <c r="L24" i="11"/>
  <c r="L3" i="11"/>
  <c r="G106" i="11"/>
  <c r="I106" i="11"/>
  <c r="J21" i="11" l="1"/>
  <c r="N21" i="11"/>
  <c r="G21" i="11"/>
  <c r="L21" i="11"/>
  <c r="B76" i="11"/>
  <c r="O74" i="11"/>
  <c r="O73" i="11"/>
  <c r="O47" i="11"/>
  <c r="M100" i="11"/>
  <c r="J100" i="11"/>
  <c r="R76" i="11"/>
  <c r="J12" i="11"/>
  <c r="J22" i="11" s="1"/>
  <c r="J74" i="11" s="1"/>
  <c r="P74" i="11"/>
  <c r="P73" i="11"/>
  <c r="J79" i="11"/>
  <c r="O100" i="11"/>
  <c r="O101" i="11"/>
  <c r="P46" i="11"/>
  <c r="D73" i="11"/>
  <c r="D74" i="11"/>
  <c r="G101" i="11"/>
  <c r="G100" i="11"/>
  <c r="L73" i="11"/>
  <c r="B12" i="11"/>
  <c r="F76" i="11"/>
  <c r="G74" i="11"/>
  <c r="G73" i="11"/>
  <c r="C100" i="11"/>
  <c r="C101" i="11"/>
  <c r="G46" i="11"/>
  <c r="Q100" i="11"/>
  <c r="Q101" i="11"/>
  <c r="B52" i="11"/>
  <c r="F52" i="11"/>
  <c r="F79" i="11" s="1"/>
  <c r="I73" i="11"/>
  <c r="L58" i="11"/>
  <c r="N58" i="11"/>
  <c r="N76" i="11" s="1"/>
  <c r="D46" i="11"/>
  <c r="D47" i="11"/>
  <c r="C46" i="11"/>
  <c r="P100" i="11"/>
  <c r="P101" i="11"/>
  <c r="K73" i="11"/>
  <c r="M73" i="11"/>
  <c r="M74" i="11"/>
  <c r="F73" i="11"/>
  <c r="N73" i="11"/>
  <c r="Q73" i="11"/>
  <c r="Q74" i="11"/>
  <c r="C12" i="11"/>
  <c r="D101" i="11"/>
  <c r="D100" i="11"/>
  <c r="R73" i="11"/>
  <c r="J105" i="11"/>
  <c r="J73" i="11"/>
  <c r="C74" i="11"/>
  <c r="C73" i="11"/>
  <c r="K76" i="11"/>
  <c r="M12" i="11"/>
  <c r="M26" i="11" l="1"/>
  <c r="M9" i="11"/>
  <c r="M23" i="11"/>
  <c r="M20" i="11"/>
  <c r="M25" i="11"/>
  <c r="M79" i="11" s="1"/>
  <c r="B40" i="11"/>
  <c r="B51" i="11" s="1"/>
  <c r="B79" i="11" s="1"/>
  <c r="B25" i="11"/>
  <c r="B20" i="11"/>
  <c r="B23" i="11"/>
  <c r="B9" i="11"/>
  <c r="B3" i="11" s="1"/>
  <c r="B22" i="11" s="1"/>
  <c r="B26" i="11"/>
  <c r="J40" i="11"/>
  <c r="J23" i="11"/>
  <c r="J9" i="11"/>
  <c r="J26" i="11"/>
  <c r="J25" i="11"/>
  <c r="J20" i="11"/>
  <c r="C26" i="11"/>
  <c r="C9" i="11"/>
  <c r="C3" i="11" s="1"/>
  <c r="C25" i="11"/>
  <c r="C79" i="11" s="1"/>
  <c r="C20" i="11"/>
  <c r="C23" i="11"/>
  <c r="M22" i="11"/>
  <c r="L76" i="11"/>
  <c r="K52" i="11"/>
  <c r="L52" i="11"/>
  <c r="B106" i="11"/>
  <c r="J46" i="11"/>
  <c r="J47" i="11"/>
  <c r="F12" i="11"/>
  <c r="Q46" i="11"/>
  <c r="N100" i="11"/>
  <c r="N52" i="11"/>
  <c r="N79" i="11" s="1"/>
  <c r="M47" i="11"/>
  <c r="M46" i="11"/>
  <c r="I47" i="11"/>
  <c r="M101" i="11"/>
  <c r="K67" i="11"/>
  <c r="B67" i="11"/>
  <c r="R52" i="11"/>
  <c r="C22" i="11" l="1"/>
  <c r="C21" i="11"/>
  <c r="F25" i="11"/>
  <c r="F23" i="11"/>
  <c r="F20" i="11"/>
  <c r="F9" i="11"/>
  <c r="F3" i="11" s="1"/>
  <c r="F22" i="11" s="1"/>
  <c r="F26" i="11"/>
  <c r="B37" i="11"/>
  <c r="B31" i="11" s="1"/>
  <c r="B49" i="11" s="1"/>
  <c r="B21" i="11"/>
  <c r="B53" i="11"/>
  <c r="B54" i="11"/>
  <c r="B48" i="11"/>
  <c r="K75" i="11"/>
  <c r="K80" i="11"/>
  <c r="K77" i="11"/>
  <c r="K64" i="11"/>
  <c r="K78" i="11"/>
  <c r="B80" i="11"/>
  <c r="B75" i="11"/>
  <c r="B81" i="11"/>
  <c r="B78" i="11"/>
  <c r="B64" i="11"/>
  <c r="K81" i="11"/>
  <c r="J53" i="11"/>
  <c r="J54" i="11"/>
  <c r="J51" i="11"/>
  <c r="J48" i="11"/>
  <c r="J37" i="11"/>
  <c r="J31" i="11" s="1"/>
  <c r="R79" i="11"/>
  <c r="R100" i="11"/>
  <c r="R101" i="11"/>
  <c r="R74" i="11"/>
  <c r="B19" i="11"/>
  <c r="B100" i="11"/>
  <c r="B101" i="11"/>
  <c r="K46" i="11"/>
  <c r="K47" i="11"/>
  <c r="B74" i="11"/>
  <c r="B73" i="11"/>
  <c r="S73" i="11" s="1"/>
  <c r="B77" i="11"/>
  <c r="K79" i="11"/>
  <c r="R47" i="11"/>
  <c r="R46" i="11"/>
  <c r="L79" i="11"/>
  <c r="K100" i="11"/>
  <c r="K101" i="11"/>
  <c r="F100" i="11"/>
  <c r="F74" i="11"/>
  <c r="B50" i="11" l="1"/>
  <c r="F21" i="11"/>
  <c r="J58" i="11"/>
  <c r="J49" i="11"/>
  <c r="J50" i="11"/>
  <c r="J19" i="11" s="1"/>
  <c r="B46" i="11"/>
  <c r="B47" i="11"/>
  <c r="L101" i="11"/>
  <c r="L100" i="11"/>
  <c r="L74" i="11"/>
  <c r="L47" i="11"/>
  <c r="L46" i="11"/>
  <c r="J76" i="11" l="1"/>
  <c r="N74" i="11" l="1"/>
  <c r="N85" i="11"/>
  <c r="N103" i="11" s="1"/>
  <c r="N12" i="11"/>
  <c r="D85" i="11"/>
  <c r="D12" i="11"/>
  <c r="P85" i="11"/>
  <c r="P12" i="11"/>
  <c r="O31" i="11"/>
  <c r="O58" i="11"/>
  <c r="O85" i="11"/>
  <c r="O12" i="11"/>
  <c r="I12" i="11"/>
  <c r="D40" i="11"/>
  <c r="D67" i="11"/>
  <c r="D64" i="11" s="1"/>
  <c r="O40" i="11"/>
  <c r="O48" i="11" s="1"/>
  <c r="O67" i="11"/>
  <c r="O64" i="11" s="1"/>
  <c r="C40" i="11"/>
  <c r="C67" i="11"/>
  <c r="I40" i="11"/>
  <c r="I67" i="11"/>
  <c r="I78" i="11" s="1"/>
  <c r="F40" i="11"/>
  <c r="F67" i="11"/>
  <c r="F81" i="11" s="1"/>
  <c r="N40" i="11"/>
  <c r="N67" i="11"/>
  <c r="N64" i="11" s="1"/>
  <c r="R40" i="11"/>
  <c r="R67" i="11"/>
  <c r="R80" i="11" s="1"/>
  <c r="P40" i="11"/>
  <c r="P48" i="11" s="1"/>
  <c r="P67" i="11"/>
  <c r="P64" i="11" s="1"/>
  <c r="F94" i="11"/>
  <c r="M40" i="11"/>
  <c r="M48" i="11" s="1"/>
  <c r="M67" i="11"/>
  <c r="M75" i="11" s="1"/>
  <c r="G67" i="11"/>
  <c r="L40" i="11"/>
  <c r="L48" i="11" s="1"/>
  <c r="J67" i="11"/>
  <c r="J75" i="11" s="1"/>
  <c r="F101" i="11"/>
  <c r="F46" i="11"/>
  <c r="F47" i="11"/>
  <c r="O94" i="11"/>
  <c r="O102" i="11" s="1"/>
  <c r="P94" i="11"/>
  <c r="P91" i="11" s="1"/>
  <c r="I74" i="11"/>
  <c r="I101" i="11"/>
  <c r="I100" i="11"/>
  <c r="L67" i="11"/>
  <c r="L75" i="11" s="1"/>
  <c r="N101" i="11"/>
  <c r="N47" i="11"/>
  <c r="N46" i="11"/>
  <c r="O91" i="11" l="1"/>
  <c r="N80" i="11"/>
  <c r="N81" i="11"/>
  <c r="G80" i="11"/>
  <c r="G81" i="11"/>
  <c r="G78" i="11"/>
  <c r="N54" i="11"/>
  <c r="N51" i="11"/>
  <c r="N53" i="11"/>
  <c r="N37" i="11"/>
  <c r="N31" i="11" s="1"/>
  <c r="F51" i="11"/>
  <c r="F53" i="11"/>
  <c r="F54" i="11"/>
  <c r="F37" i="11"/>
  <c r="F31" i="11" s="1"/>
  <c r="C75" i="11"/>
  <c r="C64" i="11"/>
  <c r="C78" i="11"/>
  <c r="C81" i="11"/>
  <c r="D54" i="11"/>
  <c r="D51" i="11"/>
  <c r="D53" i="11"/>
  <c r="O37" i="11"/>
  <c r="R51" i="11"/>
  <c r="R54" i="11"/>
  <c r="R53" i="11"/>
  <c r="N48" i="11"/>
  <c r="I75" i="11"/>
  <c r="I81" i="11"/>
  <c r="I80" i="11"/>
  <c r="C54" i="11"/>
  <c r="C53" i="11"/>
  <c r="C51" i="11"/>
  <c r="C37" i="11"/>
  <c r="C31" i="11" s="1"/>
  <c r="D48" i="11"/>
  <c r="P23" i="11"/>
  <c r="P25" i="11"/>
  <c r="P20" i="11"/>
  <c r="P26" i="11"/>
  <c r="P9" i="11"/>
  <c r="P24" i="11" s="1"/>
  <c r="P22" i="11"/>
  <c r="D23" i="11"/>
  <c r="D9" i="11"/>
  <c r="D3" i="11" s="1"/>
  <c r="D20" i="11"/>
  <c r="D25" i="11"/>
  <c r="D79" i="11" s="1"/>
  <c r="D26" i="11"/>
  <c r="N20" i="11"/>
  <c r="N9" i="11"/>
  <c r="N26" i="11"/>
  <c r="N25" i="11"/>
  <c r="N23" i="11"/>
  <c r="M64" i="11"/>
  <c r="M78" i="11"/>
  <c r="M80" i="11"/>
  <c r="M81" i="11"/>
  <c r="F107" i="11"/>
  <c r="F108" i="11"/>
  <c r="F105" i="11"/>
  <c r="P102" i="11"/>
  <c r="R48" i="11"/>
  <c r="F102" i="11"/>
  <c r="I48" i="11"/>
  <c r="I53" i="11"/>
  <c r="I51" i="11"/>
  <c r="I26" i="11"/>
  <c r="I25" i="11"/>
  <c r="I79" i="11" s="1"/>
  <c r="I23" i="11"/>
  <c r="I9" i="11"/>
  <c r="I3" i="11" s="1"/>
  <c r="O9" i="11"/>
  <c r="O25" i="11" s="1"/>
  <c r="O79" i="11" s="1"/>
  <c r="O20" i="11"/>
  <c r="O23" i="11"/>
  <c r="O26" i="11"/>
  <c r="O22" i="11"/>
  <c r="O76" i="11"/>
  <c r="O77" i="11"/>
  <c r="O46" i="11" s="1"/>
  <c r="P103" i="11"/>
  <c r="P109" i="11"/>
  <c r="P104" i="11"/>
  <c r="D103" i="11"/>
  <c r="D109" i="11"/>
  <c r="N22" i="11"/>
  <c r="M53" i="11"/>
  <c r="M51" i="11"/>
  <c r="M54" i="11"/>
  <c r="M37" i="11"/>
  <c r="M31" i="11" s="1"/>
  <c r="P75" i="11"/>
  <c r="P78" i="11"/>
  <c r="P81" i="11"/>
  <c r="P80" i="11"/>
  <c r="N75" i="11"/>
  <c r="N78" i="11"/>
  <c r="N77" i="11"/>
  <c r="F75" i="11"/>
  <c r="F64" i="11"/>
  <c r="F91" i="11" s="1"/>
  <c r="F85" i="11" s="1"/>
  <c r="F77" i="11"/>
  <c r="F78" i="11"/>
  <c r="F80" i="11"/>
  <c r="I54" i="11"/>
  <c r="C80" i="11"/>
  <c r="O75" i="11"/>
  <c r="O78" i="11"/>
  <c r="O81" i="11"/>
  <c r="O80" i="11"/>
  <c r="D75" i="11"/>
  <c r="D80" i="11"/>
  <c r="D78" i="11"/>
  <c r="D81" i="11"/>
  <c r="I20" i="11"/>
  <c r="O109" i="11"/>
  <c r="O103" i="11"/>
  <c r="O104" i="11"/>
  <c r="O49" i="11"/>
  <c r="O50" i="11"/>
  <c r="O19" i="11" s="1"/>
  <c r="N109" i="11"/>
  <c r="P105" i="11"/>
  <c r="P108" i="11"/>
  <c r="P107" i="11"/>
  <c r="J78" i="11"/>
  <c r="J80" i="11"/>
  <c r="J81" i="11"/>
  <c r="J101" i="11" s="1"/>
  <c r="J64" i="11"/>
  <c r="J91" i="11" s="1"/>
  <c r="J85" i="11" s="1"/>
  <c r="J77" i="11"/>
  <c r="P51" i="11"/>
  <c r="P53" i="11"/>
  <c r="P54" i="11"/>
  <c r="P37" i="11"/>
  <c r="P31" i="11" s="1"/>
  <c r="R75" i="11"/>
  <c r="R77" i="11"/>
  <c r="R64" i="11"/>
  <c r="R81" i="11"/>
  <c r="R78" i="11"/>
  <c r="O54" i="11"/>
  <c r="O53" i="11"/>
  <c r="O51" i="11"/>
  <c r="L80" i="11"/>
  <c r="L77" i="11"/>
  <c r="L64" i="11"/>
  <c r="L81" i="11"/>
  <c r="L78" i="11"/>
  <c r="O105" i="11"/>
  <c r="O108" i="11"/>
  <c r="O107" i="11"/>
  <c r="G75" i="11"/>
  <c r="F48" i="11"/>
  <c r="L51" i="11"/>
  <c r="L53" i="11"/>
  <c r="L54" i="11"/>
  <c r="L37" i="11"/>
  <c r="L31" i="11" s="1"/>
  <c r="C48" i="11"/>
  <c r="F104" i="11" l="1"/>
  <c r="I37" i="11"/>
  <c r="I31" i="11" s="1"/>
  <c r="I22" i="11"/>
  <c r="I21" i="11"/>
  <c r="M58" i="11"/>
  <c r="M49" i="11"/>
  <c r="M50" i="11"/>
  <c r="M19" i="11" s="1"/>
  <c r="F49" i="11"/>
  <c r="F50" i="11"/>
  <c r="F19" i="11" s="1"/>
  <c r="N50" i="11"/>
  <c r="N19" i="11" s="1"/>
  <c r="N49" i="11"/>
  <c r="C58" i="11"/>
  <c r="C49" i="11"/>
  <c r="C50" i="11"/>
  <c r="C19" i="11" s="1"/>
  <c r="P58" i="11"/>
  <c r="P49" i="11"/>
  <c r="P50" i="11"/>
  <c r="P19" i="11" s="1"/>
  <c r="F103" i="11"/>
  <c r="F109" i="11"/>
  <c r="J109" i="11"/>
  <c r="J103" i="11"/>
  <c r="J104" i="11"/>
  <c r="L49" i="11"/>
  <c r="L50" i="11"/>
  <c r="L19" i="11" s="1"/>
  <c r="D37" i="11"/>
  <c r="D31" i="11" s="1"/>
  <c r="D22" i="11"/>
  <c r="D21" i="11"/>
  <c r="P76" i="11" l="1"/>
  <c r="P77" i="11"/>
  <c r="P47" i="11" s="1"/>
  <c r="D58" i="11"/>
  <c r="D49" i="11"/>
  <c r="D50" i="11"/>
  <c r="D19" i="11" s="1"/>
  <c r="I58" i="11"/>
  <c r="I49" i="11"/>
  <c r="I50" i="11"/>
  <c r="I19" i="11" s="1"/>
  <c r="C76" i="11"/>
  <c r="C77" i="11"/>
  <c r="M76" i="11"/>
  <c r="M77" i="11"/>
  <c r="C47" i="11" l="1"/>
  <c r="I64" i="11"/>
  <c r="I76" i="11"/>
  <c r="I77" i="11"/>
  <c r="I46" i="11" s="1"/>
  <c r="D76" i="11"/>
  <c r="D77" i="11"/>
  <c r="R31" i="11"/>
  <c r="R50" i="11" s="1"/>
  <c r="R19" i="11"/>
  <c r="K3" i="11"/>
  <c r="K22" i="11" s="1"/>
  <c r="K12" i="11"/>
  <c r="K26" i="11" s="1"/>
  <c r="K74" i="11"/>
  <c r="S74" i="11" s="1"/>
  <c r="K40" i="11"/>
  <c r="K53" i="11" s="1"/>
  <c r="K31" i="11"/>
  <c r="K49" i="11" s="1"/>
  <c r="R3" i="11"/>
  <c r="R21" i="11" s="1"/>
  <c r="R12" i="11"/>
  <c r="R9" i="11" s="1"/>
  <c r="R37" i="11"/>
  <c r="L12" i="11"/>
  <c r="L22" i="11" s="1"/>
  <c r="G12" i="11"/>
  <c r="G22" i="11" s="1"/>
  <c r="G24" i="11"/>
  <c r="G40" i="11"/>
  <c r="G51" i="11" s="1"/>
  <c r="Q12" i="11"/>
  <c r="Q20" i="11" s="1"/>
  <c r="Q79" i="11"/>
  <c r="S79" i="11" s="1"/>
  <c r="Q40" i="11"/>
  <c r="Q37" i="11" s="1"/>
  <c r="D94" i="11"/>
  <c r="D104" i="11" s="1"/>
  <c r="D107" i="11"/>
  <c r="G94" i="11"/>
  <c r="G108" i="11" s="1"/>
  <c r="B94" i="11"/>
  <c r="B91" i="11" s="1"/>
  <c r="B103" i="11"/>
  <c r="K85" i="11"/>
  <c r="K103" i="11" s="1"/>
  <c r="K94" i="11"/>
  <c r="K108" i="11" s="1"/>
  <c r="M109" i="11"/>
  <c r="M103" i="11"/>
  <c r="B109" i="11"/>
  <c r="L85" i="11"/>
  <c r="L103" i="11" s="1"/>
  <c r="L94" i="11"/>
  <c r="L91" i="11" s="1"/>
  <c r="L105" i="11"/>
  <c r="L107" i="11"/>
  <c r="M108" i="11"/>
  <c r="G37" i="11"/>
  <c r="G31" i="11"/>
  <c r="G50" i="11" s="1"/>
  <c r="G54" i="11"/>
  <c r="G19" i="11"/>
  <c r="G58" i="11"/>
  <c r="G77" i="11" s="1"/>
  <c r="G85" i="11"/>
  <c r="G109" i="11" s="1"/>
  <c r="K19" i="11"/>
  <c r="G47" i="11"/>
  <c r="G64" i="11"/>
  <c r="Q85" i="11"/>
  <c r="C85" i="11"/>
  <c r="C103" i="11" s="1"/>
  <c r="C94" i="11"/>
  <c r="C107" i="11" s="1"/>
  <c r="Q31" i="11"/>
  <c r="Q19" i="11"/>
  <c r="Q58" i="11"/>
  <c r="Q76" i="11" s="1"/>
  <c r="Q67" i="11"/>
  <c r="Q47" i="11"/>
  <c r="Q91" i="11"/>
  <c r="Q80" i="11"/>
  <c r="S80" i="11" s="1"/>
  <c r="I94" i="11"/>
  <c r="I108" i="11" s="1"/>
  <c r="I91" i="11"/>
  <c r="I85" i="11"/>
  <c r="I104" i="11" s="1"/>
  <c r="I105" i="11"/>
  <c r="I102" i="11"/>
  <c r="N94" i="11"/>
  <c r="N104" i="11" s="1"/>
  <c r="R85" i="11"/>
  <c r="R103" i="11" s="1"/>
  <c r="R94" i="11"/>
  <c r="Q109" i="11" l="1"/>
  <c r="S85" i="11"/>
  <c r="S91" i="11"/>
  <c r="R105" i="11"/>
  <c r="S94" i="11"/>
  <c r="Q64" i="11"/>
  <c r="S64" i="11" s="1"/>
  <c r="S67" i="11"/>
  <c r="K107" i="11"/>
  <c r="S58" i="11"/>
  <c r="B108" i="11"/>
  <c r="Q50" i="11"/>
  <c r="L108" i="11"/>
  <c r="C102" i="11"/>
  <c r="B102" i="11"/>
  <c r="R107" i="11"/>
  <c r="R102" i="11"/>
  <c r="R91" i="11"/>
  <c r="R108" i="11"/>
  <c r="N107" i="11"/>
  <c r="Q54" i="11"/>
  <c r="R20" i="11"/>
  <c r="K21" i="11"/>
  <c r="N91" i="11"/>
  <c r="C105" i="11"/>
  <c r="G76" i="11"/>
  <c r="S76" i="11" s="1"/>
  <c r="G103" i="11"/>
  <c r="G49" i="11"/>
  <c r="L102" i="11"/>
  <c r="D108" i="11"/>
  <c r="L23" i="11"/>
  <c r="K20" i="11"/>
  <c r="N102" i="11"/>
  <c r="N105" i="11"/>
  <c r="Q104" i="11"/>
  <c r="K54" i="11"/>
  <c r="L26" i="11"/>
  <c r="Q81" i="11"/>
  <c r="S81" i="11" s="1"/>
  <c r="C108" i="11"/>
  <c r="Q49" i="11"/>
  <c r="K51" i="11"/>
  <c r="M104" i="11"/>
  <c r="K91" i="11"/>
  <c r="L109" i="11"/>
  <c r="K109" i="11"/>
  <c r="Q26" i="11"/>
  <c r="K25" i="11"/>
  <c r="K50" i="11"/>
  <c r="R49" i="11"/>
  <c r="Q75" i="11"/>
  <c r="S75" i="11" s="1"/>
  <c r="N108" i="11"/>
  <c r="Q51" i="11"/>
  <c r="I107" i="11"/>
  <c r="Q78" i="11"/>
  <c r="S78" i="11" s="1"/>
  <c r="C91" i="11"/>
  <c r="Q103" i="11"/>
  <c r="K48" i="11"/>
  <c r="L104" i="11"/>
  <c r="K102" i="11"/>
  <c r="B107" i="11"/>
  <c r="G102" i="11"/>
  <c r="Q9" i="11"/>
  <c r="R22" i="11"/>
  <c r="K23" i="11"/>
  <c r="K37" i="11"/>
  <c r="Q77" i="11"/>
  <c r="S77" i="11" s="1"/>
  <c r="K105" i="11"/>
  <c r="K104" i="11"/>
  <c r="K9" i="11"/>
  <c r="C104" i="11"/>
  <c r="Q22" i="11"/>
  <c r="G104" i="11"/>
  <c r="G53" i="11"/>
  <c r="M102" i="11"/>
  <c r="M105" i="11"/>
  <c r="B104" i="11"/>
  <c r="G105" i="11"/>
  <c r="D105" i="11"/>
  <c r="D91" i="11"/>
  <c r="Q23" i="11"/>
  <c r="G26" i="11"/>
  <c r="G9" i="11"/>
  <c r="L20" i="11"/>
  <c r="L25" i="11"/>
  <c r="R23" i="11"/>
  <c r="I103" i="11"/>
  <c r="Q48" i="11"/>
  <c r="R104" i="11"/>
  <c r="R109" i="11"/>
  <c r="Q53" i="11"/>
  <c r="C109" i="11"/>
  <c r="G91" i="11"/>
  <c r="G48" i="11"/>
  <c r="M107" i="11"/>
  <c r="B105" i="11"/>
  <c r="G107" i="11"/>
  <c r="D102" i="11"/>
  <c r="Q25" i="11"/>
  <c r="G20" i="11"/>
  <c r="G23" i="11"/>
  <c r="L9" i="11"/>
  <c r="R25" i="11"/>
  <c r="G25" i="11"/>
  <c r="R26" i="11"/>
</calcChain>
</file>

<file path=xl/sharedStrings.xml><?xml version="1.0" encoding="utf-8"?>
<sst xmlns="http://schemas.openxmlformats.org/spreadsheetml/2006/main" count="216" uniqueCount="74">
  <si>
    <t>Margem EBIT</t>
  </si>
  <si>
    <t>EBIT</t>
  </si>
  <si>
    <t>Margem Líquida</t>
  </si>
  <si>
    <t>Margem Bruta</t>
  </si>
  <si>
    <t>RESULTADO LÍQUIDO DO EXERCÍCIO</t>
  </si>
  <si>
    <t>RESULTADO ANTES DO IMPOSTO RENDA E C. SOCIAL</t>
  </si>
  <si>
    <t xml:space="preserve">       Outros</t>
  </si>
  <si>
    <t xml:space="preserve">       Variação cambial líquida</t>
  </si>
  <si>
    <t xml:space="preserve">       Resultado líquido com derivativos</t>
  </si>
  <si>
    <t xml:space="preserve">       Despesas Financeiras</t>
  </si>
  <si>
    <t xml:space="preserve">       Receitas Financeiras</t>
  </si>
  <si>
    <t>RESULTADO FINANCEIRO</t>
  </si>
  <si>
    <t>RESULTADO ANTES DO RESULTADO FINANCEIRO</t>
  </si>
  <si>
    <t>LUCRO BRUTO</t>
  </si>
  <si>
    <t>TAM</t>
  </si>
  <si>
    <t>RIO</t>
  </si>
  <si>
    <t>Grau de Endividamento Ajustado</t>
  </si>
  <si>
    <t>Grau de Endividamento</t>
  </si>
  <si>
    <t>Multiplicador de Capital Próprio</t>
  </si>
  <si>
    <t>Participação de Capitais de Terceiros sobre os Recursos Totais</t>
  </si>
  <si>
    <t>Situação Líquida Patrimonial</t>
  </si>
  <si>
    <t>Índice de Liquidez Geral</t>
  </si>
  <si>
    <t>Índice de Liquidez Corrente</t>
  </si>
  <si>
    <t>Outros</t>
  </si>
  <si>
    <t>Resultado do Exercício</t>
  </si>
  <si>
    <t>Capital Social</t>
  </si>
  <si>
    <t>Patrimônio Líquido</t>
  </si>
  <si>
    <t>Passsivo Não Circulante</t>
  </si>
  <si>
    <t>Passivo Circulante</t>
  </si>
  <si>
    <t>PASSIVO TOTAL</t>
  </si>
  <si>
    <t>Investimentos, Imobilizado e Intangível</t>
  </si>
  <si>
    <t>Ativo Realizável a Longo Prazo</t>
  </si>
  <si>
    <t>Ativo Não Circulante</t>
  </si>
  <si>
    <t>Ativo Circulante</t>
  </si>
  <si>
    <t>ATIVO TOTAL</t>
  </si>
  <si>
    <t>Retorno sobre o patrimônio líquido</t>
  </si>
  <si>
    <t>Retorno sobre o ativo</t>
  </si>
  <si>
    <t xml:space="preserve">Outros </t>
  </si>
  <si>
    <t>Imposto de Renda e Contribuição Social</t>
  </si>
  <si>
    <t>Outros resultados operacionais</t>
  </si>
  <si>
    <t>Resultado de equivalência operacional (CPC 26 - 82.E)</t>
  </si>
  <si>
    <t>Despesas operacionais</t>
  </si>
  <si>
    <t>Custo dos serviços prestados</t>
  </si>
  <si>
    <t>Receita operacional líquida</t>
  </si>
  <si>
    <t>Variação do valor justo de derivativos de combustível</t>
  </si>
  <si>
    <t>Contas</t>
  </si>
  <si>
    <t>DEMONSTRAÇÃO DO RESULTADO DO EXERCÍCIO ENCERRADA EM 31/12/2013</t>
  </si>
  <si>
    <t>Grau de alavancagem financeira</t>
  </si>
  <si>
    <t>Endividamento Total</t>
  </si>
  <si>
    <t>Endividamento curto prazo</t>
  </si>
  <si>
    <t>Lucros ou Prejuízos Acumulados</t>
  </si>
  <si>
    <t>BALANÇO PATRIMONIAL ENCERRADO EM 31/12/2013(janeiro a dezembro)</t>
  </si>
  <si>
    <t>BALANÇO PATRIMONIAL ENCERRADO EM 30/09/2013 (julho a setembro)</t>
  </si>
  <si>
    <t>BALANÇO PATRIMONIAL ENCERRADO EM 30/06/2013 (abril a junho)</t>
  </si>
  <si>
    <t>BALANÇO PATRIMONIAL ENCERRADO EM 31/03/2013 (janeiro a março)</t>
  </si>
  <si>
    <t>INDÚSTRIA</t>
  </si>
  <si>
    <t>ITEM</t>
  </si>
  <si>
    <t>ABAETÉ</t>
  </si>
  <si>
    <t>AZUL</t>
  </si>
  <si>
    <t>GOL</t>
  </si>
  <si>
    <t>NO AR</t>
  </si>
  <si>
    <t>AVIANCA</t>
  </si>
  <si>
    <t>MAP</t>
  </si>
  <si>
    <t>PASSAREDO</t>
  </si>
  <si>
    <t>SOL</t>
  </si>
  <si>
    <t>SETE</t>
  </si>
  <si>
    <t>TRIP</t>
  </si>
  <si>
    <t>TOTAL</t>
  </si>
  <si>
    <t>ABSA</t>
  </si>
  <si>
    <t>WEBJET</t>
  </si>
  <si>
    <t>CRUISER</t>
  </si>
  <si>
    <t>Indústria</t>
  </si>
  <si>
    <t>PANTANAL</t>
  </si>
  <si>
    <t>MAIS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</si>
</sst>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4" fillId="0" borderId="0" xfId="1"/>
    <xf numFmtId="10" fontId="0" fillId="0" borderId="1" xfId="2" applyNumberFormat="1" applyFont="1" applyFill="1" applyBorder="1" applyAlignment="1">
      <alignment horizontal="right"/>
    </xf>
    <xf numFmtId="0" fontId="4" fillId="0" borderId="2" xfId="1" applyFont="1" applyFill="1" applyBorder="1"/>
    <xf numFmtId="3" fontId="4" fillId="0" borderId="3" xfId="1" applyNumberFormat="1" applyFont="1" applyFill="1" applyBorder="1" applyAlignment="1">
      <alignment horizontal="right"/>
    </xf>
    <xf numFmtId="3" fontId="0" fillId="0" borderId="3" xfId="2" applyNumberFormat="1" applyFont="1" applyFill="1" applyBorder="1" applyAlignment="1">
      <alignment horizontal="right"/>
    </xf>
    <xf numFmtId="0" fontId="4" fillId="0" borderId="4" xfId="1" applyFont="1" applyFill="1" applyBorder="1"/>
    <xf numFmtId="164" fontId="0" fillId="0" borderId="1" xfId="3" applyFont="1" applyFill="1" applyBorder="1" applyAlignment="1">
      <alignment horizontal="right"/>
    </xf>
    <xf numFmtId="164" fontId="0" fillId="0" borderId="3" xfId="3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3" fontId="3" fillId="0" borderId="1" xfId="2" applyNumberFormat="1" applyFont="1" applyFill="1" applyBorder="1" applyAlignment="1">
      <alignment horizontal="right"/>
    </xf>
    <xf numFmtId="0" fontId="3" fillId="0" borderId="2" xfId="1" applyFont="1" applyFill="1" applyBorder="1"/>
    <xf numFmtId="3" fontId="3" fillId="0" borderId="3" xfId="1" applyNumberFormat="1" applyFont="1" applyFill="1" applyBorder="1" applyAlignment="1">
      <alignment horizontal="right"/>
    </xf>
    <xf numFmtId="0" fontId="3" fillId="0" borderId="4" xfId="1" applyFont="1" applyFill="1" applyBorder="1"/>
    <xf numFmtId="3" fontId="3" fillId="0" borderId="1" xfId="1" applyNumberFormat="1" applyFont="1" applyFill="1" applyBorder="1" applyAlignment="1">
      <alignment horizontal="right"/>
    </xf>
    <xf numFmtId="3" fontId="3" fillId="2" borderId="3" xfId="2" applyNumberFormat="1" applyFont="1" applyFill="1" applyBorder="1" applyAlignment="1">
      <alignment horizontal="right"/>
    </xf>
    <xf numFmtId="3" fontId="3" fillId="2" borderId="1" xfId="2" applyNumberFormat="1" applyFont="1" applyFill="1" applyBorder="1" applyAlignment="1">
      <alignment horizontal="right"/>
    </xf>
    <xf numFmtId="0" fontId="2" fillId="3" borderId="2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 vertical="center"/>
    </xf>
    <xf numFmtId="0" fontId="7" fillId="0" borderId="0" xfId="1" applyFont="1"/>
    <xf numFmtId="0" fontId="2" fillId="4" borderId="5" xfId="1" applyFont="1" applyFill="1" applyBorder="1" applyAlignment="1">
      <alignment horizontal="right" vertical="center"/>
    </xf>
    <xf numFmtId="4" fontId="3" fillId="0" borderId="3" xfId="1" applyNumberFormat="1" applyFont="1" applyFill="1" applyBorder="1" applyAlignment="1">
      <alignment horizontal="right"/>
    </xf>
    <xf numFmtId="4" fontId="3" fillId="0" borderId="3" xfId="1" applyNumberFormat="1" applyFont="1" applyFill="1" applyBorder="1" applyAlignment="1">
      <alignment horizontal="left"/>
    </xf>
    <xf numFmtId="0" fontId="2" fillId="3" borderId="1" xfId="1" applyFont="1" applyFill="1" applyBorder="1" applyAlignment="1">
      <alignment horizontal="right"/>
    </xf>
    <xf numFmtId="0" fontId="1" fillId="0" borderId="0" xfId="5" applyFont="1"/>
    <xf numFmtId="164" fontId="6" fillId="2" borderId="0" xfId="4" applyFont="1" applyFill="1" applyAlignment="1">
      <alignment horizontal="right"/>
    </xf>
    <xf numFmtId="3" fontId="4" fillId="0" borderId="1" xfId="1" applyNumberFormat="1" applyFont="1" applyFill="1" applyBorder="1" applyAlignment="1"/>
    <xf numFmtId="3" fontId="3" fillId="0" borderId="1" xfId="1" applyNumberFormat="1" applyFont="1" applyFill="1" applyBorder="1" applyAlignment="1"/>
    <xf numFmtId="165" fontId="3" fillId="2" borderId="0" xfId="5" applyNumberFormat="1" applyFont="1" applyFill="1" applyAlignment="1">
      <alignment horizontal="right"/>
    </xf>
    <xf numFmtId="165" fontId="1" fillId="2" borderId="0" xfId="5" applyNumberFormat="1" applyFont="1" applyFill="1" applyAlignment="1">
      <alignment horizontal="right"/>
    </xf>
    <xf numFmtId="164" fontId="7" fillId="0" borderId="3" xfId="3" applyFont="1" applyFill="1" applyBorder="1" applyAlignment="1">
      <alignment horizontal="right"/>
    </xf>
    <xf numFmtId="0" fontId="7" fillId="0" borderId="4" xfId="1" applyFont="1" applyFill="1" applyBorder="1"/>
    <xf numFmtId="3" fontId="7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/>
    </xf>
    <xf numFmtId="0" fontId="2" fillId="3" borderId="1" xfId="1" applyFont="1" applyFill="1" applyBorder="1" applyAlignment="1">
      <alignment horizontal="left"/>
    </xf>
    <xf numFmtId="3" fontId="4" fillId="0" borderId="3" xfId="1" applyNumberFormat="1" applyFont="1" applyFill="1" applyBorder="1" applyAlignment="1"/>
    <xf numFmtId="0" fontId="2" fillId="4" borderId="5" xfId="1" applyFont="1" applyFill="1" applyBorder="1" applyAlignment="1">
      <alignment horizontal="center" vertical="center"/>
    </xf>
    <xf numFmtId="0" fontId="3" fillId="0" borderId="0" xfId="5" applyFont="1" applyBorder="1"/>
    <xf numFmtId="0" fontId="4" fillId="0" borderId="0" xfId="1" applyBorder="1"/>
    <xf numFmtId="0" fontId="2" fillId="4" borderId="5" xfId="1" applyFont="1" applyFill="1" applyBorder="1" applyAlignment="1">
      <alignment horizontal="right" vertical="center"/>
    </xf>
    <xf numFmtId="0" fontId="2" fillId="4" borderId="5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left"/>
    </xf>
    <xf numFmtId="0" fontId="2" fillId="4" borderId="5" xfId="1" applyFont="1" applyFill="1" applyBorder="1" applyAlignment="1">
      <alignment horizontal="center" vertical="center"/>
    </xf>
    <xf numFmtId="3" fontId="4" fillId="0" borderId="0" xfId="1" applyNumberFormat="1"/>
    <xf numFmtId="0" fontId="2" fillId="4" borderId="5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5"/>
    <cellStyle name="Porcentagem 2" xfId="2"/>
    <cellStyle name="Separador de milhares 2" xfId="4"/>
    <cellStyle name="Vírgula 2" xfId="3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S/GEAC/Dados%20econ&#244;micos/Documentos%20Cont&#225;beis/Documentos%20Cont&#225;beis%20Portaria%201334-04/Dados%20Portaria%201334-04/Resumo%20Acompanhamento%20Economico%20-%20financeiro%20-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umo%20Acompanhamento%20Economico%20-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E"/>
      <sheetName val="DRO Industria Semestral"/>
      <sheetName val="DRO Industria Anual"/>
      <sheetName val="DRO Industria Trimestral"/>
      <sheetName val="DRO Empresa Mensal"/>
      <sheetName val="DRO Empresa Trimestral"/>
      <sheetName val="DRO Empresa Semestral"/>
      <sheetName val="DRO Empresa Anual"/>
    </sheetNames>
    <sheetDataSet>
      <sheetData sheetId="0">
        <row r="6">
          <cell r="E6">
            <v>590910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 PAtrimonial"/>
      <sheetName val="DRE"/>
    </sheetNames>
    <sheetDataSet>
      <sheetData sheetId="0">
        <row r="6">
          <cell r="E6">
            <v>590910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10" workbookViewId="0">
      <selection activeCell="A6" sqref="A6"/>
    </sheetView>
  </sheetViews>
  <sheetFormatPr defaultRowHeight="12.75" x14ac:dyDescent="0.2"/>
  <cols>
    <col min="1" max="1" width="56.5703125" style="1" bestFit="1" customWidth="1"/>
    <col min="2" max="17" width="12.7109375" style="1" customWidth="1"/>
    <col min="18" max="18" width="15.7109375" style="1" bestFit="1" customWidth="1"/>
    <col min="19" max="16384" width="9.140625" style="1"/>
  </cols>
  <sheetData>
    <row r="1" spans="1:18" ht="15" x14ac:dyDescent="0.2">
      <c r="A1" s="40" t="s">
        <v>46</v>
      </c>
      <c r="B1" s="40"/>
      <c r="C1" s="40"/>
      <c r="D1" s="40"/>
      <c r="E1" s="42"/>
      <c r="F1" s="40"/>
      <c r="G1" s="40"/>
      <c r="H1" s="40"/>
      <c r="I1" s="40"/>
      <c r="J1" s="40"/>
      <c r="K1" s="40"/>
      <c r="L1" s="40"/>
      <c r="M1" s="40"/>
      <c r="N1" s="44"/>
      <c r="O1" s="44"/>
      <c r="P1" s="44"/>
      <c r="Q1" s="44"/>
      <c r="R1" s="39">
        <v>1000</v>
      </c>
    </row>
    <row r="2" spans="1:18" ht="15" x14ac:dyDescent="0.25">
      <c r="A2" s="17" t="s">
        <v>45</v>
      </c>
      <c r="B2" s="23" t="s">
        <v>57</v>
      </c>
      <c r="C2" s="23" t="s">
        <v>58</v>
      </c>
      <c r="D2" s="23" t="s">
        <v>59</v>
      </c>
      <c r="E2" s="23" t="s">
        <v>73</v>
      </c>
      <c r="F2" s="23" t="s">
        <v>60</v>
      </c>
      <c r="G2" s="23" t="s">
        <v>61</v>
      </c>
      <c r="H2" s="23" t="s">
        <v>62</v>
      </c>
      <c r="I2" s="23" t="s">
        <v>15</v>
      </c>
      <c r="J2" s="23" t="s">
        <v>64</v>
      </c>
      <c r="K2" s="23" t="s">
        <v>65</v>
      </c>
      <c r="L2" s="23" t="s">
        <v>14</v>
      </c>
      <c r="M2" s="23" t="s">
        <v>66</v>
      </c>
      <c r="N2" s="23" t="s">
        <v>67</v>
      </c>
      <c r="O2" s="23" t="s">
        <v>68</v>
      </c>
      <c r="P2" s="23" t="s">
        <v>70</v>
      </c>
      <c r="Q2" s="23" t="s">
        <v>69</v>
      </c>
      <c r="R2" s="23" t="s">
        <v>71</v>
      </c>
    </row>
    <row r="3" spans="1:18" ht="15" x14ac:dyDescent="0.25">
      <c r="A3" s="11" t="s">
        <v>43</v>
      </c>
      <c r="B3" s="15"/>
      <c r="C3" s="15">
        <v>3781508</v>
      </c>
      <c r="D3" s="15">
        <f>8843686</f>
        <v>8843686</v>
      </c>
      <c r="E3" s="15">
        <f>813444.84</f>
        <v>813444.84</v>
      </c>
      <c r="F3" s="15"/>
      <c r="G3" s="15">
        <f>1797000</f>
        <v>1797000</v>
      </c>
      <c r="H3" s="15">
        <f>6776149.91/1000</f>
        <v>6776.1499100000001</v>
      </c>
      <c r="I3" s="15">
        <f>205092878.66/1000</f>
        <v>205092.87865999999</v>
      </c>
      <c r="J3" s="15"/>
      <c r="K3" s="15">
        <f>44076538.07/1000</f>
        <v>44076.538070000002</v>
      </c>
      <c r="L3" s="15">
        <f>14398895</f>
        <v>14398895</v>
      </c>
      <c r="M3" s="15">
        <f>1454374</f>
        <v>1454374</v>
      </c>
      <c r="N3" s="15">
        <f>127510786.83/1000</f>
        <v>127510.78683</v>
      </c>
      <c r="O3" s="15">
        <v>1037449</v>
      </c>
      <c r="P3" s="15">
        <f>619938.7/1000</f>
        <v>619.93869999999993</v>
      </c>
      <c r="Q3" s="16">
        <v>19333</v>
      </c>
      <c r="R3" s="16">
        <v>32529766.132170003</v>
      </c>
    </row>
    <row r="4" spans="1:18" ht="15" x14ac:dyDescent="0.25">
      <c r="A4" s="13" t="s">
        <v>42</v>
      </c>
      <c r="B4" s="15">
        <f>-101393.57/1000</f>
        <v>-101.39357000000001</v>
      </c>
      <c r="C4" s="15">
        <v>-2952839</v>
      </c>
      <c r="D4" s="15">
        <v>-7509016</v>
      </c>
      <c r="E4" s="15">
        <f>-402709.85-272020.4</f>
        <v>-674730.25</v>
      </c>
      <c r="F4" s="15">
        <f>-1511392.27/1000</f>
        <v>-1511.3922700000001</v>
      </c>
      <c r="G4" s="15">
        <v>-1519247</v>
      </c>
      <c r="H4" s="15">
        <f>-1852369.12/1000</f>
        <v>-1852.3691200000001</v>
      </c>
      <c r="I4" s="15">
        <f>-200501463.82/1000</f>
        <v>-200501.46382</v>
      </c>
      <c r="J4" s="15"/>
      <c r="K4" s="15">
        <f>-33805353.68/1000</f>
        <v>-33805.35368</v>
      </c>
      <c r="L4" s="15">
        <v>-11628757</v>
      </c>
      <c r="M4" s="15">
        <v>-1302601</v>
      </c>
      <c r="N4" s="15">
        <f>-98666121.03/1000</f>
        <v>-98666.121029999995</v>
      </c>
      <c r="O4" s="15">
        <v>-976809</v>
      </c>
      <c r="P4" s="15">
        <v>-555.41</v>
      </c>
      <c r="Q4" s="15">
        <v>-57466</v>
      </c>
      <c r="R4" s="15">
        <f>SUM(B4:Q4)</f>
        <v>-26958458.753490001</v>
      </c>
    </row>
    <row r="5" spans="1:18" ht="15" x14ac:dyDescent="0.25">
      <c r="A5" s="11" t="s">
        <v>13</v>
      </c>
      <c r="B5" s="15">
        <f t="shared" ref="B5:H5" si="0">B3+B4</f>
        <v>-101.39357000000001</v>
      </c>
      <c r="C5" s="15">
        <f t="shared" si="0"/>
        <v>828669</v>
      </c>
      <c r="D5" s="15">
        <f t="shared" si="0"/>
        <v>1334670</v>
      </c>
      <c r="E5" s="15">
        <f t="shared" si="0"/>
        <v>138714.58999999997</v>
      </c>
      <c r="F5" s="15">
        <f t="shared" si="0"/>
        <v>-1511.3922700000001</v>
      </c>
      <c r="G5" s="15">
        <f t="shared" si="0"/>
        <v>277753</v>
      </c>
      <c r="H5" s="15">
        <f t="shared" si="0"/>
        <v>4923.7807899999998</v>
      </c>
      <c r="I5" s="15">
        <f t="shared" ref="I5" si="1">I3+I4</f>
        <v>4591.4148399999831</v>
      </c>
      <c r="J5" s="15">
        <f t="shared" ref="J5:M5" si="2">J3+J4</f>
        <v>0</v>
      </c>
      <c r="K5" s="15">
        <f t="shared" si="2"/>
        <v>10271.184390000002</v>
      </c>
      <c r="L5" s="15">
        <f t="shared" si="2"/>
        <v>2770138</v>
      </c>
      <c r="M5" s="15">
        <f t="shared" si="2"/>
        <v>151773</v>
      </c>
      <c r="N5" s="15">
        <f t="shared" ref="N5:Q5" si="3">N3+N4</f>
        <v>28844.665800000002</v>
      </c>
      <c r="O5" s="15">
        <f t="shared" si="3"/>
        <v>60640</v>
      </c>
      <c r="P5" s="15">
        <f t="shared" si="3"/>
        <v>64.528699999999958</v>
      </c>
      <c r="Q5" s="16">
        <f t="shared" si="3"/>
        <v>-38133</v>
      </c>
      <c r="R5" s="16">
        <f t="shared" ref="R5:R20" si="4">SUM(B5:Q5)</f>
        <v>5571307.3786799992</v>
      </c>
    </row>
    <row r="6" spans="1:18" ht="15" x14ac:dyDescent="0.25">
      <c r="A6" s="13" t="s">
        <v>41</v>
      </c>
      <c r="B6" s="15"/>
      <c r="C6" s="15">
        <v>-477664</v>
      </c>
      <c r="D6" s="15">
        <f>-703212-533032</f>
        <v>-1236244</v>
      </c>
      <c r="E6" s="15">
        <f>-33884.59</f>
        <v>-33884.589999999997</v>
      </c>
      <c r="F6" s="15">
        <f>(-932335.86-75748.77-9365.12+66883.71)/1000</f>
        <v>-950.56604000000004</v>
      </c>
      <c r="G6" s="15">
        <f>-143126-83599-230</f>
        <v>-226955</v>
      </c>
      <c r="H6" s="15">
        <f>-4160482.32/1000</f>
        <v>-4160.4823200000001</v>
      </c>
      <c r="I6" s="15">
        <f>-27269251.21/1000</f>
        <v>-27269.251210000002</v>
      </c>
      <c r="J6" s="15">
        <f>(-833.22-18509.11)/1000</f>
        <v>-19.34233</v>
      </c>
      <c r="K6" s="15">
        <f>-5519081.21/1000</f>
        <v>-5519.0812100000003</v>
      </c>
      <c r="L6" s="15">
        <v>-3517273</v>
      </c>
      <c r="M6" s="15">
        <f>-50279-67428</f>
        <v>-117707</v>
      </c>
      <c r="N6" s="15">
        <f>(-10050940.94)/1000</f>
        <v>-10050.940939999999</v>
      </c>
      <c r="O6" s="15">
        <f>-29951-20620-50117-956</f>
        <v>-101644</v>
      </c>
      <c r="P6" s="15">
        <v>-104.3</v>
      </c>
      <c r="Q6" s="15">
        <f>-2893-33708</f>
        <v>-36601</v>
      </c>
      <c r="R6" s="15">
        <f t="shared" si="4"/>
        <v>-5796046.5540499995</v>
      </c>
    </row>
    <row r="7" spans="1:18" ht="15" x14ac:dyDescent="0.25">
      <c r="A7" s="11" t="s">
        <v>40</v>
      </c>
      <c r="B7" s="15"/>
      <c r="C7" s="15"/>
      <c r="D7" s="15">
        <v>-91921</v>
      </c>
      <c r="E7" s="15"/>
      <c r="F7" s="15"/>
      <c r="G7" s="15"/>
      <c r="H7" s="15"/>
      <c r="I7" s="15"/>
      <c r="J7" s="15"/>
      <c r="K7" s="15"/>
      <c r="L7" s="15">
        <v>-147012</v>
      </c>
      <c r="M7" s="15"/>
      <c r="N7" s="15">
        <f>-115541.96/1000</f>
        <v>-115.54196</v>
      </c>
      <c r="O7" s="15"/>
      <c r="P7" s="15"/>
      <c r="Q7" s="15"/>
      <c r="R7" s="15">
        <f t="shared" si="4"/>
        <v>-239048.54196</v>
      </c>
    </row>
    <row r="8" spans="1:18" ht="15" x14ac:dyDescent="0.25">
      <c r="A8" s="11" t="s">
        <v>12</v>
      </c>
      <c r="B8" s="15">
        <f t="shared" ref="B8:H8" si="5">B5+B6+B7</f>
        <v>-101.39357000000001</v>
      </c>
      <c r="C8" s="15">
        <f t="shared" si="5"/>
        <v>351005</v>
      </c>
      <c r="D8" s="15">
        <f t="shared" si="5"/>
        <v>6505</v>
      </c>
      <c r="E8" s="15">
        <f t="shared" si="5"/>
        <v>104829.99999999997</v>
      </c>
      <c r="F8" s="15">
        <f t="shared" si="5"/>
        <v>-2461.95831</v>
      </c>
      <c r="G8" s="15">
        <f t="shared" si="5"/>
        <v>50798</v>
      </c>
      <c r="H8" s="15">
        <f t="shared" si="5"/>
        <v>763.29846999999972</v>
      </c>
      <c r="I8" s="15">
        <f t="shared" ref="I8" si="6">I5+I6+I7</f>
        <v>-22677.836370000019</v>
      </c>
      <c r="J8" s="15">
        <f t="shared" ref="J8:M8" si="7">J5+J6+J7</f>
        <v>-19.34233</v>
      </c>
      <c r="K8" s="15">
        <f t="shared" si="7"/>
        <v>4752.1031800000019</v>
      </c>
      <c r="L8" s="15">
        <f t="shared" si="7"/>
        <v>-894147</v>
      </c>
      <c r="M8" s="15">
        <f t="shared" si="7"/>
        <v>34066</v>
      </c>
      <c r="N8" s="15">
        <f t="shared" ref="N8:Q8" si="8">N5+N6+N7</f>
        <v>18678.182900000003</v>
      </c>
      <c r="O8" s="15">
        <f t="shared" si="8"/>
        <v>-41004</v>
      </c>
      <c r="P8" s="15">
        <f t="shared" si="8"/>
        <v>-39.771300000000039</v>
      </c>
      <c r="Q8" s="16">
        <f t="shared" si="8"/>
        <v>-74734</v>
      </c>
      <c r="R8" s="16">
        <f t="shared" si="4"/>
        <v>-463787.71733000019</v>
      </c>
    </row>
    <row r="9" spans="1:18" ht="15" x14ac:dyDescent="0.25">
      <c r="A9" s="6" t="s">
        <v>44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9">
        <v>5671</v>
      </c>
      <c r="M9" s="15"/>
      <c r="N9" s="15"/>
      <c r="O9" s="15"/>
      <c r="P9" s="15"/>
      <c r="Q9" s="15"/>
      <c r="R9" s="15">
        <f t="shared" si="4"/>
        <v>5671</v>
      </c>
    </row>
    <row r="10" spans="1:18" x14ac:dyDescent="0.2">
      <c r="A10" s="6" t="s">
        <v>10</v>
      </c>
      <c r="B10" s="9"/>
      <c r="C10" s="9">
        <v>9978</v>
      </c>
      <c r="D10" s="9">
        <v>568013</v>
      </c>
      <c r="E10" s="9"/>
      <c r="F10" s="9"/>
      <c r="G10" s="9">
        <f>28947</f>
        <v>28947</v>
      </c>
      <c r="H10" s="9"/>
      <c r="I10" s="9"/>
      <c r="J10" s="9"/>
      <c r="K10" s="9"/>
      <c r="L10" s="9">
        <v>669894</v>
      </c>
      <c r="M10" s="9">
        <f>4234</f>
        <v>4234</v>
      </c>
      <c r="N10" s="9">
        <f>1782498.46/1000</f>
        <v>1782.49846</v>
      </c>
      <c r="O10" s="9">
        <v>2585</v>
      </c>
      <c r="P10" s="9"/>
      <c r="Q10" s="9">
        <v>63</v>
      </c>
      <c r="R10" s="9">
        <f t="shared" si="4"/>
        <v>1285496.4984599999</v>
      </c>
    </row>
    <row r="11" spans="1:18" x14ac:dyDescent="0.2">
      <c r="A11" s="3" t="s">
        <v>9</v>
      </c>
      <c r="B11" s="9">
        <v>-22.16</v>
      </c>
      <c r="C11" s="9">
        <v>-183327</v>
      </c>
      <c r="D11" s="9">
        <v>-948784</v>
      </c>
      <c r="E11" s="9">
        <v>-4755.79</v>
      </c>
      <c r="F11" s="9">
        <f>-6805.02/1000</f>
        <v>-6.8050200000000007</v>
      </c>
      <c r="G11" s="9">
        <v>-116256</v>
      </c>
      <c r="H11" s="9"/>
      <c r="I11" s="9"/>
      <c r="J11" s="9">
        <f>-466.54/1000</f>
        <v>-0.46654000000000001</v>
      </c>
      <c r="K11" s="9">
        <f>-2520861.8/1000</f>
        <v>-2520.8617999999997</v>
      </c>
      <c r="L11" s="9">
        <v>-1867440</v>
      </c>
      <c r="M11" s="9">
        <v>-85089</v>
      </c>
      <c r="N11" s="9">
        <f>-16325274.95/1000</f>
        <v>-16325.274949999999</v>
      </c>
      <c r="O11" s="9">
        <v>-3120</v>
      </c>
      <c r="P11" s="9">
        <v>-3.13</v>
      </c>
      <c r="Q11" s="9">
        <v>-16299</v>
      </c>
      <c r="R11" s="9">
        <f t="shared" si="4"/>
        <v>-3243949.4883099999</v>
      </c>
    </row>
    <row r="12" spans="1:18" x14ac:dyDescent="0.2">
      <c r="A12" s="6" t="s">
        <v>8</v>
      </c>
      <c r="B12" s="9">
        <f>-1843.97/1000</f>
        <v>-1.8439700000000001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f t="shared" si="4"/>
        <v>-1.8439700000000001</v>
      </c>
    </row>
    <row r="13" spans="1:18" x14ac:dyDescent="0.2">
      <c r="A13" s="3" t="s">
        <v>7</v>
      </c>
      <c r="B13" s="9"/>
      <c r="C13" s="9">
        <v>41942</v>
      </c>
      <c r="D13" s="9">
        <v>-353775</v>
      </c>
      <c r="E13" s="9"/>
      <c r="F13" s="9"/>
      <c r="G13" s="9"/>
      <c r="H13" s="9"/>
      <c r="I13" s="9"/>
      <c r="J13" s="9"/>
      <c r="K13" s="9"/>
      <c r="L13" s="9"/>
      <c r="M13" s="9">
        <v>-26570</v>
      </c>
      <c r="N13" s="9">
        <f>(3698512.76-4613821.96)/1000</f>
        <v>-915.30920000000015</v>
      </c>
      <c r="O13" s="9">
        <v>-9498</v>
      </c>
      <c r="P13" s="9"/>
      <c r="Q13" s="9">
        <v>-2193</v>
      </c>
      <c r="R13" s="9">
        <f t="shared" si="4"/>
        <v>-351009.30920000002</v>
      </c>
    </row>
    <row r="14" spans="1:18" x14ac:dyDescent="0.2">
      <c r="A14" s="6" t="s">
        <v>6</v>
      </c>
      <c r="B14" s="9">
        <v>-4.8600000000000003</v>
      </c>
      <c r="C14" s="9">
        <v>-11893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>(-2763467.96+5060503.12)/1000</f>
        <v>2297.0351600000004</v>
      </c>
      <c r="O14" s="9"/>
      <c r="P14" s="9"/>
      <c r="Q14" s="9"/>
      <c r="R14" s="9">
        <f t="shared" si="4"/>
        <v>-9600.8248400000011</v>
      </c>
    </row>
    <row r="15" spans="1:18" ht="15" x14ac:dyDescent="0.25">
      <c r="A15" s="13" t="s">
        <v>11</v>
      </c>
      <c r="B15" s="10">
        <f t="shared" ref="B15:H15" si="9">B9+B10+B11+B12+B13+B14</f>
        <v>-28.863969999999998</v>
      </c>
      <c r="C15" s="10">
        <f t="shared" si="9"/>
        <v>-143300</v>
      </c>
      <c r="D15" s="10">
        <f t="shared" si="9"/>
        <v>-734546</v>
      </c>
      <c r="E15" s="10">
        <f t="shared" si="9"/>
        <v>-4755.79</v>
      </c>
      <c r="F15" s="10">
        <f t="shared" si="9"/>
        <v>-6.8050200000000007</v>
      </c>
      <c r="G15" s="10">
        <f t="shared" si="9"/>
        <v>-87309</v>
      </c>
      <c r="H15" s="10">
        <f t="shared" si="9"/>
        <v>0</v>
      </c>
      <c r="I15" s="10">
        <f t="shared" ref="I15" si="10">I9+I10+I11+I12+I13+I14</f>
        <v>0</v>
      </c>
      <c r="J15" s="10">
        <f t="shared" ref="J15:M15" si="11">J9+J10+J11+J12+J13+J14</f>
        <v>-0.46654000000000001</v>
      </c>
      <c r="K15" s="10">
        <f t="shared" si="11"/>
        <v>-2520.8617999999997</v>
      </c>
      <c r="L15" s="10">
        <f t="shared" si="11"/>
        <v>-1191875</v>
      </c>
      <c r="M15" s="10">
        <f t="shared" si="11"/>
        <v>-107425</v>
      </c>
      <c r="N15" s="10">
        <f t="shared" ref="N15:Q15" si="12">N9+N10+N11+N12+N13+N14</f>
        <v>-13161.050529999997</v>
      </c>
      <c r="O15" s="10">
        <f t="shared" si="12"/>
        <v>-10033</v>
      </c>
      <c r="P15" s="10">
        <f t="shared" si="12"/>
        <v>-3.13</v>
      </c>
      <c r="Q15" s="10">
        <f t="shared" si="12"/>
        <v>-18429</v>
      </c>
      <c r="R15" s="10">
        <f t="shared" si="4"/>
        <v>-2313393.9678600002</v>
      </c>
    </row>
    <row r="16" spans="1:18" ht="15" x14ac:dyDescent="0.25">
      <c r="A16" s="13" t="s">
        <v>39</v>
      </c>
      <c r="B16" s="10"/>
      <c r="C16" s="10"/>
      <c r="D16" s="10"/>
      <c r="E16" s="10"/>
      <c r="F16" s="10"/>
      <c r="G16" s="10"/>
      <c r="H16" s="10">
        <f>3901.44/1000</f>
        <v>3.90144</v>
      </c>
      <c r="I16" s="10"/>
      <c r="J16" s="10"/>
      <c r="K16" s="10"/>
      <c r="L16" s="10"/>
      <c r="M16" s="10"/>
      <c r="N16" s="10"/>
      <c r="O16" s="10"/>
      <c r="P16" s="10">
        <v>-0.68</v>
      </c>
      <c r="Q16" s="12"/>
      <c r="R16" s="12">
        <f t="shared" si="4"/>
        <v>3.2214399999999999</v>
      </c>
    </row>
    <row r="17" spans="1:18" ht="15" x14ac:dyDescent="0.25">
      <c r="A17" s="11" t="s">
        <v>5</v>
      </c>
      <c r="B17" s="10">
        <f t="shared" ref="B17:H17" si="13">B8+B15+B16</f>
        <v>-130.25754000000001</v>
      </c>
      <c r="C17" s="10">
        <f t="shared" si="13"/>
        <v>207705</v>
      </c>
      <c r="D17" s="10">
        <f t="shared" si="13"/>
        <v>-728041</v>
      </c>
      <c r="E17" s="10">
        <f t="shared" si="13"/>
        <v>100074.20999999998</v>
      </c>
      <c r="F17" s="10">
        <f t="shared" si="13"/>
        <v>-2468.7633299999998</v>
      </c>
      <c r="G17" s="10">
        <f t="shared" si="13"/>
        <v>-36511</v>
      </c>
      <c r="H17" s="10">
        <f t="shared" si="13"/>
        <v>767.1999099999997</v>
      </c>
      <c r="I17" s="10">
        <f t="shared" ref="I17" si="14">I8+I15+I16</f>
        <v>-22677.836370000019</v>
      </c>
      <c r="J17" s="10">
        <f t="shared" ref="J17:M17" si="15">J8+J15+J16</f>
        <v>-19.808869999999999</v>
      </c>
      <c r="K17" s="10">
        <f t="shared" si="15"/>
        <v>2231.2413800000022</v>
      </c>
      <c r="L17" s="10">
        <f t="shared" si="15"/>
        <v>-2086022</v>
      </c>
      <c r="M17" s="10">
        <f t="shared" si="15"/>
        <v>-73359</v>
      </c>
      <c r="N17" s="10">
        <f t="shared" ref="N17:Q17" si="16">N8+N15+N16</f>
        <v>5517.1323700000066</v>
      </c>
      <c r="O17" s="10">
        <f t="shared" si="16"/>
        <v>-51037</v>
      </c>
      <c r="P17" s="10">
        <f t="shared" si="16"/>
        <v>-43.581300000000041</v>
      </c>
      <c r="Q17" s="12">
        <f t="shared" si="16"/>
        <v>-93163</v>
      </c>
      <c r="R17" s="12">
        <f t="shared" si="4"/>
        <v>-2777178.4637500006</v>
      </c>
    </row>
    <row r="18" spans="1:18" ht="15" x14ac:dyDescent="0.25">
      <c r="A18" s="13" t="s">
        <v>38</v>
      </c>
      <c r="B18" s="10"/>
      <c r="C18" s="10">
        <v>-71243</v>
      </c>
      <c r="D18" s="10">
        <f>-1632+19899</f>
        <v>18267</v>
      </c>
      <c r="E18" s="10"/>
      <c r="F18" s="10"/>
      <c r="G18" s="10"/>
      <c r="H18" s="10">
        <f>(-131351.42-72009.77)/1000</f>
        <v>-203.36118999999999</v>
      </c>
      <c r="I18" s="10"/>
      <c r="J18" s="10"/>
      <c r="K18" s="10">
        <f>-731980.83/1000</f>
        <v>-731.98082999999997</v>
      </c>
      <c r="L18" s="10">
        <v>432736</v>
      </c>
      <c r="M18" s="10"/>
      <c r="N18" s="10">
        <f>(-361391.43-1104234.35)/1000</f>
        <v>-1465.6257800000001</v>
      </c>
      <c r="O18" s="10">
        <v>-803</v>
      </c>
      <c r="P18" s="10"/>
      <c r="Q18" s="12"/>
      <c r="R18" s="12">
        <f t="shared" si="4"/>
        <v>376556.03220000002</v>
      </c>
    </row>
    <row r="19" spans="1:18" ht="15" x14ac:dyDescent="0.25">
      <c r="A19" s="11" t="s">
        <v>37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4"/>
      <c r="R19" s="14">
        <f t="shared" si="4"/>
        <v>0</v>
      </c>
    </row>
    <row r="20" spans="1:18" ht="15" x14ac:dyDescent="0.25">
      <c r="A20" s="13" t="s">
        <v>4</v>
      </c>
      <c r="B20" s="10">
        <f t="shared" ref="B20:H20" si="17">B17+B18+B19</f>
        <v>-130.25754000000001</v>
      </c>
      <c r="C20" s="10">
        <f t="shared" si="17"/>
        <v>136462</v>
      </c>
      <c r="D20" s="10">
        <f t="shared" si="17"/>
        <v>-709774</v>
      </c>
      <c r="E20" s="10">
        <f t="shared" si="17"/>
        <v>100074.20999999998</v>
      </c>
      <c r="F20" s="10">
        <f t="shared" si="17"/>
        <v>-2468.7633299999998</v>
      </c>
      <c r="G20" s="10">
        <f t="shared" si="17"/>
        <v>-36511</v>
      </c>
      <c r="H20" s="10">
        <f t="shared" si="17"/>
        <v>563.83871999999974</v>
      </c>
      <c r="I20" s="10">
        <f t="shared" ref="I20" si="18">I17+I18+I19</f>
        <v>-22677.836370000019</v>
      </c>
      <c r="J20" s="10">
        <f t="shared" ref="J20:M20" si="19">J17+J18+J19</f>
        <v>-19.808869999999999</v>
      </c>
      <c r="K20" s="10">
        <f t="shared" si="19"/>
        <v>1499.2605500000022</v>
      </c>
      <c r="L20" s="10">
        <f t="shared" si="19"/>
        <v>-1653286</v>
      </c>
      <c r="M20" s="10">
        <f t="shared" si="19"/>
        <v>-73359</v>
      </c>
      <c r="N20" s="10">
        <f t="shared" ref="N20:Q20" si="20">N17+N18+N19</f>
        <v>4051.5065900000063</v>
      </c>
      <c r="O20" s="10">
        <f t="shared" si="20"/>
        <v>-51840</v>
      </c>
      <c r="P20" s="10">
        <f t="shared" si="20"/>
        <v>-43.581300000000041</v>
      </c>
      <c r="Q20" s="12">
        <f t="shared" si="20"/>
        <v>-93163</v>
      </c>
      <c r="R20" s="12">
        <f t="shared" si="4"/>
        <v>-2400622.4315500003</v>
      </c>
    </row>
    <row r="21" spans="1:18" ht="15" x14ac:dyDescent="0.25">
      <c r="A21" s="13"/>
      <c r="B21" s="12" t="str">
        <f>IFERROR(B20/[1]BP!#REF!,"")</f>
        <v/>
      </c>
      <c r="C21" s="12" t="str">
        <f>IFERROR(C20/[1]BP!#REF!,"")</f>
        <v/>
      </c>
      <c r="D21" s="12" t="str">
        <f>IFERROR(D20/[1]BP!#REF!,"")</f>
        <v/>
      </c>
      <c r="E21" s="12" t="str">
        <f>IFERROR(E20/'[2]Balanço PAtrimonial'!#REF!,"")</f>
        <v/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15" x14ac:dyDescent="0.25">
      <c r="A22" s="6" t="s">
        <v>36</v>
      </c>
      <c r="B22" s="8">
        <v>-7.6418125074228363E-2</v>
      </c>
      <c r="C22" s="8">
        <v>4.8377159055216369E-2</v>
      </c>
      <c r="D22" s="8">
        <f>IFERROR(D20/[1]BP!E6,"")</f>
        <v>-1.2011541520705353</v>
      </c>
      <c r="E22" s="8">
        <f>IFERROR(E20/'[2]Balanço PAtrimonial'!E6,"")</f>
        <v>0.16935609483677713</v>
      </c>
      <c r="F22" s="8">
        <v>-0.6089413112180625</v>
      </c>
      <c r="G22" s="8">
        <v>-4.4365569081289691E-2</v>
      </c>
      <c r="H22" s="8">
        <v>1.1032283570733646E-2</v>
      </c>
      <c r="I22" s="8">
        <v>-0.16867732495374013</v>
      </c>
      <c r="J22" s="8">
        <v>-9.52547378891851E-3</v>
      </c>
      <c r="K22" s="8">
        <v>5.2752268685030204E-2</v>
      </c>
      <c r="L22" s="8">
        <v>-0.12481470713667896</v>
      </c>
      <c r="M22" s="8">
        <v>-7.2758884718839012E-2</v>
      </c>
      <c r="N22" s="8">
        <v>3.790607805019567E-2</v>
      </c>
      <c r="O22" s="8">
        <v>-0.20341377280753384</v>
      </c>
      <c r="P22" s="8">
        <v>-1.3879911688049518E-2</v>
      </c>
      <c r="Q22" s="8">
        <v>-2.4068773090138733</v>
      </c>
      <c r="R22" s="8">
        <v>-8.7093821563498555E-2</v>
      </c>
    </row>
    <row r="23" spans="1:18" ht="15" x14ac:dyDescent="0.25">
      <c r="A23" s="3" t="s">
        <v>35</v>
      </c>
      <c r="B23" s="7">
        <v>-8.5445834986256478E-2</v>
      </c>
      <c r="C23" s="7">
        <v>-1.590892663534514</v>
      </c>
      <c r="D23" s="7">
        <f t="shared" ref="D23:E23" si="21">IF(D3=0,0,D5/D3)</f>
        <v>0.15091784127116228</v>
      </c>
      <c r="E23" s="7">
        <f t="shared" si="21"/>
        <v>0.17052734639019895</v>
      </c>
      <c r="F23" s="7">
        <v>0.29438856451336276</v>
      </c>
      <c r="G23" s="7">
        <v>-56.431221020092735</v>
      </c>
      <c r="H23" s="7">
        <v>0.10587610048798918</v>
      </c>
      <c r="I23" s="7">
        <v>-3.3705000456621512</v>
      </c>
      <c r="J23" s="7">
        <v>7.6513272725828143E-3</v>
      </c>
      <c r="K23" s="7">
        <v>0.25952362609436141</v>
      </c>
      <c r="L23" s="7">
        <v>-2.0761239330782475</v>
      </c>
      <c r="M23" s="7">
        <v>0.19367536756843809</v>
      </c>
      <c r="N23" s="7">
        <v>0.66593181324290585</v>
      </c>
      <c r="O23" s="7">
        <v>-0.54452065586168508</v>
      </c>
      <c r="P23" s="7">
        <v>1.2052431690988507E-2</v>
      </c>
      <c r="Q23" s="7">
        <v>0.81791524367224744</v>
      </c>
      <c r="R23" s="7">
        <v>-2.2028161112246822</v>
      </c>
    </row>
    <row r="24" spans="1:18" ht="15" x14ac:dyDescent="0.25">
      <c r="A24" s="6" t="s">
        <v>3</v>
      </c>
      <c r="B24" s="8">
        <v>0</v>
      </c>
      <c r="C24" s="8">
        <v>0.21913718019372166</v>
      </c>
      <c r="D24" s="8">
        <f t="shared" ref="D24:E24" si="22">IF(D3=0,0,D20/D3)</f>
        <v>-8.0257711546972602E-2</v>
      </c>
      <c r="E24" s="8">
        <f t="shared" si="22"/>
        <v>0.12302519492286654</v>
      </c>
      <c r="F24" s="8">
        <v>0</v>
      </c>
      <c r="G24" s="8">
        <v>0.15456483027267667</v>
      </c>
      <c r="H24" s="8">
        <v>0.72663398174436189</v>
      </c>
      <c r="I24" s="8">
        <v>2.2387002756987795E-2</v>
      </c>
      <c r="J24" s="8">
        <v>0</v>
      </c>
      <c r="K24" s="8">
        <v>0.23303065167431833</v>
      </c>
      <c r="L24" s="8">
        <v>-5.1888356710705928E-2</v>
      </c>
      <c r="M24" s="8">
        <v>0.1043562384916122</v>
      </c>
      <c r="N24" s="8">
        <v>0.22621353469064781</v>
      </c>
      <c r="O24" s="8">
        <v>5.8451066028305972E-2</v>
      </c>
      <c r="P24" s="8">
        <v>0.10408883975141407</v>
      </c>
      <c r="Q24" s="8">
        <v>-1.9724305591475715</v>
      </c>
      <c r="R24" s="8">
        <v>6.3143226125092919E-2</v>
      </c>
    </row>
    <row r="25" spans="1:18" ht="15" x14ac:dyDescent="0.25">
      <c r="A25" s="3" t="s">
        <v>2</v>
      </c>
      <c r="B25" s="7">
        <v>0</v>
      </c>
      <c r="C25" s="7">
        <v>3.6086661723312499E-2</v>
      </c>
      <c r="D25" s="7">
        <f>+D8</f>
        <v>6505</v>
      </c>
      <c r="E25" s="7">
        <f>+E8</f>
        <v>104829.99999999997</v>
      </c>
      <c r="F25" s="7">
        <v>0</v>
      </c>
      <c r="G25" s="7">
        <v>-2.0317751808569838E-2</v>
      </c>
      <c r="H25" s="7">
        <v>8.3209304323079797E-2</v>
      </c>
      <c r="I25" s="7">
        <v>-0.11057349488762605</v>
      </c>
      <c r="J25" s="7">
        <v>0</v>
      </c>
      <c r="K25" s="7">
        <v>3.4014934376628142E-2</v>
      </c>
      <c r="L25" s="7">
        <v>-0.11482033864404179</v>
      </c>
      <c r="M25" s="7">
        <v>-5.0440258145428893E-2</v>
      </c>
      <c r="N25" s="7">
        <v>3.1773834125904642E-2</v>
      </c>
      <c r="O25" s="7">
        <v>-4.9968721354013548E-2</v>
      </c>
      <c r="P25" s="7">
        <v>-7.0299369921574581E-2</v>
      </c>
      <c r="Q25" s="7">
        <v>-4.8188589458438935</v>
      </c>
      <c r="R25" s="7">
        <v>-7.3797715661285609E-2</v>
      </c>
    </row>
    <row r="26" spans="1:18" x14ac:dyDescent="0.2">
      <c r="A26" s="6" t="s">
        <v>1</v>
      </c>
      <c r="B26" s="4">
        <v>-101.39357000000001</v>
      </c>
      <c r="C26" s="4">
        <v>351005</v>
      </c>
      <c r="D26" s="4">
        <f>+D8</f>
        <v>6505</v>
      </c>
      <c r="E26" s="4">
        <f t="shared" ref="E26" si="23">IF(E3=0,0,E25/E3)</f>
        <v>0.12887167616675763</v>
      </c>
      <c r="F26" s="4">
        <v>-2461.95831</v>
      </c>
      <c r="G26" s="4">
        <v>50798</v>
      </c>
      <c r="H26" s="4">
        <v>763.29846999999972</v>
      </c>
      <c r="I26" s="4">
        <v>-22677.836370000019</v>
      </c>
      <c r="J26" s="4">
        <v>-19.34233</v>
      </c>
      <c r="K26" s="4">
        <v>4752.1031800000019</v>
      </c>
      <c r="L26" s="4"/>
      <c r="M26" s="4">
        <v>34066</v>
      </c>
      <c r="N26" s="4"/>
      <c r="O26" s="4">
        <v>-41004</v>
      </c>
      <c r="P26" s="4">
        <v>-39.771300000000039</v>
      </c>
      <c r="Q26" s="4"/>
      <c r="R26" s="4">
        <v>-463787.71733000019</v>
      </c>
    </row>
    <row r="27" spans="1:18" ht="15" x14ac:dyDescent="0.25">
      <c r="A27" s="3" t="s">
        <v>0</v>
      </c>
      <c r="B27" s="2">
        <v>0</v>
      </c>
      <c r="C27" s="2">
        <v>9.282143525810338E-2</v>
      </c>
      <c r="D27" s="2">
        <f t="shared" ref="D27:E27" si="24">IF(D3=0,0,D26/D3)</f>
        <v>7.3555302619292458E-4</v>
      </c>
      <c r="E27" s="2">
        <f t="shared" si="24"/>
        <v>1.5842706208174808E-7</v>
      </c>
      <c r="F27" s="2">
        <v>0</v>
      </c>
      <c r="G27" s="2">
        <f t="shared" ref="G27:H27" si="25">IF(G3=0,0,G26/G3)</f>
        <v>2.8268224819143015E-2</v>
      </c>
      <c r="H27" s="2">
        <f t="shared" si="25"/>
        <v>0.11264486177815386</v>
      </c>
      <c r="I27" s="2">
        <v>-0.11057349488762605</v>
      </c>
      <c r="J27" s="2">
        <v>0</v>
      </c>
      <c r="K27" s="2">
        <v>0.107814800982168</v>
      </c>
      <c r="L27" s="2">
        <v>0</v>
      </c>
      <c r="M27" s="2">
        <v>2.3423136002156255E-2</v>
      </c>
      <c r="N27" s="2">
        <v>0</v>
      </c>
      <c r="O27" s="2">
        <v>-3.95238705709871E-2</v>
      </c>
      <c r="P27" s="2">
        <v>-6.4153600993130527E-2</v>
      </c>
      <c r="Q27" s="2">
        <v>0</v>
      </c>
      <c r="R27" s="2">
        <v>-1.4257333281942711E-2</v>
      </c>
    </row>
    <row r="28" spans="1:18" s="19" customFormat="1" ht="15" x14ac:dyDescent="0.25">
      <c r="A28" s="1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30"/>
      <c r="O28" s="30"/>
      <c r="P28" s="30"/>
      <c r="Q28" s="30"/>
    </row>
    <row r="29" spans="1:18" x14ac:dyDescent="0.2">
      <c r="A29" s="31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R29" s="43"/>
    </row>
  </sheetData>
  <mergeCells count="1">
    <mergeCell ref="N1:Q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9"/>
  <sheetViews>
    <sheetView tabSelected="1" topLeftCell="A82" workbookViewId="0">
      <selection activeCell="D97" sqref="D97"/>
    </sheetView>
  </sheetViews>
  <sheetFormatPr defaultRowHeight="12.75" x14ac:dyDescent="0.2"/>
  <cols>
    <col min="1" max="1" width="67.85546875" style="26" bestFit="1" customWidth="1"/>
    <col min="2" max="2" width="8.140625" style="1" bestFit="1" customWidth="1"/>
    <col min="3" max="3" width="10.85546875" style="1" bestFit="1" customWidth="1"/>
    <col min="4" max="4" width="10.140625" style="1" bestFit="1" customWidth="1"/>
    <col min="5" max="5" width="10.140625" style="1" customWidth="1"/>
    <col min="6" max="6" width="8.85546875" style="1" bestFit="1" customWidth="1"/>
    <col min="7" max="7" width="9.85546875" style="1" bestFit="1" customWidth="1"/>
    <col min="8" max="9" width="11.5703125" style="1" bestFit="1" customWidth="1"/>
    <col min="10" max="10" width="9.140625" style="1" bestFit="1" customWidth="1"/>
    <col min="11" max="11" width="8.85546875" style="1" bestFit="1" customWidth="1"/>
    <col min="12" max="12" width="8.140625" style="1" bestFit="1" customWidth="1"/>
    <col min="13" max="13" width="11.7109375" style="1" bestFit="1" customWidth="1"/>
    <col min="14" max="14" width="10.85546875" style="1" bestFit="1" customWidth="1"/>
    <col min="15" max="15" width="8.140625" style="1" bestFit="1" customWidth="1"/>
    <col min="16" max="16" width="9.85546875" style="1" bestFit="1" customWidth="1"/>
    <col min="17" max="17" width="8.85546875" style="1" bestFit="1" customWidth="1"/>
    <col min="18" max="18" width="10.85546875" style="1" bestFit="1" customWidth="1"/>
    <col min="19" max="19" width="11.7109375" style="1" bestFit="1" customWidth="1"/>
    <col min="20" max="26" width="9.140625" style="1"/>
    <col min="27" max="27" width="11.42578125" style="1" bestFit="1" customWidth="1"/>
    <col min="28" max="16384" width="9.140625" style="1"/>
  </cols>
  <sheetData>
    <row r="1" spans="1:27" s="24" customFormat="1" ht="15" x14ac:dyDescent="0.25">
      <c r="A1" s="18" t="s">
        <v>54</v>
      </c>
      <c r="B1" s="18"/>
      <c r="C1" s="18"/>
      <c r="D1" s="18"/>
      <c r="E1" s="42"/>
      <c r="F1" s="18"/>
      <c r="G1" s="18"/>
      <c r="H1" s="42"/>
      <c r="I1" s="18"/>
      <c r="J1" s="18"/>
      <c r="K1" s="18"/>
      <c r="L1" s="18"/>
      <c r="M1" s="18"/>
      <c r="N1" s="18"/>
      <c r="O1" s="18"/>
      <c r="P1" s="18"/>
      <c r="Q1" s="18"/>
      <c r="R1" s="18"/>
      <c r="S1" s="20">
        <v>1000</v>
      </c>
      <c r="T1" s="25"/>
      <c r="U1" s="25"/>
      <c r="V1" s="25"/>
      <c r="W1" s="25"/>
      <c r="X1" s="29"/>
      <c r="Y1" s="25"/>
      <c r="Z1" s="25"/>
      <c r="AA1" s="28"/>
    </row>
    <row r="2" spans="1:27" s="26" customFormat="1" ht="15" x14ac:dyDescent="0.25">
      <c r="A2" s="34" t="s">
        <v>56</v>
      </c>
      <c r="B2" s="23" t="s">
        <v>57</v>
      </c>
      <c r="C2" s="23" t="s">
        <v>58</v>
      </c>
      <c r="D2" s="23" t="s">
        <v>59</v>
      </c>
      <c r="E2" s="23" t="s">
        <v>73</v>
      </c>
      <c r="F2" s="23" t="s">
        <v>60</v>
      </c>
      <c r="G2" s="23" t="s">
        <v>61</v>
      </c>
      <c r="H2" s="23" t="s">
        <v>72</v>
      </c>
      <c r="I2" s="23" t="s">
        <v>63</v>
      </c>
      <c r="J2" s="23" t="s">
        <v>15</v>
      </c>
      <c r="K2" s="23" t="s">
        <v>64</v>
      </c>
      <c r="L2" s="23" t="s">
        <v>65</v>
      </c>
      <c r="M2" s="23" t="s">
        <v>14</v>
      </c>
      <c r="N2" s="23" t="s">
        <v>66</v>
      </c>
      <c r="O2" s="23" t="s">
        <v>67</v>
      </c>
      <c r="P2" s="23" t="s">
        <v>68</v>
      </c>
      <c r="Q2" s="23" t="s">
        <v>70</v>
      </c>
      <c r="R2" s="23" t="s">
        <v>69</v>
      </c>
      <c r="S2" s="23" t="s">
        <v>55</v>
      </c>
    </row>
    <row r="3" spans="1:27" s="14" customFormat="1" ht="15" x14ac:dyDescent="0.25">
      <c r="A3" s="27" t="s">
        <v>34</v>
      </c>
      <c r="B3" s="14">
        <f t="shared" ref="B3:R3" si="0">B4+B5</f>
        <v>1814.4078300000001</v>
      </c>
      <c r="C3" s="14">
        <f t="shared" si="0"/>
        <v>2133617</v>
      </c>
      <c r="D3" s="14">
        <f t="shared" si="0"/>
        <v>8125522</v>
      </c>
      <c r="F3" s="14">
        <f t="shared" si="0"/>
        <v>4507.0259900000001</v>
      </c>
      <c r="G3" s="14">
        <f t="shared" si="0"/>
        <v>576770.09057</v>
      </c>
      <c r="H3" s="14">
        <f t="shared" si="0"/>
        <v>23754</v>
      </c>
      <c r="I3" s="14">
        <f t="shared" si="0"/>
        <v>285646.21500000003</v>
      </c>
      <c r="J3" s="14">
        <f t="shared" si="0"/>
        <v>0</v>
      </c>
      <c r="K3" s="14">
        <f t="shared" si="0"/>
        <v>2235.9064699999999</v>
      </c>
      <c r="L3" s="14">
        <f t="shared" si="0"/>
        <v>24282.27477</v>
      </c>
      <c r="M3" s="14">
        <f t="shared" si="0"/>
        <v>13169726</v>
      </c>
      <c r="N3" s="14">
        <f t="shared" si="0"/>
        <v>1120318</v>
      </c>
      <c r="O3" s="14">
        <f t="shared" si="0"/>
        <v>118521.24242999998</v>
      </c>
      <c r="P3" s="14">
        <f t="shared" si="0"/>
        <v>149524</v>
      </c>
      <c r="Q3" s="14">
        <f t="shared" si="0"/>
        <v>3167.62</v>
      </c>
      <c r="R3" s="10">
        <f t="shared" si="0"/>
        <v>61108</v>
      </c>
      <c r="S3" s="10">
        <v>25800513.783060003</v>
      </c>
    </row>
    <row r="4" spans="1:27" s="9" customFormat="1" ht="15" x14ac:dyDescent="0.25">
      <c r="A4" s="26" t="s">
        <v>33</v>
      </c>
      <c r="B4" s="9">
        <f>1775786.8/1000</f>
        <v>1775.7868000000001</v>
      </c>
      <c r="C4" s="9">
        <v>752251</v>
      </c>
      <c r="D4" s="9">
        <v>1936902</v>
      </c>
      <c r="F4" s="9">
        <f>2263573.87/1000</f>
        <v>2263.5738700000002</v>
      </c>
      <c r="G4" s="9">
        <f>258006540.58/1000</f>
        <v>258006.54058</v>
      </c>
      <c r="H4" s="9">
        <f>257+15860</f>
        <v>16117</v>
      </c>
      <c r="I4" s="9">
        <f>49591412/1000</f>
        <v>49591.411999999997</v>
      </c>
      <c r="K4" s="9">
        <f>901891.21/1000</f>
        <v>901.89121</v>
      </c>
      <c r="L4" s="9">
        <f>5811939.24/1000</f>
        <v>5811.9392400000006</v>
      </c>
      <c r="M4" s="9">
        <v>2927625</v>
      </c>
      <c r="N4" s="9">
        <v>199659</v>
      </c>
      <c r="O4" s="9">
        <f>62502340.41/1000</f>
        <v>62502.340409999997</v>
      </c>
      <c r="P4" s="9">
        <v>138141</v>
      </c>
      <c r="Q4" s="9">
        <v>1349.41</v>
      </c>
      <c r="R4" s="5">
        <v>51985</v>
      </c>
      <c r="S4" s="5">
        <v>6404882.8941099998</v>
      </c>
    </row>
    <row r="5" spans="1:27" s="9" customFormat="1" ht="15" x14ac:dyDescent="0.25">
      <c r="A5" s="26" t="s">
        <v>32</v>
      </c>
      <c r="B5" s="9">
        <f t="shared" ref="B5:R5" si="1">SUM(B6:B8)</f>
        <v>38.621029999999998</v>
      </c>
      <c r="C5" s="9">
        <f t="shared" si="1"/>
        <v>1381366</v>
      </c>
      <c r="D5" s="9">
        <f t="shared" si="1"/>
        <v>6188620</v>
      </c>
      <c r="F5" s="9">
        <f t="shared" si="1"/>
        <v>2243.4521199999999</v>
      </c>
      <c r="G5" s="9">
        <f t="shared" si="1"/>
        <v>318763.54998999997</v>
      </c>
      <c r="H5" s="9">
        <f t="shared" ref="H5" si="2">SUM(H6:H8)</f>
        <v>7637</v>
      </c>
      <c r="I5" s="9">
        <f t="shared" si="1"/>
        <v>236054.80300000001</v>
      </c>
      <c r="J5" s="9">
        <f t="shared" si="1"/>
        <v>0</v>
      </c>
      <c r="K5" s="9">
        <f t="shared" si="1"/>
        <v>1334.0152600000001</v>
      </c>
      <c r="L5" s="9">
        <f t="shared" si="1"/>
        <v>18470.33553</v>
      </c>
      <c r="M5" s="9">
        <f t="shared" si="1"/>
        <v>10242101</v>
      </c>
      <c r="N5" s="9">
        <f t="shared" si="1"/>
        <v>920659</v>
      </c>
      <c r="O5" s="9">
        <f t="shared" si="1"/>
        <v>56018.902019999994</v>
      </c>
      <c r="P5" s="9">
        <f t="shared" si="1"/>
        <v>11383</v>
      </c>
      <c r="Q5" s="9">
        <f t="shared" si="1"/>
        <v>1818.21</v>
      </c>
      <c r="R5" s="5">
        <f t="shared" si="1"/>
        <v>9123</v>
      </c>
      <c r="S5" s="5">
        <v>19395630.888950001</v>
      </c>
    </row>
    <row r="6" spans="1:27" s="9" customFormat="1" ht="15" x14ac:dyDescent="0.25">
      <c r="A6" s="26" t="s">
        <v>31</v>
      </c>
      <c r="C6" s="9">
        <f>33616+186637+332895+37762</f>
        <v>590910</v>
      </c>
      <c r="D6" s="9">
        <f>650749+203549+291756+1122+402599</f>
        <v>1549775</v>
      </c>
      <c r="F6" s="9">
        <f>1428655.91/1000</f>
        <v>1428.6559099999999</v>
      </c>
      <c r="G6" s="9">
        <f>(99101033.33+31908427.61+4096709.47)/1000</f>
        <v>135106.17040999999</v>
      </c>
      <c r="H6" s="9">
        <f>3618+890</f>
        <v>4508</v>
      </c>
      <c r="I6" s="9">
        <f>38467453/1000</f>
        <v>38467.453000000001</v>
      </c>
      <c r="K6" s="9">
        <f>146283.66/1000</f>
        <v>146.28366</v>
      </c>
      <c r="L6" s="9">
        <f>688601.59/1000</f>
        <v>688.60158999999999</v>
      </c>
      <c r="M6" s="9">
        <f>20990+149578+470143+36027+277102+1082+25119</f>
        <v>980041</v>
      </c>
      <c r="N6" s="9">
        <f>31458+114860+18697+100</f>
        <v>165115</v>
      </c>
      <c r="O6" s="9">
        <f>3731684.98/1000</f>
        <v>3731.68498</v>
      </c>
      <c r="P6" s="9">
        <v>6371</v>
      </c>
      <c r="R6" s="5">
        <v>1072</v>
      </c>
      <c r="S6" s="5">
        <v>3477360.8495500004</v>
      </c>
    </row>
    <row r="7" spans="1:27" s="9" customFormat="1" ht="15" x14ac:dyDescent="0.25">
      <c r="A7" s="26" t="s">
        <v>30</v>
      </c>
      <c r="B7" s="9">
        <v>38.621029999999998</v>
      </c>
      <c r="C7" s="9">
        <f>763060+27396</f>
        <v>790456</v>
      </c>
      <c r="D7" s="9">
        <f>2945764+1693081</f>
        <v>4638845</v>
      </c>
      <c r="F7" s="9">
        <f>(254869.79+841640.81+30418.72)/1000</f>
        <v>1126.92932</v>
      </c>
      <c r="G7" s="9">
        <f>(80+180497866.87+3159432.71)/1000</f>
        <v>183657.37958000001</v>
      </c>
      <c r="H7" s="9">
        <v>3129</v>
      </c>
      <c r="I7" s="9">
        <f>(25739789+171847561)/1000</f>
        <v>197587.35</v>
      </c>
      <c r="K7" s="9">
        <f>(1403842.06-265626.3)/1000</f>
        <v>1138.21576</v>
      </c>
      <c r="L7" s="9">
        <f>17781733.94/1000</f>
        <v>17781.733940000002</v>
      </c>
      <c r="M7" s="9">
        <f>107236+8787304+365178</f>
        <v>9259718</v>
      </c>
      <c r="N7" s="9">
        <v>698145</v>
      </c>
      <c r="O7" s="9">
        <f>(8572328.08+43714888.96)/1000</f>
        <v>52287.217039999996</v>
      </c>
      <c r="P7" s="9">
        <f>831+4181</f>
        <v>5012</v>
      </c>
      <c r="Q7" s="9">
        <v>1818.21</v>
      </c>
      <c r="R7" s="5">
        <f>7413+638</f>
        <v>8051</v>
      </c>
      <c r="S7" s="5">
        <v>15858791.656670002</v>
      </c>
    </row>
    <row r="8" spans="1:27" s="9" customFormat="1" ht="15" x14ac:dyDescent="0.25">
      <c r="A8" s="26" t="s">
        <v>23</v>
      </c>
      <c r="F8" s="9">
        <f>-312133.11/1000</f>
        <v>-312.13310999999999</v>
      </c>
      <c r="K8" s="9">
        <f>49515.84/1000</f>
        <v>49.515839999999997</v>
      </c>
      <c r="M8" s="9">
        <v>2342</v>
      </c>
      <c r="N8" s="9">
        <v>57399</v>
      </c>
      <c r="R8" s="5"/>
      <c r="S8" s="5">
        <v>59478.382729999998</v>
      </c>
    </row>
    <row r="9" spans="1:27" s="14" customFormat="1" ht="15" x14ac:dyDescent="0.25">
      <c r="A9" s="27" t="s">
        <v>29</v>
      </c>
      <c r="B9" s="14">
        <f t="shared" ref="B9:R9" si="3">B10+B11+B12</f>
        <v>1814.4078300000001</v>
      </c>
      <c r="C9" s="14">
        <f t="shared" si="3"/>
        <v>2133617</v>
      </c>
      <c r="D9" s="14">
        <f t="shared" si="3"/>
        <v>8125522</v>
      </c>
      <c r="F9" s="14">
        <f t="shared" si="3"/>
        <v>4507.0259900000001</v>
      </c>
      <c r="G9" s="14">
        <f t="shared" si="3"/>
        <v>576770.09057</v>
      </c>
      <c r="H9" s="14">
        <f t="shared" si="3"/>
        <v>23754</v>
      </c>
      <c r="I9" s="14">
        <f t="shared" si="3"/>
        <v>285646.21500000008</v>
      </c>
      <c r="J9" s="14">
        <f t="shared" si="3"/>
        <v>0</v>
      </c>
      <c r="K9" s="14">
        <f t="shared" si="3"/>
        <v>2235.9064700000008</v>
      </c>
      <c r="L9" s="14">
        <f t="shared" si="3"/>
        <v>24282.274769999996</v>
      </c>
      <c r="M9" s="14">
        <f t="shared" si="3"/>
        <v>13169726</v>
      </c>
      <c r="N9" s="14">
        <f t="shared" si="3"/>
        <v>1120318</v>
      </c>
      <c r="O9" s="14">
        <f t="shared" si="3"/>
        <v>118521.24242999998</v>
      </c>
      <c r="P9" s="14">
        <f t="shared" si="3"/>
        <v>149524</v>
      </c>
      <c r="Q9" s="14">
        <f t="shared" si="3"/>
        <v>3167.62</v>
      </c>
      <c r="R9" s="37">
        <f t="shared" si="3"/>
        <v>61108</v>
      </c>
      <c r="S9" s="10">
        <v>25800513.783060003</v>
      </c>
    </row>
    <row r="10" spans="1:27" s="9" customFormat="1" ht="15" x14ac:dyDescent="0.25">
      <c r="A10" s="26" t="s">
        <v>28</v>
      </c>
      <c r="B10" s="9">
        <v>174.66279</v>
      </c>
      <c r="C10" s="9">
        <v>1386807</v>
      </c>
      <c r="D10" s="9">
        <v>2615223</v>
      </c>
      <c r="F10" s="9">
        <f>465322.83/1000</f>
        <v>465.32283000000001</v>
      </c>
      <c r="G10" s="9">
        <f>(329449044.46)/1000</f>
        <v>329449.04446</v>
      </c>
      <c r="H10" s="9">
        <f>107501000/1000</f>
        <v>107501</v>
      </c>
      <c r="I10" s="9">
        <f>138038376/1000</f>
        <v>138038.37599999999</v>
      </c>
      <c r="K10" s="9">
        <f>2543500.77/1000</f>
        <v>2543.5007700000001</v>
      </c>
      <c r="L10" s="9">
        <f>13912175.75/1000</f>
        <v>13912.17575</v>
      </c>
      <c r="M10" s="9">
        <v>4709573</v>
      </c>
      <c r="N10" s="9">
        <v>464633</v>
      </c>
      <c r="O10" s="9">
        <f>46724885.56/1000</f>
        <v>46724.885560000002</v>
      </c>
      <c r="P10" s="9">
        <v>158583</v>
      </c>
      <c r="Q10" s="9">
        <v>5213.1000000000004</v>
      </c>
      <c r="R10" s="10">
        <v>181084</v>
      </c>
      <c r="S10" s="10">
        <v>10159925.068160001</v>
      </c>
    </row>
    <row r="11" spans="1:27" s="9" customFormat="1" x14ac:dyDescent="0.2">
      <c r="A11" s="26" t="s">
        <v>27</v>
      </c>
      <c r="C11" s="9">
        <v>923712</v>
      </c>
      <c r="D11" s="9">
        <v>4662568</v>
      </c>
      <c r="F11" s="9">
        <f>10638157.28/1000</f>
        <v>10638.157279999999</v>
      </c>
      <c r="G11" s="9">
        <f>230755641.16/1000</f>
        <v>230755.64116</v>
      </c>
      <c r="H11" s="9">
        <f>76297000/1000</f>
        <v>76297</v>
      </c>
      <c r="I11" s="9">
        <f>138100083/1000</f>
        <v>138100.08300000001</v>
      </c>
      <c r="K11" s="9">
        <f>3392500.23/1000</f>
        <v>3392.5002300000001</v>
      </c>
      <c r="L11" s="9">
        <f>6204569.43/1000</f>
        <v>6204.5694299999996</v>
      </c>
      <c r="M11" s="9">
        <v>8231797</v>
      </c>
      <c r="N11" s="9">
        <f>968245</f>
        <v>968245</v>
      </c>
      <c r="O11" s="9">
        <f>64805382.98/1000</f>
        <v>64805.382979999995</v>
      </c>
      <c r="P11" s="9">
        <v>5916</v>
      </c>
      <c r="Q11" s="9">
        <v>1518.2</v>
      </c>
      <c r="R11" s="9">
        <v>379816</v>
      </c>
      <c r="S11" s="9">
        <v>15703765.534079999</v>
      </c>
    </row>
    <row r="12" spans="1:27" s="14" customFormat="1" ht="15" x14ac:dyDescent="0.25">
      <c r="A12" s="27" t="s">
        <v>26</v>
      </c>
      <c r="B12" s="14">
        <f t="shared" ref="B12:R12" si="4">SUM(B13:B16)</f>
        <v>1639.74504</v>
      </c>
      <c r="C12" s="14">
        <f t="shared" si="4"/>
        <v>-176902</v>
      </c>
      <c r="D12" s="14">
        <f t="shared" si="4"/>
        <v>847731</v>
      </c>
      <c r="F12" s="14">
        <f t="shared" si="4"/>
        <v>-6596.4541199999985</v>
      </c>
      <c r="G12" s="14">
        <f t="shared" si="4"/>
        <v>16565.404949999967</v>
      </c>
      <c r="H12" s="14">
        <f t="shared" ref="H12" si="5">SUM(H13:H16)</f>
        <v>-160044</v>
      </c>
      <c r="I12" s="14">
        <f t="shared" si="4"/>
        <v>9507.7560000000231</v>
      </c>
      <c r="J12" s="14">
        <f t="shared" si="4"/>
        <v>0</v>
      </c>
      <c r="K12" s="14">
        <f t="shared" si="4"/>
        <v>-3700.0945299999994</v>
      </c>
      <c r="L12" s="14">
        <f t="shared" si="4"/>
        <v>4165.5295900000001</v>
      </c>
      <c r="M12" s="14">
        <f t="shared" si="4"/>
        <v>228356</v>
      </c>
      <c r="N12" s="14">
        <f t="shared" si="4"/>
        <v>-312560</v>
      </c>
      <c r="O12" s="14">
        <f t="shared" si="4"/>
        <v>6990.9738900000011</v>
      </c>
      <c r="P12" s="14">
        <f t="shared" si="4"/>
        <v>-14975</v>
      </c>
      <c r="Q12" s="14">
        <f t="shared" si="4"/>
        <v>-3563.6800000000003</v>
      </c>
      <c r="R12" s="14">
        <f t="shared" si="4"/>
        <v>-499792</v>
      </c>
      <c r="S12" s="14">
        <v>-63176.819179999933</v>
      </c>
    </row>
    <row r="13" spans="1:27" s="9" customFormat="1" x14ac:dyDescent="0.2">
      <c r="A13" s="26" t="s">
        <v>25</v>
      </c>
      <c r="B13" s="9">
        <v>1558.8030000000001</v>
      </c>
      <c r="C13" s="9">
        <v>260810</v>
      </c>
      <c r="D13" s="9">
        <v>2517181</v>
      </c>
      <c r="F13" s="9">
        <f>7200000/1000</f>
        <v>7200</v>
      </c>
      <c r="G13" s="9">
        <f>726070301.4/1000</f>
        <v>726070.3014</v>
      </c>
      <c r="H13" s="9">
        <f>49508000/1000</f>
        <v>49508</v>
      </c>
      <c r="I13" s="9">
        <f>20298000/1000</f>
        <v>20298</v>
      </c>
      <c r="K13" s="9">
        <f>2200000/1000</f>
        <v>2200</v>
      </c>
      <c r="L13" s="9">
        <f>1500000/1000</f>
        <v>1500</v>
      </c>
      <c r="M13" s="9">
        <v>897122</v>
      </c>
      <c r="N13" s="9">
        <v>84166</v>
      </c>
      <c r="O13" s="9">
        <f>6000000/1000</f>
        <v>6000</v>
      </c>
      <c r="Q13" s="9">
        <v>545.74</v>
      </c>
      <c r="R13" s="9">
        <v>220432</v>
      </c>
      <c r="S13" s="9">
        <v>4794591.8443999998</v>
      </c>
    </row>
    <row r="14" spans="1:27" s="9" customFormat="1" x14ac:dyDescent="0.2">
      <c r="A14" s="26" t="s">
        <v>50</v>
      </c>
      <c r="C14" s="9">
        <v>-421542</v>
      </c>
      <c r="D14" s="9">
        <v>-2722015</v>
      </c>
      <c r="F14" s="9">
        <f>-13796454.12/1000</f>
        <v>-13796.454119999999</v>
      </c>
      <c r="G14" s="9">
        <f>-842941479.64/1000</f>
        <v>-842941.47964000003</v>
      </c>
      <c r="H14" s="9">
        <f>-209552000/1000</f>
        <v>-209552</v>
      </c>
      <c r="I14" s="9">
        <f>-184920856/1000</f>
        <v>-184920.856</v>
      </c>
      <c r="K14" s="9">
        <f>-9375173.35/1000</f>
        <v>-9375.1733499999991</v>
      </c>
      <c r="L14" s="9">
        <f>1615547.06/1000</f>
        <v>1615.5470600000001</v>
      </c>
      <c r="M14" s="9">
        <v>-941917</v>
      </c>
      <c r="N14" s="9">
        <v>-480666</v>
      </c>
      <c r="O14" s="9">
        <f>-9180259.58/1000</f>
        <v>-9180.2595799999999</v>
      </c>
      <c r="P14" s="9">
        <v>-14975</v>
      </c>
      <c r="Q14" s="9">
        <v>-4109.42</v>
      </c>
      <c r="R14" s="9">
        <v>-720224</v>
      </c>
      <c r="S14" s="9">
        <v>-6573599.0956300003</v>
      </c>
    </row>
    <row r="15" spans="1:27" s="9" customFormat="1" x14ac:dyDescent="0.2">
      <c r="A15" s="26" t="s">
        <v>24</v>
      </c>
      <c r="I15" s="9">
        <f>-3960004/1000</f>
        <v>-3960.0039999999999</v>
      </c>
      <c r="L15" s="9">
        <f>-88473.76/1000</f>
        <v>-88.473759999999999</v>
      </c>
      <c r="O15" s="9">
        <f>-560871.99/1000</f>
        <v>-560.87198999999998</v>
      </c>
      <c r="S15" s="9">
        <v>-4609.3497499999994</v>
      </c>
    </row>
    <row r="16" spans="1:27" s="9" customFormat="1" x14ac:dyDescent="0.2">
      <c r="A16" s="26" t="s">
        <v>23</v>
      </c>
      <c r="B16" s="9">
        <v>80.942039999999992</v>
      </c>
      <c r="C16" s="9">
        <f>11237-27407</f>
        <v>-16170</v>
      </c>
      <c r="D16" s="9">
        <f>1114159-61594</f>
        <v>1052565</v>
      </c>
      <c r="G16" s="9">
        <f>(-2280835.46+4401790.29+131315628.36)/1000</f>
        <v>133436.58319</v>
      </c>
      <c r="I16" s="9">
        <f>(1000000+177090616)/1000</f>
        <v>178090.61600000001</v>
      </c>
      <c r="K16" s="9">
        <f>(3425562.98+49515.84)/1000</f>
        <v>3475.0788199999997</v>
      </c>
      <c r="L16" s="9">
        <f>1138456.29/1000</f>
        <v>1138.4562900000001</v>
      </c>
      <c r="M16" s="9">
        <f>170537+102614</f>
        <v>273151</v>
      </c>
      <c r="N16" s="9">
        <v>83940</v>
      </c>
      <c r="O16" s="9">
        <f>(501031.91+10231073.55)/1000</f>
        <v>10732.105460000001</v>
      </c>
      <c r="S16" s="9">
        <v>1720439.7817999998</v>
      </c>
    </row>
    <row r="17" spans="1:27" s="4" customFormat="1" x14ac:dyDescent="0.2">
      <c r="A17" s="35"/>
      <c r="S17" s="9"/>
    </row>
    <row r="18" spans="1:27" s="21" customFormat="1" ht="15" x14ac:dyDescent="0.25">
      <c r="A18" s="22" t="s">
        <v>22</v>
      </c>
      <c r="B18" s="21">
        <f t="shared" ref="B18:R18" si="6">IFERROR(+B4/B10,"")</f>
        <v>10.166943972439695</v>
      </c>
      <c r="C18" s="21">
        <f t="shared" si="6"/>
        <v>0.54243380657870921</v>
      </c>
      <c r="D18" s="21">
        <f t="shared" si="6"/>
        <v>0.74062594279722993</v>
      </c>
      <c r="F18" s="21">
        <f t="shared" si="6"/>
        <v>4.8645235609866813</v>
      </c>
      <c r="G18" s="21">
        <f t="shared" si="6"/>
        <v>0.78314551193462578</v>
      </c>
      <c r="H18" s="21">
        <f t="shared" ref="H18" si="7">IFERROR(+H4/H10,"")</f>
        <v>0.14992418675175115</v>
      </c>
      <c r="I18" s="21">
        <f t="shared" si="6"/>
        <v>0.35925815296465091</v>
      </c>
      <c r="J18" s="21" t="str">
        <f t="shared" si="6"/>
        <v/>
      </c>
      <c r="K18" s="21">
        <f t="shared" si="6"/>
        <v>0.35458656849551495</v>
      </c>
      <c r="L18" s="21">
        <f t="shared" si="6"/>
        <v>0.41775918766696146</v>
      </c>
      <c r="M18" s="21">
        <f t="shared" si="6"/>
        <v>0.6216327892146486</v>
      </c>
      <c r="N18" s="21">
        <f t="shared" si="6"/>
        <v>0.42971334364971925</v>
      </c>
      <c r="O18" s="21">
        <f t="shared" si="6"/>
        <v>1.3376670624423461</v>
      </c>
      <c r="P18" s="21">
        <f t="shared" si="6"/>
        <v>0.87109589300240253</v>
      </c>
      <c r="Q18" s="21">
        <f t="shared" si="6"/>
        <v>0.25884982064414647</v>
      </c>
      <c r="R18" s="21">
        <f t="shared" si="6"/>
        <v>0.28707671577831284</v>
      </c>
      <c r="S18" s="9">
        <v>0.63040650901866813</v>
      </c>
    </row>
    <row r="19" spans="1:27" s="21" customFormat="1" ht="15" x14ac:dyDescent="0.25">
      <c r="A19" s="22" t="s">
        <v>21</v>
      </c>
      <c r="B19" s="21">
        <f t="shared" ref="B19:R19" si="8">IFERROR(+(B4+B6)/(B10+B11),"")</f>
        <v>10.166943972439695</v>
      </c>
      <c r="C19" s="21">
        <f t="shared" si="8"/>
        <v>0.58132436911360608</v>
      </c>
      <c r="D19" s="21">
        <f t="shared" si="8"/>
        <v>0.47908451891514886</v>
      </c>
      <c r="F19" s="21">
        <f t="shared" si="8"/>
        <v>0.332529057864904</v>
      </c>
      <c r="G19" s="21">
        <f t="shared" si="8"/>
        <v>0.70173049437265433</v>
      </c>
      <c r="H19" s="21">
        <f t="shared" ref="H19" si="9">IFERROR(+(H4+H6)/(H10+H11),"")</f>
        <v>0.11221558450037541</v>
      </c>
      <c r="I19" s="21">
        <f t="shared" si="8"/>
        <v>0.31889388142055208</v>
      </c>
      <c r="J19" s="21" t="str">
        <f t="shared" si="8"/>
        <v/>
      </c>
      <c r="K19" s="21">
        <f t="shared" si="8"/>
        <v>0.17657929471373068</v>
      </c>
      <c r="L19" s="21">
        <f t="shared" si="8"/>
        <v>0.32314078504423355</v>
      </c>
      <c r="M19" s="21">
        <f t="shared" si="8"/>
        <v>0.30195149354357381</v>
      </c>
      <c r="N19" s="21">
        <f t="shared" si="8"/>
        <v>0.25457436013394025</v>
      </c>
      <c r="O19" s="21">
        <f t="shared" si="8"/>
        <v>0.59386591870569527</v>
      </c>
      <c r="P19" s="21">
        <f t="shared" si="8"/>
        <v>0.87849774162760863</v>
      </c>
      <c r="Q19" s="21">
        <f t="shared" si="8"/>
        <v>0.20046796309776715</v>
      </c>
      <c r="R19" s="21">
        <f t="shared" si="8"/>
        <v>9.4592619005170256E-2</v>
      </c>
      <c r="S19" s="21">
        <v>0.38208946648952408</v>
      </c>
    </row>
    <row r="20" spans="1:27" s="21" customFormat="1" ht="15" x14ac:dyDescent="0.25">
      <c r="A20" s="22" t="s">
        <v>20</v>
      </c>
      <c r="B20" s="21">
        <f t="shared" ref="B20:R20" si="10">IFERROR(+B12,"")</f>
        <v>1639.74504</v>
      </c>
      <c r="C20" s="21">
        <f t="shared" si="10"/>
        <v>-176902</v>
      </c>
      <c r="D20" s="21">
        <f t="shared" si="10"/>
        <v>847731</v>
      </c>
      <c r="F20" s="21">
        <f t="shared" si="10"/>
        <v>-6596.4541199999985</v>
      </c>
      <c r="G20" s="21">
        <f t="shared" si="10"/>
        <v>16565.404949999967</v>
      </c>
      <c r="H20" s="21">
        <f t="shared" ref="H20" si="11">IFERROR(+H12,"")</f>
        <v>-160044</v>
      </c>
      <c r="I20" s="21">
        <f t="shared" si="10"/>
        <v>9507.7560000000231</v>
      </c>
      <c r="J20" s="21">
        <f t="shared" si="10"/>
        <v>0</v>
      </c>
      <c r="K20" s="21">
        <f t="shared" si="10"/>
        <v>-3700.0945299999994</v>
      </c>
      <c r="L20" s="21">
        <f t="shared" si="10"/>
        <v>4165.5295900000001</v>
      </c>
      <c r="M20" s="21">
        <f t="shared" si="10"/>
        <v>228356</v>
      </c>
      <c r="N20" s="21">
        <f t="shared" si="10"/>
        <v>-312560</v>
      </c>
      <c r="O20" s="21">
        <f t="shared" si="10"/>
        <v>6990.9738900000011</v>
      </c>
      <c r="P20" s="21">
        <f t="shared" si="10"/>
        <v>-14975</v>
      </c>
      <c r="Q20" s="21">
        <f t="shared" si="10"/>
        <v>-3563.6800000000003</v>
      </c>
      <c r="R20" s="21">
        <f t="shared" si="10"/>
        <v>-499792</v>
      </c>
      <c r="S20" s="33">
        <v>-63176.819179999933</v>
      </c>
    </row>
    <row r="21" spans="1:27" s="21" customFormat="1" ht="15" x14ac:dyDescent="0.25">
      <c r="A21" s="22" t="s">
        <v>19</v>
      </c>
      <c r="B21" s="21">
        <f t="shared" ref="B21:R21" si="12">IFERROR(((B10+B11))/B3,"")</f>
        <v>9.6264349785130723E-2</v>
      </c>
      <c r="C21" s="21">
        <f t="shared" si="12"/>
        <v>1.0829117878232128</v>
      </c>
      <c r="D21" s="21">
        <f t="shared" si="12"/>
        <v>0.89567057968706498</v>
      </c>
      <c r="F21" s="21">
        <f t="shared" si="12"/>
        <v>2.4635935392065487</v>
      </c>
      <c r="G21" s="21">
        <f t="shared" si="12"/>
        <v>0.97127901529424132</v>
      </c>
      <c r="H21" s="21">
        <f t="shared" ref="H21" si="13">IFERROR(((H10+H11))/H3,"")</f>
        <v>7.7375599898964387</v>
      </c>
      <c r="I21" s="21">
        <f t="shared" si="12"/>
        <v>0.96671492391383518</v>
      </c>
      <c r="J21" s="21" t="str">
        <f t="shared" si="12"/>
        <v/>
      </c>
      <c r="K21" s="21">
        <f t="shared" si="12"/>
        <v>2.6548521056875876</v>
      </c>
      <c r="L21" s="21">
        <f t="shared" si="12"/>
        <v>0.8284538977729391</v>
      </c>
      <c r="M21" s="21">
        <f t="shared" si="12"/>
        <v>0.98266053523057351</v>
      </c>
      <c r="N21" s="21">
        <f t="shared" si="12"/>
        <v>1.2789922147104662</v>
      </c>
      <c r="O21" s="21">
        <f t="shared" si="12"/>
        <v>0.94101501345525518</v>
      </c>
      <c r="P21" s="21">
        <f t="shared" si="12"/>
        <v>1.1001511463042721</v>
      </c>
      <c r="Q21" s="21">
        <f t="shared" si="12"/>
        <v>2.1250339371515525</v>
      </c>
      <c r="R21" s="21">
        <f t="shared" si="12"/>
        <v>9.1788309223014988</v>
      </c>
      <c r="S21" s="33">
        <v>1.0024486651588107</v>
      </c>
    </row>
    <row r="22" spans="1:27" s="21" customFormat="1" ht="15" x14ac:dyDescent="0.25">
      <c r="A22" s="22" t="s">
        <v>18</v>
      </c>
      <c r="B22" s="21">
        <f t="shared" ref="B22:R22" si="14">IFERROR(B3/B12,"")</f>
        <v>1.1065182609120745</v>
      </c>
      <c r="C22" s="21">
        <f t="shared" si="14"/>
        <v>-12.061011181332036</v>
      </c>
      <c r="D22" s="21">
        <f t="shared" si="14"/>
        <v>9.5850240229506767</v>
      </c>
      <c r="F22" s="21">
        <f t="shared" si="14"/>
        <v>-0.68324980482089692</v>
      </c>
      <c r="G22" s="21">
        <f t="shared" si="14"/>
        <v>34.817747728527529</v>
      </c>
      <c r="H22" s="21">
        <f t="shared" ref="H22" si="15">IFERROR(H3/H12,"")</f>
        <v>-0.14842168403688985</v>
      </c>
      <c r="I22" s="21">
        <f t="shared" si="14"/>
        <v>30.043494490182471</v>
      </c>
      <c r="J22" s="21" t="str">
        <f t="shared" si="14"/>
        <v/>
      </c>
      <c r="K22" s="21">
        <f t="shared" si="14"/>
        <v>-0.60428360731637853</v>
      </c>
      <c r="L22" s="21">
        <f t="shared" si="14"/>
        <v>5.8293367614752674</v>
      </c>
      <c r="M22" s="21">
        <f t="shared" si="14"/>
        <v>57.671907022368579</v>
      </c>
      <c r="N22" s="21">
        <f t="shared" si="14"/>
        <v>-3.5843294087535194</v>
      </c>
      <c r="O22" s="21">
        <f t="shared" si="14"/>
        <v>16.953466612074553</v>
      </c>
      <c r="P22" s="21">
        <f t="shared" si="14"/>
        <v>-9.9849081803005006</v>
      </c>
      <c r="Q22" s="21">
        <f t="shared" si="14"/>
        <v>-0.88886207515826321</v>
      </c>
      <c r="R22" s="21">
        <f t="shared" si="14"/>
        <v>-0.12226686301501424</v>
      </c>
      <c r="S22" s="33">
        <v>-408.38576740545597</v>
      </c>
    </row>
    <row r="23" spans="1:27" s="21" customFormat="1" ht="15" x14ac:dyDescent="0.25">
      <c r="A23" s="22" t="s">
        <v>17</v>
      </c>
      <c r="B23" s="21">
        <f t="shared" ref="B23:R23" si="16">IFERROR(((B10+B11))/B12,"")</f>
        <v>0.10651826091207447</v>
      </c>
      <c r="C23" s="21">
        <f t="shared" si="16"/>
        <v>-13.061011181332036</v>
      </c>
      <c r="D23" s="21">
        <f t="shared" si="16"/>
        <v>8.5850240229506767</v>
      </c>
      <c r="F23" s="21">
        <f t="shared" si="16"/>
        <v>-1.6832498048208968</v>
      </c>
      <c r="G23" s="21">
        <f t="shared" si="16"/>
        <v>33.817747728527522</v>
      </c>
      <c r="H23" s="21">
        <f t="shared" ref="H23" si="17">IFERROR(((H10+H11))/H12,"")</f>
        <v>-1.1484216840368899</v>
      </c>
      <c r="I23" s="21">
        <f t="shared" si="16"/>
        <v>29.043494490182475</v>
      </c>
      <c r="J23" s="21" t="str">
        <f t="shared" si="16"/>
        <v/>
      </c>
      <c r="K23" s="21">
        <f t="shared" si="16"/>
        <v>-1.6042836073163789</v>
      </c>
      <c r="L23" s="21">
        <f t="shared" si="16"/>
        <v>4.8293367614752674</v>
      </c>
      <c r="M23" s="21">
        <f t="shared" si="16"/>
        <v>56.671907022368579</v>
      </c>
      <c r="N23" s="21">
        <f t="shared" si="16"/>
        <v>-4.5843294087535194</v>
      </c>
      <c r="O23" s="21">
        <f t="shared" si="16"/>
        <v>15.953466612074555</v>
      </c>
      <c r="P23" s="21">
        <f t="shared" si="16"/>
        <v>-10.984908180300501</v>
      </c>
      <c r="Q23" s="21">
        <f t="shared" si="16"/>
        <v>-1.8888620751582632</v>
      </c>
      <c r="R23" s="21">
        <f t="shared" si="16"/>
        <v>-1.1222668630150143</v>
      </c>
      <c r="S23" s="33">
        <v>-409.38576740545591</v>
      </c>
    </row>
    <row r="24" spans="1:27" s="21" customFormat="1" ht="15" x14ac:dyDescent="0.25">
      <c r="A24" s="22" t="s">
        <v>16</v>
      </c>
      <c r="B24" s="21">
        <f t="shared" ref="B24:R24" si="18">IFERROR((SUM(B10:B11))/(SUM(B13,B16)),"")</f>
        <v>0.10651826091207447</v>
      </c>
      <c r="C24" s="21">
        <f t="shared" si="18"/>
        <v>9.4445675277959449</v>
      </c>
      <c r="D24" s="21">
        <f t="shared" si="18"/>
        <v>2.0387419721179043</v>
      </c>
      <c r="F24" s="21">
        <f t="shared" si="18"/>
        <v>1.5421500152777776</v>
      </c>
      <c r="G24" s="21">
        <f t="shared" si="18"/>
        <v>0.65177451823114541</v>
      </c>
      <c r="H24" s="21">
        <f t="shared" ref="H24" si="19">IFERROR((SUM(H10:H11))/(SUM(H13,H16)),"")</f>
        <v>3.7124909105599095</v>
      </c>
      <c r="I24" s="21">
        <f t="shared" si="18"/>
        <v>1.3919067765460897</v>
      </c>
      <c r="J24" s="21" t="str">
        <f t="shared" si="18"/>
        <v/>
      </c>
      <c r="K24" s="21">
        <f t="shared" si="18"/>
        <v>1.0459768380802861</v>
      </c>
      <c r="L24" s="21">
        <f t="shared" si="18"/>
        <v>7.6244375380575278</v>
      </c>
      <c r="M24" s="21">
        <f t="shared" si="18"/>
        <v>11.058419702069518</v>
      </c>
      <c r="N24" s="21">
        <f t="shared" si="18"/>
        <v>8.523657692170417</v>
      </c>
      <c r="O24" s="21">
        <f t="shared" si="18"/>
        <v>6.6656446080038032</v>
      </c>
      <c r="P24" s="21" t="str">
        <f t="shared" si="18"/>
        <v/>
      </c>
      <c r="Q24" s="21">
        <f t="shared" si="18"/>
        <v>12.334261736357973</v>
      </c>
      <c r="R24" s="21">
        <f t="shared" si="18"/>
        <v>2.5445488858241996</v>
      </c>
      <c r="S24" s="33">
        <v>3.9698488182666622</v>
      </c>
    </row>
    <row r="25" spans="1:27" s="21" customFormat="1" ht="15" x14ac:dyDescent="0.25">
      <c r="A25" s="22" t="s">
        <v>49</v>
      </c>
      <c r="B25" s="21">
        <f t="shared" ref="B25:R25" si="20">IFERROR(B10/B12,"")</f>
        <v>0.10651826091207447</v>
      </c>
      <c r="C25" s="21">
        <f t="shared" si="20"/>
        <v>-7.8394082599405319</v>
      </c>
      <c r="D25" s="21">
        <f t="shared" si="20"/>
        <v>3.0849679910254548</v>
      </c>
      <c r="F25" s="21">
        <f t="shared" si="20"/>
        <v>-7.0541357756006062E-2</v>
      </c>
      <c r="G25" s="21">
        <f t="shared" si="20"/>
        <v>19.887774881108516</v>
      </c>
      <c r="H25" s="21">
        <f t="shared" ref="H25" si="21">IFERROR(H10/H12,"")</f>
        <v>-0.67169653345330038</v>
      </c>
      <c r="I25" s="21">
        <f t="shared" si="20"/>
        <v>14.51850215760687</v>
      </c>
      <c r="J25" s="21" t="str">
        <f t="shared" si="20"/>
        <v/>
      </c>
      <c r="K25" s="21">
        <f t="shared" si="20"/>
        <v>-0.68741507801423674</v>
      </c>
      <c r="L25" s="21">
        <f t="shared" si="20"/>
        <v>3.339833615249868</v>
      </c>
      <c r="M25" s="21">
        <f t="shared" si="20"/>
        <v>20.623819825185237</v>
      </c>
      <c r="N25" s="21">
        <f t="shared" si="20"/>
        <v>-1.4865401842846173</v>
      </c>
      <c r="O25" s="21">
        <f t="shared" si="20"/>
        <v>6.6836017835563677</v>
      </c>
      <c r="P25" s="21">
        <f t="shared" si="20"/>
        <v>-10.589849749582637</v>
      </c>
      <c r="Q25" s="21">
        <f t="shared" si="20"/>
        <v>-1.4628417815292059</v>
      </c>
      <c r="R25" s="21">
        <f t="shared" si="20"/>
        <v>-0.36231872458942921</v>
      </c>
      <c r="S25" s="33">
        <v>-160.81729343183454</v>
      </c>
    </row>
    <row r="26" spans="1:27" s="21" customFormat="1" ht="15" x14ac:dyDescent="0.25">
      <c r="A26" s="22" t="s">
        <v>48</v>
      </c>
      <c r="B26" s="21">
        <f t="shared" ref="B26:R26" si="22">IFERROR((B10+B11)/B12,"")</f>
        <v>0.10651826091207447</v>
      </c>
      <c r="C26" s="21">
        <f t="shared" si="22"/>
        <v>-13.061011181332036</v>
      </c>
      <c r="D26" s="21">
        <f t="shared" si="22"/>
        <v>8.5850240229506767</v>
      </c>
      <c r="F26" s="21">
        <f t="shared" si="22"/>
        <v>-1.6832498048208968</v>
      </c>
      <c r="G26" s="21">
        <f t="shared" si="22"/>
        <v>33.817747728527522</v>
      </c>
      <c r="H26" s="21">
        <f t="shared" ref="H26" si="23">IFERROR((H10+H11)/H12,"")</f>
        <v>-1.1484216840368899</v>
      </c>
      <c r="I26" s="21">
        <f t="shared" si="22"/>
        <v>29.043494490182475</v>
      </c>
      <c r="J26" s="21" t="str">
        <f t="shared" si="22"/>
        <v/>
      </c>
      <c r="K26" s="21">
        <f t="shared" si="22"/>
        <v>-1.6042836073163789</v>
      </c>
      <c r="L26" s="21">
        <f t="shared" si="22"/>
        <v>4.8293367614752674</v>
      </c>
      <c r="M26" s="21">
        <f t="shared" si="22"/>
        <v>56.671907022368579</v>
      </c>
      <c r="N26" s="21">
        <f t="shared" si="22"/>
        <v>-4.5843294087535194</v>
      </c>
      <c r="O26" s="21">
        <f t="shared" si="22"/>
        <v>15.953466612074555</v>
      </c>
      <c r="P26" s="21">
        <f t="shared" si="22"/>
        <v>-10.984908180300501</v>
      </c>
      <c r="Q26" s="21">
        <f t="shared" si="22"/>
        <v>-1.8888620751582632</v>
      </c>
      <c r="R26" s="21">
        <f t="shared" si="22"/>
        <v>-1.1222668630150143</v>
      </c>
      <c r="S26" s="33">
        <v>-409.38576740545591</v>
      </c>
    </row>
    <row r="29" spans="1:27" s="24" customFormat="1" ht="15" x14ac:dyDescent="0.25">
      <c r="A29" s="18" t="s">
        <v>53</v>
      </c>
      <c r="B29" s="36"/>
      <c r="C29" s="36"/>
      <c r="D29" s="36"/>
      <c r="E29" s="42"/>
      <c r="F29" s="36"/>
      <c r="G29" s="36"/>
      <c r="H29" s="42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20">
        <v>1000</v>
      </c>
      <c r="T29" s="25"/>
      <c r="U29" s="25"/>
      <c r="V29" s="25"/>
      <c r="W29" s="25"/>
      <c r="X29" s="29"/>
      <c r="Y29" s="25"/>
      <c r="Z29" s="25"/>
      <c r="AA29" s="28"/>
    </row>
    <row r="30" spans="1:27" s="26" customFormat="1" ht="15" x14ac:dyDescent="0.25">
      <c r="A30" s="34" t="s">
        <v>56</v>
      </c>
      <c r="B30" s="23" t="s">
        <v>57</v>
      </c>
      <c r="C30" s="23" t="s">
        <v>58</v>
      </c>
      <c r="D30" s="23" t="s">
        <v>59</v>
      </c>
      <c r="E30" s="23" t="s">
        <v>73</v>
      </c>
      <c r="F30" s="23" t="s">
        <v>60</v>
      </c>
      <c r="G30" s="23" t="s">
        <v>61</v>
      </c>
      <c r="H30" s="23" t="s">
        <v>72</v>
      </c>
      <c r="I30" s="23" t="s">
        <v>63</v>
      </c>
      <c r="J30" s="23" t="s">
        <v>15</v>
      </c>
      <c r="K30" s="23" t="s">
        <v>64</v>
      </c>
      <c r="L30" s="23" t="s">
        <v>65</v>
      </c>
      <c r="M30" s="23" t="s">
        <v>14</v>
      </c>
      <c r="N30" s="23" t="s">
        <v>66</v>
      </c>
      <c r="O30" s="23" t="s">
        <v>67</v>
      </c>
      <c r="P30" s="23" t="s">
        <v>68</v>
      </c>
      <c r="Q30" s="23" t="s">
        <v>70</v>
      </c>
      <c r="R30" s="23" t="s">
        <v>69</v>
      </c>
      <c r="S30" s="23" t="s">
        <v>55</v>
      </c>
    </row>
    <row r="31" spans="1:27" s="14" customFormat="1" ht="15" x14ac:dyDescent="0.25">
      <c r="A31" s="27" t="s">
        <v>34</v>
      </c>
      <c r="B31" s="14">
        <f t="shared" ref="B31:R31" si="24">B32+B33</f>
        <v>1763.2696899999999</v>
      </c>
      <c r="C31" s="14">
        <f t="shared" si="24"/>
        <v>2444675</v>
      </c>
      <c r="D31" s="14">
        <f t="shared" si="24"/>
        <v>9426319.7359999996</v>
      </c>
      <c r="F31" s="14">
        <f t="shared" si="24"/>
        <v>4391.5019699999993</v>
      </c>
      <c r="G31" s="14">
        <f t="shared" si="24"/>
        <v>699781.60456000012</v>
      </c>
      <c r="H31" s="14">
        <f t="shared" si="24"/>
        <v>24265</v>
      </c>
      <c r="I31" s="14">
        <f t="shared" si="24"/>
        <v>303014.78599999996</v>
      </c>
      <c r="J31" s="14">
        <f t="shared" si="24"/>
        <v>0</v>
      </c>
      <c r="K31" s="14">
        <f t="shared" si="24"/>
        <v>2235.8020200000001</v>
      </c>
      <c r="L31" s="14">
        <f t="shared" si="24"/>
        <v>34692.818430000007</v>
      </c>
      <c r="M31" s="14">
        <f t="shared" si="24"/>
        <v>12931848</v>
      </c>
      <c r="N31" s="14">
        <f t="shared" si="24"/>
        <v>1034459</v>
      </c>
      <c r="O31" s="14">
        <f t="shared" si="24"/>
        <v>117632.26848</v>
      </c>
      <c r="P31" s="14">
        <f t="shared" si="24"/>
        <v>172407</v>
      </c>
      <c r="Q31" s="14">
        <f t="shared" si="24"/>
        <v>3148.2799999999997</v>
      </c>
      <c r="R31" s="10">
        <f t="shared" si="24"/>
        <v>50650</v>
      </c>
      <c r="S31" s="10">
        <v>27251284.06715</v>
      </c>
    </row>
    <row r="32" spans="1:27" s="9" customFormat="1" ht="15" x14ac:dyDescent="0.25">
      <c r="A32" s="26" t="s">
        <v>33</v>
      </c>
      <c r="B32" s="9">
        <f>1724648.66/1000</f>
        <v>1724.6486599999998</v>
      </c>
      <c r="C32" s="9">
        <f>843637</f>
        <v>843637</v>
      </c>
      <c r="D32" s="9">
        <v>3064583.3969999999</v>
      </c>
      <c r="F32" s="9">
        <f>2245055.01/1000</f>
        <v>2245.0550099999996</v>
      </c>
      <c r="G32" s="9">
        <f>342076179.05/1000</f>
        <v>342076.17905000004</v>
      </c>
      <c r="H32" s="9">
        <f>771+15860</f>
        <v>16631</v>
      </c>
      <c r="I32" s="9">
        <f>(744964+40252855+8943349+15313400)/1000</f>
        <v>65254.567999999999</v>
      </c>
      <c r="K32" s="9">
        <f>901786.76/1000</f>
        <v>901.78675999999996</v>
      </c>
      <c r="L32" s="9">
        <f>13436985.49/1000</f>
        <v>13436.985490000001</v>
      </c>
      <c r="M32" s="9">
        <f>3811169+2342</f>
        <v>3813511</v>
      </c>
      <c r="N32" s="9">
        <v>104585</v>
      </c>
      <c r="O32" s="9">
        <f>63500549.29/1000</f>
        <v>63500.549290000003</v>
      </c>
      <c r="P32" s="9">
        <v>157421</v>
      </c>
      <c r="Q32" s="9">
        <v>1333.18</v>
      </c>
      <c r="R32" s="5">
        <v>43013</v>
      </c>
      <c r="S32" s="5">
        <v>8533854.3492599986</v>
      </c>
    </row>
    <row r="33" spans="1:19" s="9" customFormat="1" ht="15" x14ac:dyDescent="0.25">
      <c r="A33" s="26" t="s">
        <v>32</v>
      </c>
      <c r="B33" s="9">
        <f t="shared" ref="B33:R33" si="25">SUM(B34:B36)</f>
        <v>38.621029999999998</v>
      </c>
      <c r="C33" s="9">
        <f t="shared" si="25"/>
        <v>1601038</v>
      </c>
      <c r="D33" s="9">
        <f t="shared" si="25"/>
        <v>6361736.3389999997</v>
      </c>
      <c r="F33" s="9">
        <f t="shared" si="25"/>
        <v>2146.4469600000002</v>
      </c>
      <c r="G33" s="9">
        <f t="shared" si="25"/>
        <v>357705.42551000003</v>
      </c>
      <c r="H33" s="9">
        <f t="shared" ref="H33" si="26">SUM(H34:H36)</f>
        <v>7634</v>
      </c>
      <c r="I33" s="9">
        <f t="shared" si="25"/>
        <v>237760.21799999999</v>
      </c>
      <c r="J33" s="9">
        <f t="shared" si="25"/>
        <v>0</v>
      </c>
      <c r="K33" s="9">
        <f t="shared" si="25"/>
        <v>1334.0152600000001</v>
      </c>
      <c r="L33" s="9">
        <f t="shared" si="25"/>
        <v>21255.832940000004</v>
      </c>
      <c r="M33" s="9">
        <f t="shared" si="25"/>
        <v>9118337</v>
      </c>
      <c r="N33" s="9">
        <f t="shared" si="25"/>
        <v>929874</v>
      </c>
      <c r="O33" s="9">
        <f t="shared" si="25"/>
        <v>54131.719190000003</v>
      </c>
      <c r="P33" s="9">
        <f t="shared" si="25"/>
        <v>14986</v>
      </c>
      <c r="Q33" s="9">
        <f t="shared" si="25"/>
        <v>1815.1</v>
      </c>
      <c r="R33" s="5">
        <f t="shared" si="25"/>
        <v>7637</v>
      </c>
      <c r="S33" s="5">
        <v>18717429.717890002</v>
      </c>
    </row>
    <row r="34" spans="1:19" s="9" customFormat="1" ht="15" x14ac:dyDescent="0.25">
      <c r="A34" s="26" t="s">
        <v>31</v>
      </c>
      <c r="C34" s="9">
        <f>45783+247134+310189+39656</f>
        <v>642762</v>
      </c>
      <c r="D34" s="9">
        <v>1721899.287</v>
      </c>
      <c r="F34" s="9">
        <f>(800512.19+567711.5)/1000</f>
        <v>1368.22369</v>
      </c>
      <c r="G34" s="9">
        <f>(99101033.33+49145580.1+4225869.9)/1000</f>
        <v>152472.48333000002</v>
      </c>
      <c r="H34" s="9">
        <f>3972+884</f>
        <v>4856</v>
      </c>
      <c r="I34" s="9">
        <f>38633891/1000</f>
        <v>38633.891000000003</v>
      </c>
      <c r="K34" s="9">
        <f>146283.66/1000</f>
        <v>146.28366</v>
      </c>
      <c r="L34" s="9">
        <f>657628.41/1000</f>
        <v>657.62841000000003</v>
      </c>
      <c r="M34" s="9">
        <v>1110624</v>
      </c>
      <c r="N34" s="9">
        <f>33821+129675+18157</f>
        <v>181653</v>
      </c>
      <c r="O34" s="9">
        <f>3623918.66/1000</f>
        <v>3623.9186600000003</v>
      </c>
      <c r="P34" s="9">
        <v>9388</v>
      </c>
      <c r="R34" s="5">
        <v>959</v>
      </c>
      <c r="S34" s="5">
        <v>3869043.71575</v>
      </c>
    </row>
    <row r="35" spans="1:19" s="9" customFormat="1" ht="15" x14ac:dyDescent="0.25">
      <c r="A35" s="26" t="s">
        <v>30</v>
      </c>
      <c r="B35" s="9">
        <f>38621.03/1000</f>
        <v>38.621029999999998</v>
      </c>
      <c r="C35" s="9">
        <f>928770</f>
        <v>928770</v>
      </c>
      <c r="D35" s="9">
        <v>4639837.0520000001</v>
      </c>
      <c r="F35" s="9">
        <f>(254869.79+841640.81+27161.95-345449.28)/1000</f>
        <v>778.22327000000007</v>
      </c>
      <c r="G35" s="9">
        <f>(201859230.93+3373631.25+80)/1000</f>
        <v>205232.94218000001</v>
      </c>
      <c r="H35" s="9">
        <v>2778</v>
      </c>
      <c r="I35" s="9">
        <f>(27121159+172005168)/1000</f>
        <v>199126.32699999999</v>
      </c>
      <c r="K35" s="9">
        <f>(1403842.06-265626.3)/1000</f>
        <v>1138.21576</v>
      </c>
      <c r="L35" s="9">
        <f>20598204.53/1000</f>
        <v>20598.204530000003</v>
      </c>
      <c r="M35" s="9">
        <f>(588944+7110505+308264)</f>
        <v>8007713</v>
      </c>
      <c r="N35" s="9">
        <f>690080+58041</f>
        <v>748121</v>
      </c>
      <c r="O35" s="9">
        <f>(8522050.01+41985750.52)/1000</f>
        <v>50507.80053</v>
      </c>
      <c r="P35" s="9">
        <f>831+4767</f>
        <v>5598</v>
      </c>
      <c r="Q35" s="9">
        <v>1815.1</v>
      </c>
      <c r="R35" s="5">
        <f>6091+587</f>
        <v>6678</v>
      </c>
      <c r="S35" s="5">
        <v>14818730.486299999</v>
      </c>
    </row>
    <row r="36" spans="1:19" s="9" customFormat="1" ht="15" x14ac:dyDescent="0.25">
      <c r="A36" s="26" t="s">
        <v>23</v>
      </c>
      <c r="C36" s="9">
        <f>29506</f>
        <v>29506</v>
      </c>
      <c r="K36" s="9">
        <f>49515.84/1000</f>
        <v>49.515839999999997</v>
      </c>
      <c r="N36" s="9">
        <v>100</v>
      </c>
      <c r="R36" s="5"/>
      <c r="S36" s="5">
        <v>29655.51584</v>
      </c>
    </row>
    <row r="37" spans="1:19" s="14" customFormat="1" ht="15" x14ac:dyDescent="0.25">
      <c r="A37" s="27" t="s">
        <v>29</v>
      </c>
      <c r="B37" s="14">
        <f t="shared" ref="B37:R37" si="27">B38+B39+B40</f>
        <v>1763.2696900000001</v>
      </c>
      <c r="C37" s="14">
        <f t="shared" si="27"/>
        <v>2444675</v>
      </c>
      <c r="D37" s="14">
        <f t="shared" si="27"/>
        <v>9426319.7360000014</v>
      </c>
      <c r="F37" s="14">
        <f t="shared" si="27"/>
        <v>4391.5019699999993</v>
      </c>
      <c r="G37" s="14">
        <f t="shared" si="27"/>
        <v>699781.60455999989</v>
      </c>
      <c r="H37" s="14">
        <f t="shared" si="27"/>
        <v>24265</v>
      </c>
      <c r="I37" s="14">
        <f t="shared" si="27"/>
        <v>303014.78599999996</v>
      </c>
      <c r="J37" s="14">
        <f t="shared" si="27"/>
        <v>0</v>
      </c>
      <c r="K37" s="14">
        <f t="shared" si="27"/>
        <v>2235.802020000001</v>
      </c>
      <c r="L37" s="14">
        <f t="shared" si="27"/>
        <v>34692.818429999999</v>
      </c>
      <c r="M37" s="14">
        <f t="shared" si="27"/>
        <v>12931848</v>
      </c>
      <c r="N37" s="14">
        <f t="shared" si="27"/>
        <v>1034459</v>
      </c>
      <c r="O37" s="14">
        <f t="shared" si="27"/>
        <v>117632.26848</v>
      </c>
      <c r="P37" s="14">
        <f t="shared" si="27"/>
        <v>172407</v>
      </c>
      <c r="Q37" s="14">
        <f t="shared" si="27"/>
        <v>3148.2799999999997</v>
      </c>
      <c r="R37" s="37">
        <f t="shared" si="27"/>
        <v>50650</v>
      </c>
      <c r="S37" s="10">
        <v>27251284.06715</v>
      </c>
    </row>
    <row r="38" spans="1:19" s="9" customFormat="1" ht="15" x14ac:dyDescent="0.25">
      <c r="A38" s="26" t="s">
        <v>28</v>
      </c>
      <c r="B38" s="9">
        <f>172667.41/1000</f>
        <v>172.66740999999999</v>
      </c>
      <c r="C38" s="9">
        <v>1489629</v>
      </c>
      <c r="D38" s="9">
        <v>4073247.5790000004</v>
      </c>
      <c r="F38" s="9">
        <f>731793.84/1000</f>
        <v>731.79383999999993</v>
      </c>
      <c r="G38" s="9">
        <f>482931845.18/1000</f>
        <v>482931.84518</v>
      </c>
      <c r="H38" s="9">
        <v>105787</v>
      </c>
      <c r="I38" s="9">
        <f>173206000/1000</f>
        <v>173206</v>
      </c>
      <c r="K38" s="9">
        <f>2426363.14/1000</f>
        <v>2426.3631399999999</v>
      </c>
      <c r="L38" s="9">
        <f>23748749.72/1000</f>
        <v>23748.74972</v>
      </c>
      <c r="M38" s="9">
        <v>6209949</v>
      </c>
      <c r="N38" s="9">
        <v>511798</v>
      </c>
      <c r="O38" s="9">
        <f>39886922.19/1000</f>
        <v>39886.922189999997</v>
      </c>
      <c r="P38" s="9">
        <v>149215</v>
      </c>
      <c r="Q38" s="9">
        <v>5245.73</v>
      </c>
      <c r="R38" s="10">
        <v>130811</v>
      </c>
      <c r="S38" s="10">
        <v>13398786.65048</v>
      </c>
    </row>
    <row r="39" spans="1:19" s="9" customFormat="1" x14ac:dyDescent="0.2">
      <c r="A39" s="26" t="s">
        <v>27</v>
      </c>
      <c r="C39" s="9">
        <v>1112213</v>
      </c>
      <c r="D39" s="9">
        <v>4813015.0220000008</v>
      </c>
      <c r="F39" s="9">
        <f>10773157.28/1000</f>
        <v>10773.157279999999</v>
      </c>
      <c r="G39" s="9">
        <f>229846579/1000</f>
        <v>229846.579</v>
      </c>
      <c r="H39" s="9">
        <v>77494</v>
      </c>
      <c r="I39" s="9">
        <f>115086773/1000</f>
        <v>115086.773</v>
      </c>
      <c r="K39" s="9">
        <f>3551449.63/1000</f>
        <v>3551.4496300000001</v>
      </c>
      <c r="L39" s="9">
        <f>5662160.15/1000</f>
        <v>5662.1601500000006</v>
      </c>
      <c r="M39" s="9">
        <v>6095177</v>
      </c>
      <c r="N39" s="9">
        <v>894942</v>
      </c>
      <c r="O39" s="9">
        <f>69733970.59/1000</f>
        <v>69733.970589999997</v>
      </c>
      <c r="P39" s="9">
        <v>6708</v>
      </c>
      <c r="Q39" s="9">
        <v>1517.8</v>
      </c>
      <c r="R39" s="9">
        <v>447051</v>
      </c>
      <c r="S39" s="9">
        <v>13882771.91165</v>
      </c>
    </row>
    <row r="40" spans="1:19" s="14" customFormat="1" ht="15" x14ac:dyDescent="0.25">
      <c r="A40" s="41" t="s">
        <v>26</v>
      </c>
      <c r="B40" s="14">
        <f t="shared" ref="B40:R40" si="28">SUM(B41:B44)</f>
        <v>1590.6022800000001</v>
      </c>
      <c r="C40" s="14">
        <f t="shared" si="28"/>
        <v>-157167</v>
      </c>
      <c r="D40" s="14">
        <f t="shared" si="28"/>
        <v>540057.13499999978</v>
      </c>
      <c r="F40" s="14">
        <f t="shared" si="28"/>
        <v>-7113.4491500000004</v>
      </c>
      <c r="G40" s="14">
        <f t="shared" si="28"/>
        <v>-12996.819620000053</v>
      </c>
      <c r="H40" s="14">
        <f t="shared" ref="H40" si="29">SUM(H41:H44)</f>
        <v>-159016</v>
      </c>
      <c r="I40" s="14">
        <f t="shared" si="28"/>
        <v>14722.012999999977</v>
      </c>
      <c r="J40" s="14">
        <f t="shared" si="28"/>
        <v>0</v>
      </c>
      <c r="K40" s="14">
        <f t="shared" si="28"/>
        <v>-3742.0107499999995</v>
      </c>
      <c r="L40" s="14">
        <f t="shared" si="28"/>
        <v>5281.9085599999999</v>
      </c>
      <c r="M40" s="14">
        <f t="shared" si="28"/>
        <v>626722</v>
      </c>
      <c r="N40" s="14">
        <f t="shared" si="28"/>
        <v>-372281</v>
      </c>
      <c r="O40" s="14">
        <f t="shared" si="28"/>
        <v>8011.3757000000005</v>
      </c>
      <c r="P40" s="14">
        <f t="shared" si="28"/>
        <v>16484</v>
      </c>
      <c r="Q40" s="14">
        <f t="shared" si="28"/>
        <v>-3615.25</v>
      </c>
      <c r="R40" s="14">
        <f t="shared" si="28"/>
        <v>-527212</v>
      </c>
      <c r="S40" s="14">
        <v>-30274.494980000309</v>
      </c>
    </row>
    <row r="41" spans="1:19" s="9" customFormat="1" ht="15" x14ac:dyDescent="0.25">
      <c r="A41" s="41" t="s">
        <v>25</v>
      </c>
      <c r="B41" s="9">
        <f>1558803/1000</f>
        <v>1558.8030000000001</v>
      </c>
      <c r="C41" s="9">
        <v>260810</v>
      </c>
      <c r="D41" s="9">
        <v>2517181.2239999999</v>
      </c>
      <c r="F41" s="9">
        <f>7200000/1000</f>
        <v>7200</v>
      </c>
      <c r="G41" s="9">
        <f>726070301.4/1000</f>
        <v>726070.3014</v>
      </c>
      <c r="H41" s="9">
        <v>49508</v>
      </c>
      <c r="I41" s="9">
        <f>20298000/1000</f>
        <v>20298</v>
      </c>
      <c r="K41" s="9">
        <f>5625562.98/1000</f>
        <v>5625.5629800000006</v>
      </c>
      <c r="L41" s="9">
        <f>1500000/1000</f>
        <v>1500</v>
      </c>
      <c r="M41" s="9">
        <v>1009122</v>
      </c>
      <c r="N41" s="9">
        <v>84166</v>
      </c>
      <c r="O41" s="9">
        <f>6000000/1000</f>
        <v>6000</v>
      </c>
      <c r="Q41" s="9">
        <v>545.74</v>
      </c>
      <c r="R41" s="9">
        <v>220432</v>
      </c>
      <c r="S41" s="9">
        <v>4910017.6313800002</v>
      </c>
    </row>
    <row r="42" spans="1:19" s="9" customFormat="1" ht="15" x14ac:dyDescent="0.25">
      <c r="A42" s="41" t="s">
        <v>50</v>
      </c>
      <c r="B42" s="9">
        <f>23742.41/1000</f>
        <v>23.74241</v>
      </c>
      <c r="C42" s="9">
        <v>-403736</v>
      </c>
      <c r="D42" s="9">
        <v>-3051997.1880000001</v>
      </c>
      <c r="F42" s="9">
        <f>-14313449.15/1000</f>
        <v>-14313.44915</v>
      </c>
      <c r="G42" s="9">
        <f>-842941479.64/1000</f>
        <v>-842941.47964000003</v>
      </c>
      <c r="H42" s="9">
        <v>-208524</v>
      </c>
      <c r="I42" s="9">
        <f>-183666602/1000</f>
        <v>-183666.60200000001</v>
      </c>
      <c r="K42" s="9">
        <f>-9417089.57/1000</f>
        <v>-9417.0895700000001</v>
      </c>
      <c r="L42" s="9">
        <f>1615547.06/1000</f>
        <v>1615.5470600000001</v>
      </c>
      <c r="N42" s="9">
        <v>-540387</v>
      </c>
      <c r="O42" s="9">
        <f>-9180259.58/1000</f>
        <v>-9180.2595799999999</v>
      </c>
      <c r="Q42" s="9">
        <v>-4160.99</v>
      </c>
      <c r="R42" s="9">
        <v>-747644</v>
      </c>
      <c r="S42" s="9">
        <v>-6014328.7684700005</v>
      </c>
    </row>
    <row r="43" spans="1:19" s="9" customFormat="1" ht="15" x14ac:dyDescent="0.25">
      <c r="A43" s="41" t="s">
        <v>24</v>
      </c>
      <c r="G43" s="9">
        <f>(4401790.29-31843060.03)/1000</f>
        <v>-27441.269740000003</v>
      </c>
      <c r="L43" s="9">
        <f>1027905.21/1000</f>
        <v>1027.9052099999999</v>
      </c>
      <c r="M43" s="9">
        <v>-3377777</v>
      </c>
      <c r="O43" s="9">
        <f>838458.47/1000</f>
        <v>838.45846999999992</v>
      </c>
      <c r="S43" s="9">
        <v>-3403351.90606</v>
      </c>
    </row>
    <row r="44" spans="1:19" s="9" customFormat="1" ht="15" x14ac:dyDescent="0.25">
      <c r="A44" s="41" t="s">
        <v>23</v>
      </c>
      <c r="B44" s="9">
        <f>(0.82+8056.05)/1000</f>
        <v>8.05687</v>
      </c>
      <c r="C44" s="9">
        <f>-25809+11568</f>
        <v>-14241</v>
      </c>
      <c r="D44" s="9">
        <f>1114158.957-39285.858</f>
        <v>1074873.0989999999</v>
      </c>
      <c r="G44" s="9">
        <f>131315628.36/1000</f>
        <v>131315.62836</v>
      </c>
      <c r="I44" s="9">
        <f>(177090615+1000000)/1000</f>
        <v>178090.61499999999</v>
      </c>
      <c r="K44" s="9">
        <f>49515.84/1000</f>
        <v>49.515839999999997</v>
      </c>
      <c r="L44" s="9">
        <f>1138456.29/1000</f>
        <v>1138.4562900000001</v>
      </c>
      <c r="M44" s="9">
        <f>2894102+101275</f>
        <v>2995377</v>
      </c>
      <c r="N44" s="9">
        <v>83940</v>
      </c>
      <c r="O44" s="9">
        <f>(501031.91+9852144.9)/1000</f>
        <v>10353.176810000001</v>
      </c>
      <c r="P44" s="9">
        <v>16484</v>
      </c>
      <c r="S44" s="9">
        <v>4477388.5481700003</v>
      </c>
    </row>
    <row r="45" spans="1:19" s="4" customFormat="1" ht="15" x14ac:dyDescent="0.25">
      <c r="A45" s="14"/>
      <c r="S45" s="9"/>
    </row>
    <row r="46" spans="1:19" s="21" customFormat="1" ht="15" x14ac:dyDescent="0.25">
      <c r="A46" s="22" t="s">
        <v>22</v>
      </c>
      <c r="B46" s="21">
        <f t="shared" ref="B46:R46" si="30">IFERROR(+B32/B38,"")</f>
        <v>9.9882697030088075</v>
      </c>
      <c r="C46" s="21">
        <f t="shared" si="30"/>
        <v>0.56634034380372567</v>
      </c>
      <c r="D46" s="21">
        <f t="shared" si="30"/>
        <v>0.75236855544940096</v>
      </c>
      <c r="F46" s="21">
        <f t="shared" si="30"/>
        <v>3.0678790764349695</v>
      </c>
      <c r="G46" s="21">
        <f t="shared" si="30"/>
        <v>0.70833220559828736</v>
      </c>
      <c r="H46" s="21">
        <f t="shared" si="30"/>
        <v>0.15721213381606436</v>
      </c>
      <c r="I46" s="21">
        <f t="shared" si="30"/>
        <v>0.37674542452339987</v>
      </c>
      <c r="J46" s="21" t="str">
        <f t="shared" si="30"/>
        <v/>
      </c>
      <c r="K46" s="21">
        <f t="shared" si="30"/>
        <v>0.37166191042615326</v>
      </c>
      <c r="L46" s="21">
        <f t="shared" si="30"/>
        <v>0.56579759559653997</v>
      </c>
      <c r="M46" s="21">
        <f t="shared" si="30"/>
        <v>0.61409699177883748</v>
      </c>
      <c r="N46" s="21">
        <f t="shared" si="30"/>
        <v>0.20434819987573222</v>
      </c>
      <c r="O46" s="21">
        <f t="shared" si="30"/>
        <v>1.5920142694268888</v>
      </c>
      <c r="P46" s="21">
        <f t="shared" si="30"/>
        <v>1.0549944710652415</v>
      </c>
      <c r="Q46" s="21">
        <f t="shared" si="30"/>
        <v>0.25414575283135049</v>
      </c>
      <c r="R46" s="21">
        <f t="shared" si="30"/>
        <v>0.32881791286665496</v>
      </c>
      <c r="S46" s="9">
        <v>0.63691247363463921</v>
      </c>
    </row>
    <row r="47" spans="1:19" s="21" customFormat="1" ht="15" x14ac:dyDescent="0.25">
      <c r="A47" s="22" t="s">
        <v>21</v>
      </c>
      <c r="B47" s="21">
        <f t="shared" ref="B47:R47" si="31">IFERROR(+(B32+B34)/(B38+B39),"")</f>
        <v>9.9882697030088075</v>
      </c>
      <c r="C47" s="21">
        <f t="shared" si="31"/>
        <v>0.57128718807675483</v>
      </c>
      <c r="D47" s="21">
        <f t="shared" si="31"/>
        <v>0.53863844665825666</v>
      </c>
      <c r="F47" s="21">
        <f t="shared" si="31"/>
        <v>0.31406293362852633</v>
      </c>
      <c r="G47" s="21">
        <f t="shared" si="31"/>
        <v>0.6938322564251892</v>
      </c>
      <c r="H47" s="21">
        <f t="shared" si="31"/>
        <v>0.11723528352638844</v>
      </c>
      <c r="I47" s="21">
        <f t="shared" si="31"/>
        <v>0.36035748631132009</v>
      </c>
      <c r="J47" s="21" t="str">
        <f t="shared" si="31"/>
        <v/>
      </c>
      <c r="K47" s="21">
        <f t="shared" si="31"/>
        <v>0.17532673911431321</v>
      </c>
      <c r="L47" s="21">
        <f t="shared" si="31"/>
        <v>0.47923080116528199</v>
      </c>
      <c r="M47" s="21">
        <f t="shared" si="31"/>
        <v>0.40016940907390952</v>
      </c>
      <c r="N47" s="21">
        <f t="shared" si="31"/>
        <v>0.20347612209790011</v>
      </c>
      <c r="O47" s="21">
        <f t="shared" si="31"/>
        <v>0.61233279758734704</v>
      </c>
      <c r="P47" s="21">
        <f t="shared" si="31"/>
        <v>1.0698165119963059</v>
      </c>
      <c r="Q47" s="21">
        <f t="shared" si="31"/>
        <v>0.19711304599816962</v>
      </c>
      <c r="R47" s="21">
        <f t="shared" si="31"/>
        <v>7.6094292408914244E-2</v>
      </c>
      <c r="S47" s="21">
        <v>0.45462571490423109</v>
      </c>
    </row>
    <row r="48" spans="1:19" s="21" customFormat="1" ht="15" x14ac:dyDescent="0.25">
      <c r="A48" s="22" t="s">
        <v>20</v>
      </c>
      <c r="B48" s="21">
        <f t="shared" ref="B48:R48" si="32">IFERROR(+B40,"")</f>
        <v>1590.6022800000001</v>
      </c>
      <c r="C48" s="21">
        <f t="shared" si="32"/>
        <v>-157167</v>
      </c>
      <c r="D48" s="21">
        <f t="shared" si="32"/>
        <v>540057.13499999978</v>
      </c>
      <c r="F48" s="21">
        <f t="shared" si="32"/>
        <v>-7113.4491500000004</v>
      </c>
      <c r="G48" s="21">
        <f t="shared" si="32"/>
        <v>-12996.819620000053</v>
      </c>
      <c r="H48" s="21">
        <f t="shared" si="32"/>
        <v>-159016</v>
      </c>
      <c r="I48" s="21">
        <f t="shared" si="32"/>
        <v>14722.012999999977</v>
      </c>
      <c r="J48" s="21">
        <f t="shared" si="32"/>
        <v>0</v>
      </c>
      <c r="K48" s="21">
        <f t="shared" si="32"/>
        <v>-3742.0107499999995</v>
      </c>
      <c r="L48" s="21">
        <f t="shared" si="32"/>
        <v>5281.9085599999999</v>
      </c>
      <c r="M48" s="21">
        <f t="shared" si="32"/>
        <v>626722</v>
      </c>
      <c r="N48" s="21">
        <f t="shared" si="32"/>
        <v>-372281</v>
      </c>
      <c r="O48" s="21">
        <f t="shared" si="32"/>
        <v>8011.3757000000005</v>
      </c>
      <c r="P48" s="21">
        <f t="shared" si="32"/>
        <v>16484</v>
      </c>
      <c r="Q48" s="21">
        <f t="shared" si="32"/>
        <v>-3615.25</v>
      </c>
      <c r="R48" s="21">
        <f t="shared" si="32"/>
        <v>-527212</v>
      </c>
      <c r="S48" s="33">
        <v>-30274.494980000309</v>
      </c>
    </row>
    <row r="49" spans="1:31" s="21" customFormat="1" ht="15" x14ac:dyDescent="0.25">
      <c r="A49" s="22" t="s">
        <v>19</v>
      </c>
      <c r="B49" s="21">
        <f t="shared" ref="B49:R49" si="33">IFERROR(((B38+B39))/B31,"")</f>
        <v>9.7924560819734843E-2</v>
      </c>
      <c r="C49" s="21">
        <f t="shared" si="33"/>
        <v>1.0642895272377719</v>
      </c>
      <c r="D49" s="21">
        <f t="shared" si="33"/>
        <v>0.94270753060311874</v>
      </c>
      <c r="F49" s="21">
        <f t="shared" si="33"/>
        <v>2.6198214639534823</v>
      </c>
      <c r="G49" s="21">
        <f t="shared" si="33"/>
        <v>1.0185726797265153</v>
      </c>
      <c r="H49" s="21">
        <f t="shared" si="33"/>
        <v>7.5533072326396047</v>
      </c>
      <c r="I49" s="21">
        <f t="shared" si="33"/>
        <v>0.95141486924007734</v>
      </c>
      <c r="J49" s="21" t="str">
        <f t="shared" si="33"/>
        <v/>
      </c>
      <c r="K49" s="21">
        <f t="shared" si="33"/>
        <v>2.6736771487486179</v>
      </c>
      <c r="L49" s="21">
        <f t="shared" si="33"/>
        <v>0.84775210550686853</v>
      </c>
      <c r="M49" s="21">
        <f t="shared" si="33"/>
        <v>0.95153654759938411</v>
      </c>
      <c r="N49" s="21">
        <f t="shared" si="33"/>
        <v>1.359879898575004</v>
      </c>
      <c r="O49" s="21">
        <f t="shared" si="33"/>
        <v>0.93189474449893728</v>
      </c>
      <c r="P49" s="21">
        <f t="shared" si="33"/>
        <v>0.90438903292789741</v>
      </c>
      <c r="Q49" s="21">
        <f t="shared" si="33"/>
        <v>2.1483254348406113</v>
      </c>
      <c r="R49" s="21">
        <f t="shared" si="33"/>
        <v>11.408923988153997</v>
      </c>
      <c r="S49" s="33">
        <v>1.0011109382921333</v>
      </c>
    </row>
    <row r="50" spans="1:31" s="21" customFormat="1" ht="15" x14ac:dyDescent="0.25">
      <c r="A50" s="22" t="s">
        <v>18</v>
      </c>
      <c r="B50" s="21">
        <f t="shared" ref="B50:R50" si="34">IFERROR(B31/B40,"")</f>
        <v>1.1085547356313357</v>
      </c>
      <c r="C50" s="21">
        <f t="shared" si="34"/>
        <v>-15.554632970025514</v>
      </c>
      <c r="D50" s="21">
        <f t="shared" si="34"/>
        <v>17.454300897255997</v>
      </c>
      <c r="F50" s="21">
        <f t="shared" si="34"/>
        <v>-0.61735198739699981</v>
      </c>
      <c r="G50" s="21">
        <f t="shared" si="34"/>
        <v>-53.842526481105175</v>
      </c>
      <c r="H50" s="21">
        <f t="shared" si="34"/>
        <v>-0.15259470745082257</v>
      </c>
      <c r="I50" s="21">
        <f t="shared" si="34"/>
        <v>20.582428911046364</v>
      </c>
      <c r="J50" s="21" t="str">
        <f t="shared" si="34"/>
        <v/>
      </c>
      <c r="K50" s="21">
        <f t="shared" si="34"/>
        <v>-0.59748679770628677</v>
      </c>
      <c r="L50" s="21">
        <f t="shared" si="34"/>
        <v>6.5682353331008834</v>
      </c>
      <c r="M50" s="21">
        <f t="shared" si="34"/>
        <v>20.634105711942457</v>
      </c>
      <c r="N50" s="21">
        <f t="shared" si="34"/>
        <v>-2.7787047955710875</v>
      </c>
      <c r="O50" s="21">
        <f t="shared" si="34"/>
        <v>14.683154664685116</v>
      </c>
      <c r="P50" s="21">
        <f t="shared" si="34"/>
        <v>10.459051201164765</v>
      </c>
      <c r="Q50" s="21">
        <f t="shared" si="34"/>
        <v>-0.87083327570707414</v>
      </c>
      <c r="R50" s="21">
        <f t="shared" si="34"/>
        <v>-9.6071409603726773E-2</v>
      </c>
      <c r="S50" s="33">
        <v>-900.1400051479809</v>
      </c>
    </row>
    <row r="51" spans="1:31" s="21" customFormat="1" ht="15" x14ac:dyDescent="0.25">
      <c r="A51" s="22" t="s">
        <v>17</v>
      </c>
      <c r="B51" s="21">
        <f t="shared" ref="B51:R51" si="35">IFERROR(((B38+B39))/B40,"")</f>
        <v>0.10855473563133582</v>
      </c>
      <c r="C51" s="21">
        <f t="shared" si="35"/>
        <v>-16.554632970025516</v>
      </c>
      <c r="D51" s="21">
        <f t="shared" si="35"/>
        <v>16.454300897256001</v>
      </c>
      <c r="F51" s="21">
        <f t="shared" si="35"/>
        <v>-1.6173519873969999</v>
      </c>
      <c r="G51" s="21">
        <f t="shared" si="35"/>
        <v>-54.84252648110516</v>
      </c>
      <c r="H51" s="21">
        <f t="shared" si="35"/>
        <v>-1.1525947074508225</v>
      </c>
      <c r="I51" s="21">
        <f t="shared" si="35"/>
        <v>19.582428911046364</v>
      </c>
      <c r="J51" s="21" t="str">
        <f t="shared" si="35"/>
        <v/>
      </c>
      <c r="K51" s="21">
        <f t="shared" si="35"/>
        <v>-1.597486797706287</v>
      </c>
      <c r="L51" s="21">
        <f t="shared" si="35"/>
        <v>5.5682353331008825</v>
      </c>
      <c r="M51" s="21">
        <f t="shared" si="35"/>
        <v>19.634105711942457</v>
      </c>
      <c r="N51" s="21">
        <f t="shared" si="35"/>
        <v>-3.7787047955710875</v>
      </c>
      <c r="O51" s="21">
        <f t="shared" si="35"/>
        <v>13.683154664685116</v>
      </c>
      <c r="P51" s="21">
        <f t="shared" si="35"/>
        <v>9.4590512011647654</v>
      </c>
      <c r="Q51" s="21">
        <f t="shared" si="35"/>
        <v>-1.870833275707074</v>
      </c>
      <c r="R51" s="21">
        <f t="shared" si="35"/>
        <v>-1.0960714096037267</v>
      </c>
      <c r="S51" s="33">
        <v>-901.1400051479809</v>
      </c>
    </row>
    <row r="52" spans="1:31" s="21" customFormat="1" ht="15" x14ac:dyDescent="0.25">
      <c r="A52" s="22" t="s">
        <v>16</v>
      </c>
      <c r="B52" s="21">
        <f t="shared" ref="B52:R52" si="36">IFERROR((SUM(B38:B39))/(SUM(B41,B44)),"")</f>
        <v>0.11019965046395629</v>
      </c>
      <c r="C52" s="21">
        <f t="shared" si="36"/>
        <v>10.552186203456234</v>
      </c>
      <c r="D52" s="21">
        <f t="shared" si="36"/>
        <v>2.4738664290517751</v>
      </c>
      <c r="F52" s="21">
        <f t="shared" si="36"/>
        <v>1.5979098777777778</v>
      </c>
      <c r="G52" s="21">
        <f t="shared" si="36"/>
        <v>0.83133907315171518</v>
      </c>
      <c r="H52" s="21">
        <f t="shared" si="36"/>
        <v>3.702048153833724</v>
      </c>
      <c r="I52" s="21">
        <f t="shared" si="36"/>
        <v>1.4531719625140787</v>
      </c>
      <c r="J52" s="21" t="str">
        <f t="shared" si="36"/>
        <v/>
      </c>
      <c r="K52" s="21">
        <f t="shared" si="36"/>
        <v>1.0533444485269721</v>
      </c>
      <c r="L52" s="21">
        <f t="shared" si="36"/>
        <v>11.147014252792491</v>
      </c>
      <c r="M52" s="21">
        <f t="shared" si="36"/>
        <v>3.0728253396991732</v>
      </c>
      <c r="N52" s="21">
        <f t="shared" si="36"/>
        <v>8.3681724626128755</v>
      </c>
      <c r="O52" s="21">
        <f t="shared" si="36"/>
        <v>6.703339299368829</v>
      </c>
      <c r="P52" s="21">
        <f t="shared" si="36"/>
        <v>9.4590512011647654</v>
      </c>
      <c r="Q52" s="21">
        <f t="shared" si="36"/>
        <v>12.393319162971377</v>
      </c>
      <c r="R52" s="21">
        <f t="shared" si="36"/>
        <v>2.6214977861653481</v>
      </c>
      <c r="S52" s="33">
        <v>2.9061870808958417</v>
      </c>
    </row>
    <row r="53" spans="1:31" s="21" customFormat="1" ht="15" x14ac:dyDescent="0.25">
      <c r="A53" s="22" t="s">
        <v>49</v>
      </c>
      <c r="B53" s="21">
        <f t="shared" ref="B53:R53" si="37">IFERROR(B38/B40,"")</f>
        <v>0.10855473563133582</v>
      </c>
      <c r="C53" s="21">
        <f t="shared" si="37"/>
        <v>-9.4780011071026369</v>
      </c>
      <c r="D53" s="21">
        <f t="shared" si="37"/>
        <v>7.5422530599470781</v>
      </c>
      <c r="F53" s="21">
        <f t="shared" si="37"/>
        <v>-0.10287468491990273</v>
      </c>
      <c r="G53" s="21">
        <f t="shared" si="37"/>
        <v>-37.157693905118464</v>
      </c>
      <c r="H53" s="21">
        <f t="shared" si="37"/>
        <v>-0.66526009961261756</v>
      </c>
      <c r="I53" s="21">
        <f t="shared" si="37"/>
        <v>11.765103046709731</v>
      </c>
      <c r="J53" s="21" t="str">
        <f t="shared" si="37"/>
        <v/>
      </c>
      <c r="K53" s="21">
        <f t="shared" si="37"/>
        <v>-0.64841158994532555</v>
      </c>
      <c r="L53" s="21">
        <f t="shared" si="37"/>
        <v>4.4962440091920106</v>
      </c>
      <c r="M53" s="21">
        <f t="shared" si="37"/>
        <v>9.9086181752036797</v>
      </c>
      <c r="N53" s="21">
        <f t="shared" si="37"/>
        <v>-1.3747626121128933</v>
      </c>
      <c r="O53" s="21">
        <f t="shared" si="37"/>
        <v>4.9787856272924502</v>
      </c>
      <c r="P53" s="21">
        <f t="shared" si="37"/>
        <v>9.0521111380732826</v>
      </c>
      <c r="Q53" s="21">
        <f t="shared" si="37"/>
        <v>-1.4510006223635985</v>
      </c>
      <c r="R53" s="21">
        <f t="shared" si="37"/>
        <v>-0.24811840398169996</v>
      </c>
      <c r="S53" s="33">
        <v>-442.57671876381085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s="21" customFormat="1" ht="15" x14ac:dyDescent="0.25">
      <c r="A54" s="22" t="s">
        <v>48</v>
      </c>
      <c r="B54" s="21">
        <f t="shared" ref="B54:R54" si="38">IFERROR((B38+B39)/B40,"")</f>
        <v>0.10855473563133582</v>
      </c>
      <c r="C54" s="21">
        <f t="shared" si="38"/>
        <v>-16.554632970025516</v>
      </c>
      <c r="D54" s="21">
        <f t="shared" si="38"/>
        <v>16.454300897256001</v>
      </c>
      <c r="F54" s="21">
        <f t="shared" si="38"/>
        <v>-1.6173519873969999</v>
      </c>
      <c r="G54" s="21">
        <f t="shared" si="38"/>
        <v>-54.84252648110516</v>
      </c>
      <c r="H54" s="21">
        <f t="shared" si="38"/>
        <v>-1.1525947074508225</v>
      </c>
      <c r="I54" s="21">
        <f t="shared" si="38"/>
        <v>19.582428911046364</v>
      </c>
      <c r="J54" s="21" t="str">
        <f t="shared" si="38"/>
        <v/>
      </c>
      <c r="K54" s="21">
        <f t="shared" si="38"/>
        <v>-1.597486797706287</v>
      </c>
      <c r="L54" s="21">
        <f t="shared" si="38"/>
        <v>5.5682353331008825</v>
      </c>
      <c r="M54" s="21">
        <f t="shared" si="38"/>
        <v>19.634105711942457</v>
      </c>
      <c r="N54" s="21">
        <f t="shared" si="38"/>
        <v>-3.7787047955710875</v>
      </c>
      <c r="O54" s="21">
        <f t="shared" si="38"/>
        <v>13.683154664685116</v>
      </c>
      <c r="P54" s="21">
        <f t="shared" si="38"/>
        <v>9.4590512011647654</v>
      </c>
      <c r="Q54" s="21">
        <f t="shared" si="38"/>
        <v>-1.870833275707074</v>
      </c>
      <c r="R54" s="21">
        <f t="shared" si="38"/>
        <v>-1.0960714096037267</v>
      </c>
      <c r="S54" s="33">
        <v>-901.1400051479809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x14ac:dyDescent="0.2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s="24" customFormat="1" ht="15" x14ac:dyDescent="0.25">
      <c r="A56" s="18" t="s">
        <v>52</v>
      </c>
      <c r="B56" s="36"/>
      <c r="C56" s="36"/>
      <c r="D56" s="36"/>
      <c r="E56" s="42"/>
      <c r="F56" s="36"/>
      <c r="G56" s="36"/>
      <c r="H56" s="42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20">
        <v>1000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s="26" customFormat="1" ht="15" x14ac:dyDescent="0.25">
      <c r="A57" s="34" t="s">
        <v>56</v>
      </c>
      <c r="B57" s="23" t="s">
        <v>57</v>
      </c>
      <c r="C57" s="23" t="s">
        <v>58</v>
      </c>
      <c r="D57" s="23" t="s">
        <v>59</v>
      </c>
      <c r="E57" s="23" t="s">
        <v>73</v>
      </c>
      <c r="F57" s="23" t="s">
        <v>60</v>
      </c>
      <c r="G57" s="23" t="s">
        <v>61</v>
      </c>
      <c r="H57" s="23" t="s">
        <v>72</v>
      </c>
      <c r="I57" s="23" t="s">
        <v>63</v>
      </c>
      <c r="J57" s="23" t="s">
        <v>15</v>
      </c>
      <c r="K57" s="23" t="s">
        <v>64</v>
      </c>
      <c r="L57" s="23" t="s">
        <v>65</v>
      </c>
      <c r="M57" s="23" t="s">
        <v>14</v>
      </c>
      <c r="N57" s="23" t="s">
        <v>66</v>
      </c>
      <c r="O57" s="23" t="s">
        <v>67</v>
      </c>
      <c r="P57" s="23" t="s">
        <v>68</v>
      </c>
      <c r="Q57" s="23" t="s">
        <v>70</v>
      </c>
      <c r="R57" s="23" t="s">
        <v>69</v>
      </c>
      <c r="S57" s="23" t="s">
        <v>55</v>
      </c>
    </row>
    <row r="58" spans="1:31" s="14" customFormat="1" ht="15" x14ac:dyDescent="0.25">
      <c r="A58" s="27" t="s">
        <v>34</v>
      </c>
      <c r="B58" s="14">
        <f t="shared" ref="B58:R58" si="39">B59+B60</f>
        <v>1753.3421000000001</v>
      </c>
      <c r="C58" s="14">
        <f t="shared" si="39"/>
        <v>2580194</v>
      </c>
      <c r="D58" s="14">
        <f t="shared" si="39"/>
        <v>8801082</v>
      </c>
      <c r="F58" s="14">
        <f t="shared" si="39"/>
        <v>4151.6996099999997</v>
      </c>
      <c r="G58" s="14">
        <f t="shared" si="39"/>
        <v>717640</v>
      </c>
      <c r="I58" s="14">
        <f t="shared" si="39"/>
        <v>303921.58399999997</v>
      </c>
      <c r="J58" s="32">
        <f t="shared" si="39"/>
        <v>132559.24634000001</v>
      </c>
      <c r="K58" s="14">
        <f t="shared" si="39"/>
        <v>2079.5663800000002</v>
      </c>
      <c r="L58" s="14">
        <f t="shared" si="39"/>
        <v>0</v>
      </c>
      <c r="M58" s="14">
        <f t="shared" si="39"/>
        <v>13654937</v>
      </c>
      <c r="N58" s="14">
        <f t="shared" si="39"/>
        <v>0</v>
      </c>
      <c r="O58" s="14">
        <f t="shared" si="39"/>
        <v>107624.88226</v>
      </c>
      <c r="P58" s="14">
        <f t="shared" si="39"/>
        <v>215700</v>
      </c>
      <c r="Q58" s="14">
        <f t="shared" si="39"/>
        <v>3183.54</v>
      </c>
      <c r="R58" s="10">
        <f t="shared" si="39"/>
        <v>52692</v>
      </c>
      <c r="S58" s="10">
        <f>SUM(B58:R58)</f>
        <v>26577518.860689998</v>
      </c>
    </row>
    <row r="59" spans="1:31" s="9" customFormat="1" ht="15" x14ac:dyDescent="0.25">
      <c r="A59" s="26" t="s">
        <v>33</v>
      </c>
      <c r="B59" s="9">
        <f>1714721.07/1000</f>
        <v>1714.7210700000001</v>
      </c>
      <c r="C59" s="9">
        <f>840084</f>
        <v>840084</v>
      </c>
      <c r="D59" s="9">
        <f>2809777</f>
        <v>2809777</v>
      </c>
      <c r="F59" s="9">
        <f>(2166001.27)/1000</f>
        <v>2166.0012700000002</v>
      </c>
      <c r="G59" s="9">
        <f>344901</f>
        <v>344901</v>
      </c>
      <c r="I59" s="9">
        <f>(682415+41229208+8772088+18525826)/1000</f>
        <v>69209.536999999997</v>
      </c>
      <c r="J59" s="9">
        <f>59798746.51/1000</f>
        <v>59798.746509999997</v>
      </c>
      <c r="K59" s="9">
        <f>745551.12/1000</f>
        <v>745.55111999999997</v>
      </c>
      <c r="M59" s="9">
        <f>4705377</f>
        <v>4705377</v>
      </c>
      <c r="O59" s="9">
        <f>59418343.04/1000</f>
        <v>59418.34304</v>
      </c>
      <c r="P59" s="9">
        <v>197827</v>
      </c>
      <c r="Q59" s="9">
        <v>1371.56</v>
      </c>
      <c r="R59" s="5">
        <v>46055</v>
      </c>
      <c r="S59" s="9">
        <f t="shared" ref="S59:S62" si="40">SUM(B59:R59)</f>
        <v>9138445.4600100014</v>
      </c>
    </row>
    <row r="60" spans="1:31" s="9" customFormat="1" ht="15" x14ac:dyDescent="0.25">
      <c r="A60" s="26" t="s">
        <v>32</v>
      </c>
      <c r="B60" s="9">
        <f t="shared" ref="B60:R60" si="41">SUM(B61:B63)</f>
        <v>38.621029999999998</v>
      </c>
      <c r="C60" s="9">
        <f t="shared" si="41"/>
        <v>1740110</v>
      </c>
      <c r="D60" s="9">
        <f t="shared" si="41"/>
        <v>5991305</v>
      </c>
      <c r="F60" s="9">
        <f t="shared" si="41"/>
        <v>1985.6983399999999</v>
      </c>
      <c r="G60" s="9">
        <f t="shared" si="41"/>
        <v>372739</v>
      </c>
      <c r="I60" s="9">
        <f t="shared" si="41"/>
        <v>234712.04699999999</v>
      </c>
      <c r="J60" s="9">
        <f t="shared" si="41"/>
        <v>72760.499830000001</v>
      </c>
      <c r="K60" s="9">
        <f t="shared" si="41"/>
        <v>1334.0152600000001</v>
      </c>
      <c r="L60" s="9">
        <f t="shared" si="41"/>
        <v>0</v>
      </c>
      <c r="M60" s="9">
        <f t="shared" si="41"/>
        <v>8949560</v>
      </c>
      <c r="N60" s="9">
        <f t="shared" si="41"/>
        <v>0</v>
      </c>
      <c r="O60" s="9">
        <f t="shared" si="41"/>
        <v>48206.539219999999</v>
      </c>
      <c r="P60" s="9">
        <f t="shared" si="41"/>
        <v>17873</v>
      </c>
      <c r="Q60" s="9">
        <f t="shared" si="41"/>
        <v>1811.98</v>
      </c>
      <c r="R60" s="5">
        <f t="shared" si="41"/>
        <v>6637</v>
      </c>
      <c r="S60" s="9">
        <f t="shared" si="40"/>
        <v>17439073.400680002</v>
      </c>
    </row>
    <row r="61" spans="1:31" s="9" customFormat="1" ht="15" x14ac:dyDescent="0.25">
      <c r="A61" s="26" t="s">
        <v>31</v>
      </c>
      <c r="C61" s="9">
        <f>(26820+284643+394110+48289)</f>
        <v>753862</v>
      </c>
      <c r="D61" s="9">
        <f>(764786+163940+307451+960+110336)</f>
        <v>1347473</v>
      </c>
      <c r="F61" s="9">
        <f>1249058.38/1000</f>
        <v>1249.0583799999999</v>
      </c>
      <c r="G61" s="9">
        <f>99101+58883+5152</f>
        <v>163136</v>
      </c>
      <c r="I61" s="9">
        <f>35457962/1000</f>
        <v>35457.962</v>
      </c>
      <c r="J61" s="9">
        <f>49060637.35/1000</f>
        <v>49060.637350000005</v>
      </c>
      <c r="K61" s="9">
        <f>146283.66/1000</f>
        <v>146.28366</v>
      </c>
      <c r="M61" s="9">
        <f>1091383</f>
        <v>1091383</v>
      </c>
      <c r="O61" s="9">
        <f>3517585.94/1000</f>
        <v>3517.5859399999999</v>
      </c>
      <c r="P61" s="9">
        <v>11524</v>
      </c>
      <c r="R61" s="5">
        <v>726</v>
      </c>
      <c r="S61" s="9">
        <f t="shared" si="40"/>
        <v>3457535.52733</v>
      </c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 s="9" customFormat="1" ht="15" x14ac:dyDescent="0.25">
      <c r="A62" s="26" t="s">
        <v>30</v>
      </c>
      <c r="B62" s="9">
        <f>38621.03/1000</f>
        <v>38.621029999999998</v>
      </c>
      <c r="C62" s="9">
        <f>(943703+42545)</f>
        <v>986248</v>
      </c>
      <c r="D62" s="9">
        <f>(2959099+1684733)</f>
        <v>4643832</v>
      </c>
      <c r="F62" s="9">
        <f>(254869.79+821968.01-364103.02+23905.18)/1000</f>
        <v>736.63996000000009</v>
      </c>
      <c r="G62" s="9">
        <f>(205109+4494)</f>
        <v>209603</v>
      </c>
      <c r="I62" s="9">
        <f>(27420255+171833830)/1000</f>
        <v>199254.08499999999</v>
      </c>
      <c r="J62" s="9">
        <f>(23699862.48)/1000</f>
        <v>23699.86248</v>
      </c>
      <c r="K62" s="9">
        <f>(1403842.06-265626.3)/1000</f>
        <v>1138.21576</v>
      </c>
      <c r="M62" s="9">
        <f>(776183+303752+6759256)</f>
        <v>7839191</v>
      </c>
      <c r="O62" s="9">
        <f>(8533491.14+36155462.14)/1000</f>
        <v>44688.953280000002</v>
      </c>
      <c r="P62" s="9">
        <f>831+5518</f>
        <v>6349</v>
      </c>
      <c r="Q62" s="9">
        <v>1811.98</v>
      </c>
      <c r="R62" s="5">
        <f>5375+536</f>
        <v>5911</v>
      </c>
      <c r="S62" s="9">
        <f t="shared" si="40"/>
        <v>13962502.35751</v>
      </c>
    </row>
    <row r="63" spans="1:31" s="9" customFormat="1" ht="15" x14ac:dyDescent="0.25">
      <c r="A63" s="26" t="s">
        <v>23</v>
      </c>
      <c r="K63" s="9">
        <f>49515.84/1000</f>
        <v>49.515839999999997</v>
      </c>
      <c r="M63" s="9">
        <f>18986</f>
        <v>18986</v>
      </c>
      <c r="R63" s="5"/>
    </row>
    <row r="64" spans="1:31" s="14" customFormat="1" ht="15" x14ac:dyDescent="0.25">
      <c r="A64" s="27" t="s">
        <v>29</v>
      </c>
      <c r="B64" s="14">
        <f t="shared" ref="B64:R64" si="42">B65+B66+B67</f>
        <v>1753.3420999999998</v>
      </c>
      <c r="C64" s="14">
        <f t="shared" si="42"/>
        <v>2580194</v>
      </c>
      <c r="D64" s="14">
        <f t="shared" si="42"/>
        <v>8801082</v>
      </c>
      <c r="F64" s="14">
        <f t="shared" si="42"/>
        <v>4151.6996099999997</v>
      </c>
      <c r="G64" s="14">
        <f t="shared" si="42"/>
        <v>717640</v>
      </c>
      <c r="I64" s="14">
        <f t="shared" si="42"/>
        <v>303921.58400000003</v>
      </c>
      <c r="J64" s="14">
        <f t="shared" si="42"/>
        <v>145859.52770000001</v>
      </c>
      <c r="K64" s="14">
        <f t="shared" si="42"/>
        <v>2079.5663800000011</v>
      </c>
      <c r="L64" s="14">
        <f t="shared" si="42"/>
        <v>0</v>
      </c>
      <c r="M64" s="14">
        <f t="shared" si="42"/>
        <v>13654937</v>
      </c>
      <c r="N64" s="14">
        <f t="shared" si="42"/>
        <v>0</v>
      </c>
      <c r="O64" s="14">
        <f t="shared" si="42"/>
        <v>107624.88226</v>
      </c>
      <c r="P64" s="14">
        <f t="shared" si="42"/>
        <v>215700</v>
      </c>
      <c r="Q64" s="14">
        <f t="shared" si="42"/>
        <v>3183.54</v>
      </c>
      <c r="R64" s="37">
        <f t="shared" si="42"/>
        <v>52692</v>
      </c>
      <c r="S64" s="14">
        <f>SUM(B64:R64)</f>
        <v>26590819.142049998</v>
      </c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s="9" customFormat="1" ht="15" x14ac:dyDescent="0.25">
      <c r="A65" s="26" t="s">
        <v>28</v>
      </c>
      <c r="B65" s="9">
        <f>185743.83/1000</f>
        <v>185.74382999999997</v>
      </c>
      <c r="C65" s="9">
        <f>1689443</f>
        <v>1689443</v>
      </c>
      <c r="D65" s="9">
        <f>3339361</f>
        <v>3339361</v>
      </c>
      <c r="F65" s="9">
        <f>1014923.12/1000</f>
        <v>1014.92312</v>
      </c>
      <c r="G65" s="9">
        <f>537065</f>
        <v>537065</v>
      </c>
      <c r="I65" s="9">
        <f>(97471036+2)/1000</f>
        <v>97471.038</v>
      </c>
      <c r="J65" s="9">
        <f>35512070.89/1000</f>
        <v>35512.070890000003</v>
      </c>
      <c r="K65" s="9">
        <f>2009673.52/1000</f>
        <v>2009.6735200000001</v>
      </c>
      <c r="M65" s="9">
        <f>6972890</f>
        <v>6972890</v>
      </c>
      <c r="O65" s="9">
        <f>25248486.83/1000</f>
        <v>25248.486829999998</v>
      </c>
      <c r="P65" s="9">
        <v>199705</v>
      </c>
      <c r="Q65" s="9">
        <v>5250.18</v>
      </c>
      <c r="R65" s="10">
        <v>114072</v>
      </c>
    </row>
    <row r="66" spans="1:31" s="9" customFormat="1" ht="15" x14ac:dyDescent="0.25">
      <c r="A66" s="26" t="s">
        <v>27</v>
      </c>
      <c r="C66" s="9">
        <f>1007731</f>
        <v>1007731</v>
      </c>
      <c r="D66" s="9">
        <f>5190535</f>
        <v>5190535</v>
      </c>
      <c r="F66" s="9">
        <f>11028712.23/1000</f>
        <v>11028.712230000001</v>
      </c>
      <c r="G66" s="9">
        <v>200132</v>
      </c>
      <c r="I66" s="9">
        <f>172208918/1000</f>
        <v>172208.91800000001</v>
      </c>
      <c r="J66" s="9">
        <f>81157430.64/1000</f>
        <v>81157.430640000006</v>
      </c>
      <c r="K66" s="9">
        <f>2639029.58/1000</f>
        <v>2639.0295799999999</v>
      </c>
      <c r="M66" s="9">
        <f>5559669</f>
        <v>5559669</v>
      </c>
      <c r="O66" s="9">
        <f>77589456.86/1000</f>
        <v>77589.456860000006</v>
      </c>
      <c r="P66" s="9">
        <v>55961</v>
      </c>
      <c r="Q66" s="9">
        <v>1517.8</v>
      </c>
      <c r="R66" s="9">
        <v>479779</v>
      </c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s="14" customFormat="1" ht="15" x14ac:dyDescent="0.25">
      <c r="A67" s="41" t="s">
        <v>26</v>
      </c>
      <c r="B67" s="14">
        <f t="shared" ref="B67:R67" si="43">SUM(B68:B71)</f>
        <v>1567.59827</v>
      </c>
      <c r="C67" s="14">
        <f t="shared" si="43"/>
        <v>-116980</v>
      </c>
      <c r="D67" s="14">
        <f t="shared" si="43"/>
        <v>271186</v>
      </c>
      <c r="F67" s="14">
        <f t="shared" si="43"/>
        <v>-7891.9357400000008</v>
      </c>
      <c r="G67" s="14">
        <f t="shared" si="43"/>
        <v>-19557</v>
      </c>
      <c r="I67" s="14">
        <f t="shared" si="43"/>
        <v>34241.628000000026</v>
      </c>
      <c r="J67" s="14">
        <f t="shared" si="43"/>
        <v>29190.026170000001</v>
      </c>
      <c r="K67" s="14">
        <f t="shared" si="43"/>
        <v>-2569.1367199999986</v>
      </c>
      <c r="L67" s="14">
        <f t="shared" si="43"/>
        <v>0</v>
      </c>
      <c r="M67" s="14">
        <f t="shared" si="43"/>
        <v>1122378</v>
      </c>
      <c r="N67" s="14">
        <f t="shared" si="43"/>
        <v>0</v>
      </c>
      <c r="O67" s="14">
        <f t="shared" si="43"/>
        <v>4786.9385700000003</v>
      </c>
      <c r="P67" s="14">
        <f t="shared" si="43"/>
        <v>-39966</v>
      </c>
      <c r="Q67" s="14">
        <f t="shared" si="43"/>
        <v>-3584.4400000000005</v>
      </c>
      <c r="R67" s="14">
        <f t="shared" si="43"/>
        <v>-541159</v>
      </c>
      <c r="S67" s="14">
        <f>SUM(B67:R67)</f>
        <v>731642.67855000007</v>
      </c>
    </row>
    <row r="68" spans="1:31" s="9" customFormat="1" ht="15" x14ac:dyDescent="0.25">
      <c r="A68" s="26" t="s">
        <v>25</v>
      </c>
      <c r="B68" s="9">
        <f>1558803/1000</f>
        <v>1558.8030000000001</v>
      </c>
      <c r="C68" s="9">
        <f>260810</f>
        <v>260810</v>
      </c>
      <c r="D68" s="9">
        <f>2517181</f>
        <v>2517181</v>
      </c>
      <c r="F68" s="9">
        <f>7200000/1000</f>
        <v>7200</v>
      </c>
      <c r="G68" s="9">
        <v>726070</v>
      </c>
      <c r="I68" s="9">
        <f>(20298000)/1000</f>
        <v>20298</v>
      </c>
      <c r="J68" s="9">
        <f>25453177/1000</f>
        <v>25453.177</v>
      </c>
      <c r="K68" s="9">
        <f>5625562.98/1000</f>
        <v>5625.5629800000006</v>
      </c>
      <c r="M68" s="9">
        <f>940948</f>
        <v>940948</v>
      </c>
      <c r="O68" s="9">
        <f>6000000/1000</f>
        <v>6000</v>
      </c>
      <c r="Q68" s="9">
        <v>545.74</v>
      </c>
      <c r="R68" s="9">
        <v>220432</v>
      </c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spans="1:31" s="9" customFormat="1" ht="15" x14ac:dyDescent="0.25">
      <c r="A69" s="26" t="s">
        <v>50</v>
      </c>
      <c r="B69" s="9">
        <f>738.4/1000</f>
        <v>0.73839999999999995</v>
      </c>
      <c r="C69" s="9">
        <f>-363419</f>
        <v>-363419</v>
      </c>
      <c r="D69" s="9">
        <f>-3320738</f>
        <v>-3320738</v>
      </c>
      <c r="F69" s="9">
        <f>-15091935.74/1000</f>
        <v>-15091.935740000001</v>
      </c>
      <c r="G69" s="9">
        <v>-898546</v>
      </c>
      <c r="I69" s="9">
        <f>-164142327/1000</f>
        <v>-164142.32699999999</v>
      </c>
      <c r="J69" s="9">
        <f>3736849.17/1000</f>
        <v>3736.84917</v>
      </c>
      <c r="K69" s="9">
        <f>-8244215.54/1000</f>
        <v>-8244.2155399999992</v>
      </c>
      <c r="M69" s="9">
        <f>-3672761</f>
        <v>-3672761</v>
      </c>
      <c r="O69" s="9">
        <f>-9180259.58/1000</f>
        <v>-9180.2595799999999</v>
      </c>
      <c r="Q69" s="9">
        <v>-4130.18</v>
      </c>
      <c r="R69" s="9">
        <v>-761591</v>
      </c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</row>
    <row r="70" spans="1:31" s="9" customFormat="1" ht="15" x14ac:dyDescent="0.25">
      <c r="A70" s="26" t="s">
        <v>24</v>
      </c>
      <c r="I70" s="9">
        <v>-4.6609999999999996</v>
      </c>
      <c r="O70" s="9">
        <f>-864387.51/1000</f>
        <v>-864.38751000000002</v>
      </c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</row>
    <row r="71" spans="1:31" s="9" customFormat="1" ht="15" x14ac:dyDescent="0.25">
      <c r="A71" s="26" t="s">
        <v>23</v>
      </c>
      <c r="B71" s="9">
        <f>(8056.05+0.82)/1000</f>
        <v>8.05687</v>
      </c>
      <c r="C71" s="9">
        <f>(11841-26212)</f>
        <v>-14371</v>
      </c>
      <c r="D71" s="9">
        <f>(1114159-39416)</f>
        <v>1074743</v>
      </c>
      <c r="G71" s="9">
        <f>152919</f>
        <v>152919</v>
      </c>
      <c r="I71" s="9">
        <f>(1000000+177090616)/1000</f>
        <v>178090.61600000001</v>
      </c>
      <c r="K71" s="9">
        <f>49515.84/1000</f>
        <v>49.515839999999997</v>
      </c>
      <c r="M71" s="9">
        <f>(3754254+99937)</f>
        <v>3854191</v>
      </c>
      <c r="O71" s="9">
        <f>(501031.91+8330553.75)/1000</f>
        <v>8831.5856600000006</v>
      </c>
      <c r="P71" s="9">
        <v>-39966</v>
      </c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  <row r="72" spans="1:31" s="4" customFormat="1" ht="15" x14ac:dyDescent="0.25">
      <c r="A72" s="35"/>
      <c r="H72" s="4" t="str">
        <f t="shared" ref="H72" si="44">IFERROR(((H62+H63))/H55,"")</f>
        <v/>
      </c>
      <c r="S72" s="9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</row>
    <row r="73" spans="1:31" s="21" customFormat="1" ht="15" x14ac:dyDescent="0.25">
      <c r="A73" s="22" t="s">
        <v>22</v>
      </c>
      <c r="B73" s="21">
        <f t="shared" ref="B73:R73" si="45">IFERROR(+B59/B65,"")</f>
        <v>9.2316448411772285</v>
      </c>
      <c r="C73" s="21">
        <f t="shared" si="45"/>
        <v>0.49725501245084919</v>
      </c>
      <c r="D73" s="21">
        <f t="shared" si="45"/>
        <v>0.84141157544811718</v>
      </c>
      <c r="F73" s="21">
        <f t="shared" si="45"/>
        <v>2.1341530479668256</v>
      </c>
      <c r="G73" s="21">
        <f t="shared" si="45"/>
        <v>0.64219600979397284</v>
      </c>
      <c r="H73" s="21" t="str">
        <f t="shared" ref="H73" si="46">IFERROR(H55/H64,"")</f>
        <v/>
      </c>
      <c r="I73" s="21">
        <f t="shared" si="45"/>
        <v>0.71005232343991243</v>
      </c>
      <c r="J73" s="21">
        <f t="shared" si="45"/>
        <v>1.6838991647439796</v>
      </c>
      <c r="K73" s="21">
        <f t="shared" si="45"/>
        <v>0.37098121290865194</v>
      </c>
      <c r="L73" s="21" t="str">
        <f t="shared" si="45"/>
        <v/>
      </c>
      <c r="M73" s="21">
        <f t="shared" si="45"/>
        <v>0.67481015762474383</v>
      </c>
      <c r="N73" s="21" t="str">
        <f t="shared" si="45"/>
        <v/>
      </c>
      <c r="O73" s="21">
        <f t="shared" si="45"/>
        <v>2.353342734559432</v>
      </c>
      <c r="P73" s="21">
        <f t="shared" si="45"/>
        <v>0.99059612929070384</v>
      </c>
      <c r="Q73" s="21">
        <f t="shared" si="45"/>
        <v>0.26124056699008413</v>
      </c>
      <c r="R73" s="21">
        <f t="shared" si="45"/>
        <v>0.40373623676274634</v>
      </c>
      <c r="S73" s="21">
        <f t="shared" ref="S73:S81" si="47">SUM(B73:R73)</f>
        <v>20.795319013157247</v>
      </c>
    </row>
    <row r="74" spans="1:31" s="21" customFormat="1" ht="15" x14ac:dyDescent="0.25">
      <c r="A74" s="22" t="s">
        <v>21</v>
      </c>
      <c r="B74" s="21">
        <f t="shared" ref="B74:R74" si="48">IFERROR(+(B59+B61)/(B65+B66),"")</f>
        <v>9.2316448411772285</v>
      </c>
      <c r="C74" s="21">
        <f t="shared" si="48"/>
        <v>0.59096891783770722</v>
      </c>
      <c r="D74" s="21">
        <f t="shared" si="48"/>
        <v>0.48737405473642353</v>
      </c>
      <c r="F74" s="21">
        <f t="shared" si="48"/>
        <v>0.28355721098779363</v>
      </c>
      <c r="G74" s="21">
        <f t="shared" si="48"/>
        <v>0.68914686305017514</v>
      </c>
      <c r="H74" s="21" t="str">
        <f t="shared" ref="H74" si="49">IFERROR(((H62+H63))/H64,"")</f>
        <v/>
      </c>
      <c r="I74" s="21">
        <f t="shared" si="48"/>
        <v>0.38811745801382436</v>
      </c>
      <c r="J74" s="21">
        <f t="shared" si="48"/>
        <v>0.93305776087513548</v>
      </c>
      <c r="K74" s="21">
        <f t="shared" si="48"/>
        <v>0.19184593225581559</v>
      </c>
      <c r="L74" s="21" t="str">
        <f t="shared" si="48"/>
        <v/>
      </c>
      <c r="M74" s="21">
        <f t="shared" si="48"/>
        <v>0.46253602316972936</v>
      </c>
      <c r="N74" s="21" t="str">
        <f t="shared" si="48"/>
        <v/>
      </c>
      <c r="O74" s="21">
        <f t="shared" si="48"/>
        <v>0.6119913207299954</v>
      </c>
      <c r="P74" s="21">
        <f t="shared" si="48"/>
        <v>0.81884568147504944</v>
      </c>
      <c r="Q74" s="21">
        <f t="shared" si="48"/>
        <v>0.20265426316271618</v>
      </c>
      <c r="R74" s="21">
        <f t="shared" si="48"/>
        <v>7.8775652478483657E-2</v>
      </c>
      <c r="S74" s="21">
        <f t="shared" si="47"/>
        <v>14.970515979950077</v>
      </c>
    </row>
    <row r="75" spans="1:31" s="21" customFormat="1" ht="15" x14ac:dyDescent="0.25">
      <c r="A75" s="22" t="s">
        <v>20</v>
      </c>
      <c r="B75" s="21">
        <f t="shared" ref="B75:R75" si="50">IFERROR(+B67,"")</f>
        <v>1567.59827</v>
      </c>
      <c r="C75" s="21">
        <f t="shared" si="50"/>
        <v>-116980</v>
      </c>
      <c r="D75" s="21">
        <f t="shared" si="50"/>
        <v>271186</v>
      </c>
      <c r="F75" s="21">
        <f t="shared" si="50"/>
        <v>-7891.9357400000008</v>
      </c>
      <c r="G75" s="21">
        <f t="shared" si="50"/>
        <v>-19557</v>
      </c>
      <c r="H75" s="21" t="str">
        <f t="shared" ref="H75" si="51">IFERROR((SUM(H62:H63))/(SUM(H65,H68)),"")</f>
        <v/>
      </c>
      <c r="I75" s="21">
        <f t="shared" si="50"/>
        <v>34241.628000000026</v>
      </c>
      <c r="J75" s="21">
        <f t="shared" si="50"/>
        <v>29190.026170000001</v>
      </c>
      <c r="K75" s="21">
        <f t="shared" si="50"/>
        <v>-2569.1367199999986</v>
      </c>
      <c r="L75" s="21">
        <f t="shared" si="50"/>
        <v>0</v>
      </c>
      <c r="M75" s="21">
        <f t="shared" si="50"/>
        <v>1122378</v>
      </c>
      <c r="N75" s="21">
        <f t="shared" si="50"/>
        <v>0</v>
      </c>
      <c r="O75" s="21">
        <f t="shared" si="50"/>
        <v>4786.9385700000003</v>
      </c>
      <c r="P75" s="21">
        <f t="shared" si="50"/>
        <v>-39966</v>
      </c>
      <c r="Q75" s="21">
        <f t="shared" si="50"/>
        <v>-3584.4400000000005</v>
      </c>
      <c r="R75" s="21">
        <f t="shared" si="50"/>
        <v>-541159</v>
      </c>
      <c r="S75" s="21">
        <f t="shared" si="47"/>
        <v>731642.67855000007</v>
      </c>
    </row>
    <row r="76" spans="1:31" s="21" customFormat="1" ht="15" x14ac:dyDescent="0.25">
      <c r="A76" s="22" t="s">
        <v>19</v>
      </c>
      <c r="B76" s="21">
        <f t="shared" ref="B76:R76" si="52">IFERROR(((B65+B66))/B58,"")</f>
        <v>0.10593701594229669</v>
      </c>
      <c r="C76" s="21">
        <f t="shared" si="52"/>
        <v>1.0453376761592346</v>
      </c>
      <c r="D76" s="21">
        <f t="shared" si="52"/>
        <v>0.96918719766501438</v>
      </c>
      <c r="F76" s="21">
        <f t="shared" si="52"/>
        <v>2.9008927623258374</v>
      </c>
      <c r="G76" s="21">
        <f t="shared" si="52"/>
        <v>1.0272518254277911</v>
      </c>
      <c r="H76" s="21" t="str">
        <f t="shared" ref="H76" si="53">IFERROR(H62/H64,"")</f>
        <v/>
      </c>
      <c r="I76" s="21">
        <f t="shared" si="52"/>
        <v>0.88733400389226724</v>
      </c>
      <c r="J76" s="21">
        <f t="shared" si="52"/>
        <v>0.88013099614911405</v>
      </c>
      <c r="K76" s="21">
        <f t="shared" si="52"/>
        <v>2.2354194339302595</v>
      </c>
      <c r="L76" s="21" t="str">
        <f t="shared" si="52"/>
        <v/>
      </c>
      <c r="M76" s="21">
        <f t="shared" si="52"/>
        <v>0.91780423446845638</v>
      </c>
      <c r="N76" s="21" t="str">
        <f t="shared" si="52"/>
        <v/>
      </c>
      <c r="O76" s="21">
        <f t="shared" si="52"/>
        <v>0.95552200876340365</v>
      </c>
      <c r="P76" s="21">
        <f t="shared" si="52"/>
        <v>1.1852851182197497</v>
      </c>
      <c r="Q76" s="21">
        <f t="shared" si="52"/>
        <v>2.1259289972797579</v>
      </c>
      <c r="R76" s="21">
        <f t="shared" si="52"/>
        <v>11.270230775070219</v>
      </c>
      <c r="S76" s="21">
        <f t="shared" si="47"/>
        <v>26.506262045293401</v>
      </c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s="21" customFormat="1" ht="15" x14ac:dyDescent="0.25">
      <c r="A77" s="22" t="s">
        <v>18</v>
      </c>
      <c r="B77" s="21">
        <f t="shared" ref="B77:R77" si="54">IFERROR(B58/B67,"")</f>
        <v>1.1184894328825714</v>
      </c>
      <c r="C77" s="21">
        <f t="shared" si="54"/>
        <v>-22.056710548811761</v>
      </c>
      <c r="D77" s="21">
        <f t="shared" si="54"/>
        <v>32.454042612819244</v>
      </c>
      <c r="F77" s="21">
        <f t="shared" si="54"/>
        <v>-0.52606860303705405</v>
      </c>
      <c r="G77" s="21">
        <f t="shared" si="54"/>
        <v>-36.694789589405325</v>
      </c>
      <c r="I77" s="21">
        <f t="shared" si="54"/>
        <v>8.8757924710822671</v>
      </c>
      <c r="J77" s="21">
        <f t="shared" si="54"/>
        <v>4.5412513701764867</v>
      </c>
      <c r="K77" s="21">
        <f t="shared" si="54"/>
        <v>-0.80944169448483116</v>
      </c>
      <c r="L77" s="21" t="str">
        <f t="shared" si="54"/>
        <v/>
      </c>
      <c r="M77" s="21">
        <f t="shared" si="54"/>
        <v>12.166076847550469</v>
      </c>
      <c r="N77" s="21" t="str">
        <f t="shared" si="54"/>
        <v/>
      </c>
      <c r="O77" s="21">
        <f t="shared" si="54"/>
        <v>22.483029745668951</v>
      </c>
      <c r="P77" s="21">
        <f t="shared" si="54"/>
        <v>-5.3970875243957366</v>
      </c>
      <c r="Q77" s="21">
        <f t="shared" si="54"/>
        <v>-0.88815547198446609</v>
      </c>
      <c r="R77" s="21">
        <f t="shared" si="54"/>
        <v>-9.7368795492637106E-2</v>
      </c>
      <c r="S77" s="21">
        <f t="shared" si="47"/>
        <v>15.16906025256818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s="21" customFormat="1" ht="15" x14ac:dyDescent="0.25">
      <c r="A78" s="22" t="s">
        <v>17</v>
      </c>
      <c r="B78" s="21">
        <f t="shared" ref="B78:R78" si="55">IFERROR(((B65+B66))/B67,"")</f>
        <v>0.11848943288257135</v>
      </c>
      <c r="C78" s="21">
        <f t="shared" si="55"/>
        <v>-23.056710548811761</v>
      </c>
      <c r="D78" s="21">
        <f t="shared" si="55"/>
        <v>31.454042612819247</v>
      </c>
      <c r="F78" s="21">
        <f t="shared" si="55"/>
        <v>-1.5260686030370541</v>
      </c>
      <c r="G78" s="21">
        <f t="shared" si="55"/>
        <v>-37.694789589405325</v>
      </c>
      <c r="I78" s="21">
        <f t="shared" si="55"/>
        <v>7.8757924710822689</v>
      </c>
      <c r="J78" s="21">
        <f t="shared" si="55"/>
        <v>3.9968960921969603</v>
      </c>
      <c r="K78" s="21">
        <f t="shared" si="55"/>
        <v>-1.8094416944848315</v>
      </c>
      <c r="L78" s="21" t="str">
        <f t="shared" si="55"/>
        <v/>
      </c>
      <c r="M78" s="21">
        <f t="shared" si="55"/>
        <v>11.166076847550469</v>
      </c>
      <c r="N78" s="21" t="str">
        <f t="shared" si="55"/>
        <v/>
      </c>
      <c r="O78" s="21">
        <f t="shared" si="55"/>
        <v>21.483029745668951</v>
      </c>
      <c r="P78" s="21">
        <f t="shared" si="55"/>
        <v>-6.3970875243957366</v>
      </c>
      <c r="Q78" s="21">
        <f t="shared" si="55"/>
        <v>-1.888155471984466</v>
      </c>
      <c r="R78" s="21">
        <f t="shared" si="55"/>
        <v>-1.097368795492637</v>
      </c>
      <c r="S78" s="21">
        <f t="shared" si="47"/>
        <v>2.624704974588655</v>
      </c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</row>
    <row r="79" spans="1:31" s="21" customFormat="1" ht="15" x14ac:dyDescent="0.25">
      <c r="A79" s="22" t="s">
        <v>16</v>
      </c>
      <c r="B79" s="21">
        <f t="shared" ref="B79:R79" si="56">IFERROR((SUM(B65:B66))/(SUM(B68,B71)),"")</f>
        <v>0.11854527233504293</v>
      </c>
      <c r="C79" s="21">
        <f t="shared" si="56"/>
        <v>10.94459075065229</v>
      </c>
      <c r="D79" s="21">
        <f t="shared" si="56"/>
        <v>2.3747428954510172</v>
      </c>
      <c r="F79" s="21">
        <f t="shared" si="56"/>
        <v>1.6727271319444446</v>
      </c>
      <c r="G79" s="21">
        <f t="shared" si="56"/>
        <v>0.83868740109375661</v>
      </c>
      <c r="I79" s="21">
        <f t="shared" si="56"/>
        <v>1.3593519700747345</v>
      </c>
      <c r="J79" s="21">
        <f t="shared" si="56"/>
        <v>4.5836911254732566</v>
      </c>
      <c r="K79" s="21">
        <f t="shared" si="56"/>
        <v>0.81914335420631201</v>
      </c>
      <c r="L79" s="21" t="str">
        <f t="shared" si="56"/>
        <v/>
      </c>
      <c r="M79" s="21">
        <f t="shared" si="56"/>
        <v>2.6135966027262194</v>
      </c>
      <c r="N79" s="21" t="str">
        <f t="shared" si="56"/>
        <v/>
      </c>
      <c r="O79" s="21">
        <f t="shared" si="56"/>
        <v>6.9337120148487212</v>
      </c>
      <c r="P79" s="21">
        <f t="shared" si="56"/>
        <v>-6.3970875243957366</v>
      </c>
      <c r="Q79" s="21">
        <f t="shared" si="56"/>
        <v>12.401473229010152</v>
      </c>
      <c r="R79" s="21">
        <f t="shared" si="56"/>
        <v>2.694032626841838</v>
      </c>
      <c r="S79" s="21">
        <f t="shared" si="47"/>
        <v>40.957206850262047</v>
      </c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:31" s="21" customFormat="1" ht="15" x14ac:dyDescent="0.25">
      <c r="A80" s="22" t="s">
        <v>49</v>
      </c>
      <c r="B80" s="21">
        <f t="shared" ref="B80:R80" si="57">IFERROR(B65/B67,"")</f>
        <v>0.11848943288257135</v>
      </c>
      <c r="C80" s="21">
        <f t="shared" si="57"/>
        <v>-14.442152504701658</v>
      </c>
      <c r="D80" s="21">
        <f t="shared" si="57"/>
        <v>12.313913697609758</v>
      </c>
      <c r="F80" s="21">
        <f t="shared" si="57"/>
        <v>-0.12860255752665314</v>
      </c>
      <c r="G80" s="21">
        <f t="shared" si="57"/>
        <v>-27.461522728434833</v>
      </c>
      <c r="I80" s="21">
        <f t="shared" si="57"/>
        <v>2.8465655312884048</v>
      </c>
      <c r="J80" s="21">
        <f t="shared" si="57"/>
        <v>1.2165823587543567</v>
      </c>
      <c r="K80" s="21">
        <f t="shared" si="57"/>
        <v>-0.78223689084168369</v>
      </c>
      <c r="L80" s="21" t="str">
        <f t="shared" si="57"/>
        <v/>
      </c>
      <c r="M80" s="21">
        <f t="shared" si="57"/>
        <v>6.2126039533918167</v>
      </c>
      <c r="N80" s="21" t="str">
        <f t="shared" si="57"/>
        <v/>
      </c>
      <c r="O80" s="21">
        <f t="shared" si="57"/>
        <v>5.2744539042622387</v>
      </c>
      <c r="P80" s="21">
        <f t="shared" si="57"/>
        <v>-4.9968723414902669</v>
      </c>
      <c r="Q80" s="21">
        <f t="shared" si="57"/>
        <v>-1.4647141533963464</v>
      </c>
      <c r="R80" s="21">
        <f t="shared" si="57"/>
        <v>-0.21079202230767669</v>
      </c>
      <c r="S80" s="21">
        <f t="shared" si="47"/>
        <v>-21.504284320509974</v>
      </c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s="21" customFormat="1" ht="15" x14ac:dyDescent="0.25">
      <c r="A81" s="22" t="s">
        <v>48</v>
      </c>
      <c r="B81" s="21">
        <f t="shared" ref="B81:R81" si="58">IFERROR((B65+B66)/B67,"")</f>
        <v>0.11848943288257135</v>
      </c>
      <c r="C81" s="21">
        <f t="shared" si="58"/>
        <v>-23.056710548811761</v>
      </c>
      <c r="D81" s="21">
        <f t="shared" si="58"/>
        <v>31.454042612819247</v>
      </c>
      <c r="F81" s="21">
        <f t="shared" si="58"/>
        <v>-1.5260686030370541</v>
      </c>
      <c r="G81" s="21">
        <f t="shared" si="58"/>
        <v>-37.694789589405325</v>
      </c>
      <c r="I81" s="21">
        <f t="shared" si="58"/>
        <v>7.8757924710822689</v>
      </c>
      <c r="J81" s="21">
        <f t="shared" si="58"/>
        <v>3.9968960921969603</v>
      </c>
      <c r="K81" s="21">
        <f t="shared" si="58"/>
        <v>-1.8094416944848315</v>
      </c>
      <c r="L81" s="21" t="str">
        <f t="shared" si="58"/>
        <v/>
      </c>
      <c r="M81" s="21">
        <f t="shared" si="58"/>
        <v>11.166076847550469</v>
      </c>
      <c r="N81" s="21" t="str">
        <f t="shared" si="58"/>
        <v/>
      </c>
      <c r="O81" s="21">
        <f t="shared" si="58"/>
        <v>21.483029745668951</v>
      </c>
      <c r="P81" s="21">
        <f t="shared" si="58"/>
        <v>-6.3970875243957366</v>
      </c>
      <c r="Q81" s="21">
        <f t="shared" si="58"/>
        <v>-1.888155471984466</v>
      </c>
      <c r="R81" s="21">
        <f t="shared" si="58"/>
        <v>-1.097368795492637</v>
      </c>
      <c r="S81" s="21">
        <f t="shared" si="47"/>
        <v>2.624704974588655</v>
      </c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x14ac:dyDescent="0.2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15" x14ac:dyDescent="0.2">
      <c r="A83" s="18" t="s">
        <v>51</v>
      </c>
      <c r="B83" s="36"/>
      <c r="C83" s="36"/>
      <c r="D83" s="36"/>
      <c r="E83" s="42"/>
      <c r="F83" s="36"/>
      <c r="G83" s="36"/>
      <c r="H83" s="42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20">
        <v>1000</v>
      </c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s="26" customFormat="1" ht="15" x14ac:dyDescent="0.25">
      <c r="A84" s="34" t="s">
        <v>56</v>
      </c>
      <c r="B84" s="23" t="s">
        <v>57</v>
      </c>
      <c r="C84" s="23" t="s">
        <v>58</v>
      </c>
      <c r="D84" s="23" t="s">
        <v>59</v>
      </c>
      <c r="E84" s="23" t="s">
        <v>73</v>
      </c>
      <c r="F84" s="23" t="s">
        <v>60</v>
      </c>
      <c r="G84" s="23" t="s">
        <v>61</v>
      </c>
      <c r="H84" s="23" t="s">
        <v>72</v>
      </c>
      <c r="I84" s="23" t="s">
        <v>63</v>
      </c>
      <c r="J84" s="23" t="s">
        <v>15</v>
      </c>
      <c r="K84" s="23" t="s">
        <v>64</v>
      </c>
      <c r="L84" s="23" t="s">
        <v>65</v>
      </c>
      <c r="M84" s="23" t="s">
        <v>14</v>
      </c>
      <c r="N84" s="23" t="s">
        <v>66</v>
      </c>
      <c r="O84" s="23" t="s">
        <v>67</v>
      </c>
      <c r="P84" s="23" t="s">
        <v>68</v>
      </c>
      <c r="Q84" s="23" t="s">
        <v>70</v>
      </c>
      <c r="R84" s="23" t="s">
        <v>69</v>
      </c>
      <c r="S84" s="23" t="s">
        <v>55</v>
      </c>
    </row>
    <row r="85" spans="1:31" s="14" customFormat="1" ht="15" x14ac:dyDescent="0.25">
      <c r="A85" s="27" t="s">
        <v>34</v>
      </c>
      <c r="B85" s="14">
        <f>SUM(B86+B87)</f>
        <v>1704.5372399999999</v>
      </c>
      <c r="C85" s="14">
        <f t="shared" ref="C85:R85" si="59">C86+C87</f>
        <v>2820794</v>
      </c>
      <c r="D85" s="14">
        <f t="shared" si="59"/>
        <v>8769020</v>
      </c>
      <c r="E85" s="14">
        <f t="shared" si="59"/>
        <v>271301.53999999998</v>
      </c>
      <c r="F85" s="14">
        <f t="shared" si="59"/>
        <v>4054.1892700000003</v>
      </c>
      <c r="G85" s="14">
        <f t="shared" si="59"/>
        <v>822958</v>
      </c>
      <c r="I85" s="14">
        <f t="shared" si="59"/>
        <v>0</v>
      </c>
      <c r="J85" s="14">
        <f t="shared" si="59"/>
        <v>134445.07954000001</v>
      </c>
      <c r="K85" s="14">
        <f t="shared" si="59"/>
        <v>2079.5679500000001</v>
      </c>
      <c r="L85" s="14">
        <f t="shared" si="59"/>
        <v>28420.778620000005</v>
      </c>
      <c r="M85" s="14">
        <v>13245923</v>
      </c>
      <c r="N85" s="14">
        <f t="shared" si="59"/>
        <v>1008248</v>
      </c>
      <c r="O85" s="14">
        <f t="shared" si="59"/>
        <v>106882.76916</v>
      </c>
      <c r="P85" s="14">
        <f t="shared" si="59"/>
        <v>254850</v>
      </c>
      <c r="Q85" s="14">
        <f t="shared" si="59"/>
        <v>3139.8830900000003</v>
      </c>
      <c r="R85" s="14">
        <f t="shared" si="59"/>
        <v>38707</v>
      </c>
      <c r="S85" s="10">
        <f>SUM(B85:R85)</f>
        <v>27512528.344870001</v>
      </c>
    </row>
    <row r="86" spans="1:31" s="9" customFormat="1" ht="15" x14ac:dyDescent="0.25">
      <c r="A86" s="26" t="s">
        <v>33</v>
      </c>
      <c r="B86" s="9">
        <f>1665916.21/1000</f>
        <v>1665.9162099999999</v>
      </c>
      <c r="C86" s="9">
        <v>1095419</v>
      </c>
      <c r="D86" s="9">
        <f>2767737</f>
        <v>2767737</v>
      </c>
      <c r="E86" s="9">
        <f>271301.54</f>
        <v>271301.53999999998</v>
      </c>
      <c r="F86" s="9">
        <f>2162959.83/1000</f>
        <v>2162.9598300000002</v>
      </c>
      <c r="G86" s="9">
        <v>327621</v>
      </c>
      <c r="J86" s="9">
        <f>44987454.58/1000</f>
        <v>44987.454579999998</v>
      </c>
      <c r="K86" s="9">
        <f>745551.69/1000</f>
        <v>745.55168999999989</v>
      </c>
      <c r="L86" s="9">
        <f>5742088.49/1000</f>
        <v>5742.0884900000001</v>
      </c>
      <c r="M86" s="9">
        <v>4226489</v>
      </c>
      <c r="N86" s="9">
        <f>102548</f>
        <v>102548</v>
      </c>
      <c r="O86" s="9">
        <f>62283948.6/1000</f>
        <v>62283.948600000003</v>
      </c>
      <c r="P86" s="9">
        <v>237491</v>
      </c>
      <c r="Q86" s="9">
        <f>1331011.27/1000</f>
        <v>1331.01127</v>
      </c>
      <c r="R86" s="9">
        <v>20629</v>
      </c>
      <c r="S86" s="5">
        <f t="shared" ref="S86:S89" si="60">SUM(B86:R86)</f>
        <v>9168154.4706699997</v>
      </c>
    </row>
    <row r="87" spans="1:31" s="9" customFormat="1" ht="15" x14ac:dyDescent="0.25">
      <c r="A87" s="26" t="s">
        <v>32</v>
      </c>
      <c r="B87" s="9">
        <f t="shared" ref="B87:R87" si="61">SUM(B88:B90)</f>
        <v>38.621029999999998</v>
      </c>
      <c r="C87" s="9">
        <f t="shared" si="61"/>
        <v>1725375</v>
      </c>
      <c r="D87" s="9">
        <f t="shared" si="61"/>
        <v>6001283</v>
      </c>
      <c r="E87" s="9">
        <f t="shared" ref="E87" si="62">SUM(E88:E90)</f>
        <v>0</v>
      </c>
      <c r="F87" s="9">
        <f t="shared" si="61"/>
        <v>1891.2294400000001</v>
      </c>
      <c r="G87" s="9">
        <f t="shared" si="61"/>
        <v>495337</v>
      </c>
      <c r="I87" s="9">
        <f t="shared" si="61"/>
        <v>0</v>
      </c>
      <c r="J87" s="9">
        <f t="shared" si="61"/>
        <v>89457.624960000001</v>
      </c>
      <c r="K87" s="9">
        <f t="shared" si="61"/>
        <v>1334.0162600000001</v>
      </c>
      <c r="L87" s="9">
        <f t="shared" si="61"/>
        <v>22678.690130000003</v>
      </c>
      <c r="M87" s="9">
        <v>9019434</v>
      </c>
      <c r="N87" s="9">
        <f t="shared" si="61"/>
        <v>905700</v>
      </c>
      <c r="O87" s="9">
        <f t="shared" si="61"/>
        <v>44598.82056</v>
      </c>
      <c r="P87" s="9">
        <f t="shared" si="61"/>
        <v>17359</v>
      </c>
      <c r="Q87" s="9">
        <f t="shared" si="61"/>
        <v>1808.8718200000001</v>
      </c>
      <c r="R87" s="9">
        <f t="shared" si="61"/>
        <v>18078</v>
      </c>
      <c r="S87" s="5">
        <f t="shared" si="60"/>
        <v>18344373.874199998</v>
      </c>
    </row>
    <row r="88" spans="1:31" s="9" customFormat="1" ht="15" x14ac:dyDescent="0.25">
      <c r="A88" s="26" t="s">
        <v>31</v>
      </c>
      <c r="C88" s="9">
        <f>35525+356480+300720+49177</f>
        <v>741902</v>
      </c>
      <c r="D88" s="9">
        <f>826618+49195+145837+540549+931+143766</f>
        <v>1706896</v>
      </c>
      <c r="F88" s="9">
        <f>1190242.59/1000</f>
        <v>1190.2425900000001</v>
      </c>
      <c r="G88" s="9">
        <f>178227</f>
        <v>178227</v>
      </c>
      <c r="J88" s="9">
        <f>56458285.08/1000</f>
        <v>56458.285080000001</v>
      </c>
      <c r="K88" s="9">
        <f>146283.66/1000</f>
        <v>146.28366</v>
      </c>
      <c r="L88" s="9">
        <f>1108427.78/1000</f>
        <v>1108.42778</v>
      </c>
      <c r="M88" s="9">
        <v>1221381</v>
      </c>
      <c r="N88" s="9">
        <f>32717+135324+15201</f>
        <v>183242</v>
      </c>
      <c r="O88" s="9">
        <f>2308285.85/1000</f>
        <v>2308.2858500000002</v>
      </c>
      <c r="P88" s="9">
        <v>11316</v>
      </c>
      <c r="R88" s="9">
        <f>12127+919</f>
        <v>13046</v>
      </c>
      <c r="S88" s="5">
        <f t="shared" si="60"/>
        <v>4117221.5249600001</v>
      </c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:31" s="9" customFormat="1" ht="15" x14ac:dyDescent="0.25">
      <c r="A89" s="26" t="s">
        <v>30</v>
      </c>
      <c r="B89" s="9">
        <f>38621.03/1000</f>
        <v>38.621029999999998</v>
      </c>
      <c r="C89" s="9">
        <f>939180+44293</f>
        <v>983473</v>
      </c>
      <c r="D89" s="9">
        <f>202974+2875639+1215774</f>
        <v>4294387</v>
      </c>
      <c r="F89" s="9">
        <f>(254869.79+821968.01-396499.36+20648.41)/1000</f>
        <v>700.98685000000012</v>
      </c>
      <c r="G89" s="9">
        <f>308835+8275</f>
        <v>317110</v>
      </c>
      <c r="J89" s="9">
        <f>(32722739.12+276600.76)/1000</f>
        <v>32999.33988</v>
      </c>
      <c r="K89" s="9">
        <f>(1403842.06-265625.3)/1000</f>
        <v>1138.21676</v>
      </c>
      <c r="L89" s="9">
        <f>21430370.09/1000</f>
        <v>21430.37009</v>
      </c>
      <c r="M89" s="9">
        <v>7798053</v>
      </c>
      <c r="N89" s="9">
        <f>664415+58043</f>
        <v>722458</v>
      </c>
      <c r="O89" s="9">
        <f>(5271290.4+37019244.31)/1000</f>
        <v>42290.53471</v>
      </c>
      <c r="P89" s="9">
        <f>1+6042</f>
        <v>6043</v>
      </c>
      <c r="Q89" s="9">
        <f>1808871.82/1000</f>
        <v>1808.8718200000001</v>
      </c>
      <c r="R89" s="9">
        <v>4540</v>
      </c>
      <c r="S89" s="5">
        <f t="shared" si="60"/>
        <v>14226470.94114</v>
      </c>
    </row>
    <row r="90" spans="1:31" s="9" customFormat="1" ht="15" x14ac:dyDescent="0.25">
      <c r="A90" s="26" t="s">
        <v>23</v>
      </c>
      <c r="K90" s="9">
        <f>49515.84/1000</f>
        <v>49.515839999999997</v>
      </c>
      <c r="L90" s="9">
        <f>139892.26/1000</f>
        <v>139.89226000000002</v>
      </c>
      <c r="R90" s="9">
        <v>492</v>
      </c>
      <c r="S90" s="5"/>
    </row>
    <row r="91" spans="1:31" s="14" customFormat="1" ht="15" x14ac:dyDescent="0.25">
      <c r="A91" s="27" t="s">
        <v>29</v>
      </c>
      <c r="B91" s="14">
        <f t="shared" ref="B91:R91" si="63">B92+B93+B94</f>
        <v>1704.5372400000001</v>
      </c>
      <c r="C91" s="14">
        <f t="shared" si="63"/>
        <v>2820794</v>
      </c>
      <c r="D91" s="14">
        <f t="shared" si="63"/>
        <v>8769020</v>
      </c>
      <c r="E91" s="14">
        <f t="shared" si="63"/>
        <v>271301.54000000004</v>
      </c>
      <c r="F91" s="14">
        <f t="shared" si="63"/>
        <v>4054.1892699999989</v>
      </c>
      <c r="G91" s="14">
        <f t="shared" si="63"/>
        <v>822958</v>
      </c>
      <c r="I91" s="14">
        <f t="shared" si="63"/>
        <v>0</v>
      </c>
      <c r="J91" s="14">
        <f t="shared" si="63"/>
        <v>134445.07954000001</v>
      </c>
      <c r="K91" s="14">
        <f t="shared" si="63"/>
        <v>2079.5679500000006</v>
      </c>
      <c r="L91" s="14">
        <f t="shared" si="63"/>
        <v>28420.778620000001</v>
      </c>
      <c r="M91" s="14">
        <f t="shared" si="63"/>
        <v>13245923</v>
      </c>
      <c r="N91" s="14">
        <f t="shared" si="63"/>
        <v>1008248</v>
      </c>
      <c r="O91" s="14">
        <f t="shared" si="63"/>
        <v>106882.76916</v>
      </c>
      <c r="P91" s="14">
        <f t="shared" si="63"/>
        <v>254850</v>
      </c>
      <c r="Q91" s="14">
        <f t="shared" si="63"/>
        <v>3139.8830899999989</v>
      </c>
      <c r="R91" s="14">
        <f t="shared" si="63"/>
        <v>38707</v>
      </c>
      <c r="S91" s="10">
        <f>SUM(B91:R91)</f>
        <v>27512528.344870001</v>
      </c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s="9" customFormat="1" ht="15" x14ac:dyDescent="0.25">
      <c r="A92" s="26" t="s">
        <v>28</v>
      </c>
      <c r="B92" s="4">
        <f>180091.49/1000</f>
        <v>180.09148999999999</v>
      </c>
      <c r="C92" s="9">
        <f>1910757</f>
        <v>1910757</v>
      </c>
      <c r="D92" s="9">
        <f>3360140</f>
        <v>3360140</v>
      </c>
      <c r="E92" s="9">
        <v>-180005.3</v>
      </c>
      <c r="F92" s="9">
        <f>1287103.67/1000</f>
        <v>1287.10367</v>
      </c>
      <c r="G92" s="9">
        <f>628073</f>
        <v>628073</v>
      </c>
      <c r="J92" s="9">
        <f>46367430.82/1000</f>
        <v>46367.430820000001</v>
      </c>
      <c r="K92" s="9">
        <f>(1990493.87/1000)+0.001</f>
        <v>1990.49487</v>
      </c>
      <c r="L92" s="9">
        <f>15434433.25/1000</f>
        <v>15434.43325</v>
      </c>
      <c r="M92" s="9">
        <v>6727593</v>
      </c>
      <c r="N92" s="9">
        <v>460254</v>
      </c>
      <c r="O92" s="9">
        <f>60021788.26/1000</f>
        <v>60021.788260000001</v>
      </c>
      <c r="P92" s="9">
        <v>103150</v>
      </c>
      <c r="Q92" s="9">
        <f>5238058.08/1000</f>
        <v>5238.0580799999998</v>
      </c>
      <c r="R92" s="9">
        <v>51853</v>
      </c>
      <c r="S92" s="10">
        <f t="shared" ref="S92:S93" si="64">SUM(B92:R92)</f>
        <v>13192334.100440001</v>
      </c>
    </row>
    <row r="93" spans="1:31" s="9" customFormat="1" ht="15" x14ac:dyDescent="0.25">
      <c r="A93" s="26" t="s">
        <v>27</v>
      </c>
      <c r="B93" s="4"/>
      <c r="C93" s="9">
        <v>995814</v>
      </c>
      <c r="D93" s="9">
        <v>5094968</v>
      </c>
      <c r="F93" s="9">
        <f>11153156.35/1000</f>
        <v>11153.156349999999</v>
      </c>
      <c r="G93" s="9">
        <v>194238</v>
      </c>
      <c r="J93" s="9">
        <f>81349318.78/1000</f>
        <v>81349.318780000001</v>
      </c>
      <c r="K93" s="9">
        <f>2678018.67/1000</f>
        <v>2678.0186699999999</v>
      </c>
      <c r="L93" s="9">
        <f>7209374.03/1000</f>
        <v>7209.3740299999999</v>
      </c>
      <c r="M93" s="9">
        <v>5721997</v>
      </c>
      <c r="N93" s="9">
        <v>926767</v>
      </c>
      <c r="O93" s="9">
        <f>40777014.78/1000</f>
        <v>40777.014779999998</v>
      </c>
      <c r="P93" s="9">
        <f>56497</f>
        <v>56497</v>
      </c>
      <c r="Q93" s="9">
        <f>1517800.7/1000</f>
        <v>1517.8007</v>
      </c>
      <c r="R93" s="9">
        <v>100757</v>
      </c>
      <c r="S93" s="9">
        <f t="shared" si="64"/>
        <v>13235722.68331</v>
      </c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</row>
    <row r="94" spans="1:31" s="14" customFormat="1" ht="15" x14ac:dyDescent="0.25">
      <c r="A94" s="27" t="s">
        <v>26</v>
      </c>
      <c r="B94" s="14">
        <f t="shared" ref="B94:R94" si="65">SUM(B95:B98)</f>
        <v>1524.4457500000001</v>
      </c>
      <c r="C94" s="14">
        <f t="shared" si="65"/>
        <v>-85777</v>
      </c>
      <c r="D94" s="14">
        <f t="shared" si="65"/>
        <v>313912</v>
      </c>
      <c r="E94" s="14">
        <f t="shared" ref="E94" si="66">SUM(E95:E98)</f>
        <v>451306.84</v>
      </c>
      <c r="F94" s="14">
        <f t="shared" si="65"/>
        <v>-8386.0707500000008</v>
      </c>
      <c r="G94" s="14">
        <f t="shared" si="65"/>
        <v>647</v>
      </c>
      <c r="I94" s="14">
        <f t="shared" si="65"/>
        <v>0</v>
      </c>
      <c r="J94" s="14">
        <f t="shared" si="65"/>
        <v>6728.3299399999996</v>
      </c>
      <c r="K94" s="14">
        <f t="shared" si="65"/>
        <v>-2588.9455899999994</v>
      </c>
      <c r="L94" s="14">
        <f t="shared" si="65"/>
        <v>5776.971340000001</v>
      </c>
      <c r="M94" s="14">
        <f t="shared" si="65"/>
        <v>796333</v>
      </c>
      <c r="N94" s="14">
        <f t="shared" si="65"/>
        <v>-378773</v>
      </c>
      <c r="O94" s="14">
        <f t="shared" si="65"/>
        <v>6083.96612</v>
      </c>
      <c r="P94" s="14">
        <f t="shared" si="65"/>
        <v>95203</v>
      </c>
      <c r="Q94" s="14">
        <f t="shared" si="65"/>
        <v>-3615.9756900000007</v>
      </c>
      <c r="R94" s="14">
        <f t="shared" si="65"/>
        <v>-113903</v>
      </c>
      <c r="S94" s="14">
        <f>SUM(B94:R94)</f>
        <v>1084471.56112</v>
      </c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</row>
    <row r="95" spans="1:31" s="9" customFormat="1" ht="15" x14ac:dyDescent="0.25">
      <c r="A95" s="26" t="s">
        <v>25</v>
      </c>
      <c r="B95" s="9">
        <f>1558803/1000</f>
        <v>1558.8030000000001</v>
      </c>
      <c r="C95" s="9">
        <v>260810</v>
      </c>
      <c r="D95" s="9">
        <f>2294192</f>
        <v>2294192</v>
      </c>
      <c r="E95" s="9">
        <f>357252.59</f>
        <v>357252.59</v>
      </c>
      <c r="F95" s="9">
        <f>7200000/1000</f>
        <v>7200</v>
      </c>
      <c r="G95" s="9">
        <f>726070</f>
        <v>726070</v>
      </c>
      <c r="J95" s="9">
        <f>25453177/1000</f>
        <v>25453.177</v>
      </c>
      <c r="K95" s="9">
        <f>5625562.98/1000</f>
        <v>5625.5629800000006</v>
      </c>
      <c r="L95" s="9">
        <f>1500000/1000</f>
        <v>1500</v>
      </c>
      <c r="M95" s="9">
        <f>940949</f>
        <v>940949</v>
      </c>
      <c r="N95" s="9">
        <v>84166</v>
      </c>
      <c r="O95" s="9">
        <f>6000000/1000</f>
        <v>6000</v>
      </c>
      <c r="P95" s="9">
        <v>4061</v>
      </c>
      <c r="Q95" s="9">
        <f>545740/1000</f>
        <v>545.74</v>
      </c>
      <c r="R95" s="9">
        <v>603117</v>
      </c>
      <c r="S95" s="9">
        <f t="shared" ref="S95:S98" si="67">SUM(B95:R95)</f>
        <v>5318500.8729800005</v>
      </c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</row>
    <row r="96" spans="1:31" s="9" customFormat="1" ht="15" x14ac:dyDescent="0.25">
      <c r="A96" s="26" t="s">
        <v>50</v>
      </c>
      <c r="B96" s="9">
        <f>-42414.12/1000</f>
        <v>-42.414120000000004</v>
      </c>
      <c r="C96" s="9">
        <v>-332988</v>
      </c>
      <c r="D96" s="9">
        <v>-3299267</v>
      </c>
      <c r="E96" s="9">
        <f>100074.21-6019.96</f>
        <v>94054.25</v>
      </c>
      <c r="F96" s="9">
        <f>-15586070.75/1000</f>
        <v>-15586.070750000001</v>
      </c>
      <c r="G96" s="9">
        <v>-879452</v>
      </c>
      <c r="J96" s="9">
        <f>-18724847.06/1000</f>
        <v>-18724.84706</v>
      </c>
      <c r="K96" s="9">
        <f>-8264024.41/1000</f>
        <v>-8264.02441</v>
      </c>
      <c r="M96" s="9">
        <v>-3997469</v>
      </c>
      <c r="N96" s="9">
        <v>-546879</v>
      </c>
      <c r="O96" s="9">
        <f>-9180259.58/1000</f>
        <v>-9180.2595799999999</v>
      </c>
      <c r="P96" s="9">
        <v>-48944</v>
      </c>
      <c r="Q96" s="9">
        <f>-4118133.77/1000</f>
        <v>-4118.1337700000004</v>
      </c>
      <c r="R96" s="9">
        <v>-797489</v>
      </c>
      <c r="S96" s="9">
        <f t="shared" si="67"/>
        <v>-9864349.4996899981</v>
      </c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</row>
    <row r="97" spans="1:31" s="9" customFormat="1" ht="15" x14ac:dyDescent="0.25">
      <c r="A97" s="26" t="s">
        <v>24</v>
      </c>
      <c r="O97" s="9">
        <f>4051506.59/1000</f>
        <v>4051.50659</v>
      </c>
      <c r="Q97" s="9">
        <f>-43581.92/1000</f>
        <v>-43.581919999999997</v>
      </c>
      <c r="S97" s="9">
        <f t="shared" si="67"/>
        <v>4007.9246699999999</v>
      </c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</row>
    <row r="98" spans="1:31" s="9" customFormat="1" ht="15" x14ac:dyDescent="0.25">
      <c r="A98" s="26" t="s">
        <v>23</v>
      </c>
      <c r="B98" s="9">
        <f>(0.82+8056.05)/1000</f>
        <v>8.05687</v>
      </c>
      <c r="C98" s="9">
        <f>12059-25658</f>
        <v>-13599</v>
      </c>
      <c r="D98" s="9">
        <f>222990+1114159-18162</f>
        <v>1318987</v>
      </c>
      <c r="G98" s="9">
        <f>154029</f>
        <v>154029</v>
      </c>
      <c r="K98" s="9">
        <f>(49515.84/1000)</f>
        <v>49.515839999999997</v>
      </c>
      <c r="L98" s="9">
        <f>(4254163.65+22807.69)/1000</f>
        <v>4276.971340000001</v>
      </c>
      <c r="M98" s="9">
        <f>3754254+98599</f>
        <v>3852853</v>
      </c>
      <c r="N98" s="9">
        <f>83940</f>
        <v>83940</v>
      </c>
      <c r="O98" s="9">
        <f>(501031.91+4711687.2)/1000</f>
        <v>5212.71911</v>
      </c>
      <c r="P98" s="9">
        <f>140000+86</f>
        <v>140086</v>
      </c>
      <c r="R98" s="9">
        <f>80469</f>
        <v>80469</v>
      </c>
      <c r="S98" s="9">
        <f t="shared" si="67"/>
        <v>5626312.2631599996</v>
      </c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</row>
    <row r="99" spans="1:31" s="4" customFormat="1" ht="15" x14ac:dyDescent="0.25">
      <c r="A99" s="35"/>
      <c r="S99" s="9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</row>
    <row r="100" spans="1:31" s="21" customFormat="1" ht="15" x14ac:dyDescent="0.25">
      <c r="A100" s="22" t="s">
        <v>22</v>
      </c>
      <c r="B100" s="21">
        <f t="shared" ref="B100:R100" si="68">IFERROR(+B86/B92,"")</f>
        <v>9.2503882887525659</v>
      </c>
      <c r="C100" s="21">
        <f t="shared" si="68"/>
        <v>0.57329058587774373</v>
      </c>
      <c r="D100" s="21">
        <f t="shared" si="68"/>
        <v>0.82369692929461269</v>
      </c>
      <c r="E100" s="21">
        <f t="shared" ref="E100" si="69">IFERROR(+E86/E92,"")</f>
        <v>-1.50718639951157</v>
      </c>
      <c r="F100" s="21">
        <f t="shared" si="68"/>
        <v>1.680486102568568</v>
      </c>
      <c r="G100" s="21">
        <f t="shared" si="68"/>
        <v>0.52162885524453373</v>
      </c>
      <c r="H100" s="14"/>
      <c r="I100" s="21" t="str">
        <f t="shared" si="68"/>
        <v/>
      </c>
      <c r="J100" s="21">
        <f t="shared" si="68"/>
        <v>0.97023824232666411</v>
      </c>
      <c r="K100" s="21">
        <f t="shared" si="68"/>
        <v>0.37455594648179119</v>
      </c>
      <c r="L100" s="21">
        <f t="shared" si="68"/>
        <v>0.37203105530292147</v>
      </c>
      <c r="M100" s="21">
        <f t="shared" si="68"/>
        <v>0.62823196944286019</v>
      </c>
      <c r="N100" s="21">
        <f t="shared" si="68"/>
        <v>0.222807406345192</v>
      </c>
      <c r="O100" s="21">
        <f t="shared" si="68"/>
        <v>1.0376889860428826</v>
      </c>
      <c r="P100" s="21">
        <f t="shared" si="68"/>
        <v>2.3023848763936017</v>
      </c>
      <c r="Q100" s="21">
        <f t="shared" si="68"/>
        <v>0.25410395411270431</v>
      </c>
      <c r="R100" s="21">
        <f t="shared" si="68"/>
        <v>0.39783619077006149</v>
      </c>
      <c r="S100" s="21">
        <v>0.69517756115413776</v>
      </c>
    </row>
    <row r="101" spans="1:31" s="21" customFormat="1" ht="15" x14ac:dyDescent="0.25">
      <c r="A101" s="22" t="s">
        <v>21</v>
      </c>
      <c r="B101" s="21">
        <f t="shared" ref="B101:R101" si="70">IFERROR(+(B86+B88)/(B92+B93),"")</f>
        <v>9.2503882887525659</v>
      </c>
      <c r="C101" s="21">
        <f t="shared" si="70"/>
        <v>0.63212665370981824</v>
      </c>
      <c r="D101" s="21">
        <f t="shared" si="70"/>
        <v>0.52922245345653773</v>
      </c>
      <c r="E101" s="21">
        <f t="shared" ref="E101" si="71">IFERROR(+(E86+E88)/(E92+E93),"")</f>
        <v>-1.50718639951157</v>
      </c>
      <c r="F101" s="21">
        <f t="shared" si="70"/>
        <v>0.26954439976408151</v>
      </c>
      <c r="G101" s="21">
        <f t="shared" si="70"/>
        <v>0.61515412052131124</v>
      </c>
      <c r="H101" s="9"/>
      <c r="I101" s="21" t="str">
        <f t="shared" si="70"/>
        <v/>
      </c>
      <c r="J101" s="21">
        <f t="shared" si="70"/>
        <v>0.79430254823835555</v>
      </c>
      <c r="K101" s="21">
        <f t="shared" si="70"/>
        <v>0.19103197245948222</v>
      </c>
      <c r="L101" s="21">
        <f t="shared" si="70"/>
        <v>0.30253376498441914</v>
      </c>
      <c r="M101" s="21">
        <f t="shared" si="70"/>
        <v>0.43759433041570045</v>
      </c>
      <c r="N101" s="21">
        <f t="shared" si="70"/>
        <v>0.20604590701943229</v>
      </c>
      <c r="O101" s="21">
        <f t="shared" si="70"/>
        <v>0.64080358597480425</v>
      </c>
      <c r="P101" s="21">
        <f t="shared" si="70"/>
        <v>1.5584821512461868</v>
      </c>
      <c r="Q101" s="21">
        <f t="shared" si="70"/>
        <v>0.19701585147699019</v>
      </c>
      <c r="R101" s="21">
        <f t="shared" si="70"/>
        <v>0.22066050717515234</v>
      </c>
      <c r="S101" s="21">
        <v>0.50235261422187472</v>
      </c>
    </row>
    <row r="102" spans="1:31" s="21" customFormat="1" ht="15" x14ac:dyDescent="0.25">
      <c r="A102" s="22" t="s">
        <v>20</v>
      </c>
      <c r="B102" s="21">
        <f t="shared" ref="B102:R102" si="72">IFERROR(+B94,"")</f>
        <v>1524.4457500000001</v>
      </c>
      <c r="C102" s="21">
        <f t="shared" si="72"/>
        <v>-85777</v>
      </c>
      <c r="D102" s="21">
        <f t="shared" si="72"/>
        <v>313912</v>
      </c>
      <c r="E102" s="21">
        <f t="shared" ref="E102" si="73">IFERROR(+E94,"")</f>
        <v>451306.84</v>
      </c>
      <c r="F102" s="21">
        <f t="shared" si="72"/>
        <v>-8386.0707500000008</v>
      </c>
      <c r="G102" s="21">
        <f t="shared" si="72"/>
        <v>647</v>
      </c>
      <c r="H102" s="9"/>
      <c r="I102" s="21">
        <f t="shared" si="72"/>
        <v>0</v>
      </c>
      <c r="J102" s="21">
        <f t="shared" si="72"/>
        <v>6728.3299399999996</v>
      </c>
      <c r="K102" s="21">
        <f t="shared" si="72"/>
        <v>-2588.9455899999994</v>
      </c>
      <c r="L102" s="21">
        <f t="shared" si="72"/>
        <v>5776.971340000001</v>
      </c>
      <c r="M102" s="21">
        <f t="shared" si="72"/>
        <v>796333</v>
      </c>
      <c r="N102" s="21">
        <f t="shared" si="72"/>
        <v>-378773</v>
      </c>
      <c r="O102" s="21">
        <f t="shared" si="72"/>
        <v>6083.96612</v>
      </c>
      <c r="P102" s="21">
        <f t="shared" si="72"/>
        <v>95203</v>
      </c>
      <c r="Q102" s="21">
        <f t="shared" si="72"/>
        <v>-3615.9756900000007</v>
      </c>
      <c r="R102" s="21">
        <f t="shared" si="72"/>
        <v>-113903</v>
      </c>
      <c r="S102" s="21">
        <v>1089797.0190600001</v>
      </c>
    </row>
    <row r="103" spans="1:31" s="21" customFormat="1" ht="15" x14ac:dyDescent="0.25">
      <c r="A103" s="22" t="s">
        <v>19</v>
      </c>
      <c r="B103" s="21">
        <f t="shared" ref="B103:R103" si="74">IFERROR(((B92+B93))/B85,"")</f>
        <v>0.1056541833019735</v>
      </c>
      <c r="C103" s="21">
        <f t="shared" si="74"/>
        <v>1.0304088139722363</v>
      </c>
      <c r="D103" s="21">
        <f t="shared" si="74"/>
        <v>0.96420215713956636</v>
      </c>
      <c r="E103" s="21">
        <f t="shared" ref="E103" si="75">IFERROR(((E92+E93))/E85,"")</f>
        <v>-0.663487940392819</v>
      </c>
      <c r="F103" s="21">
        <f t="shared" si="74"/>
        <v>3.0684951272637546</v>
      </c>
      <c r="G103" s="21">
        <f t="shared" si="74"/>
        <v>0.9992138116404482</v>
      </c>
      <c r="H103" s="9"/>
      <c r="I103" s="21" t="str">
        <f t="shared" si="74"/>
        <v/>
      </c>
      <c r="J103" s="21">
        <f t="shared" si="74"/>
        <v>0.94995480710026148</v>
      </c>
      <c r="K103" s="21">
        <f t="shared" si="74"/>
        <v>2.24494397502135</v>
      </c>
      <c r="L103" s="21">
        <f t="shared" si="74"/>
        <v>0.79673423387722786</v>
      </c>
      <c r="M103" s="21">
        <f t="shared" si="74"/>
        <v>0.93988089769206717</v>
      </c>
      <c r="N103" s="21">
        <f t="shared" si="74"/>
        <v>1.375674437241631</v>
      </c>
      <c r="O103" s="21">
        <f t="shared" si="74"/>
        <v>0.94307813908813964</v>
      </c>
      <c r="P103" s="21">
        <f t="shared" si="74"/>
        <v>0.62643515793604077</v>
      </c>
      <c r="Q103" s="21">
        <f t="shared" si="74"/>
        <v>2.1516274926019614</v>
      </c>
      <c r="R103" s="21">
        <f t="shared" si="74"/>
        <v>3.9426977032578088</v>
      </c>
      <c r="S103" s="21">
        <v>0.96046250927632926</v>
      </c>
    </row>
    <row r="104" spans="1:31" s="21" customFormat="1" ht="15" x14ac:dyDescent="0.25">
      <c r="A104" s="22" t="s">
        <v>18</v>
      </c>
      <c r="B104" s="21">
        <f t="shared" ref="B104:R104" si="76">IFERROR(B85/B94,"")</f>
        <v>1.1181357158823131</v>
      </c>
      <c r="C104" s="21">
        <f t="shared" si="76"/>
        <v>-32.885202326964105</v>
      </c>
      <c r="D104" s="21">
        <f t="shared" si="76"/>
        <v>27.934644104080125</v>
      </c>
      <c r="E104" s="21">
        <f t="shared" ref="E104" si="77">IFERROR(E85/E94,"")</f>
        <v>0.601146528158093</v>
      </c>
      <c r="F104" s="21">
        <f t="shared" si="76"/>
        <v>-0.48344324664802046</v>
      </c>
      <c r="G104" s="21">
        <f t="shared" si="76"/>
        <v>1271.9598145285936</v>
      </c>
      <c r="H104" s="14"/>
      <c r="I104" s="21" t="str">
        <f t="shared" si="76"/>
        <v/>
      </c>
      <c r="J104" s="21">
        <f t="shared" si="76"/>
        <v>19.981939164535088</v>
      </c>
      <c r="K104" s="21">
        <f t="shared" si="76"/>
        <v>-0.80324899759673996</v>
      </c>
      <c r="L104" s="21">
        <f t="shared" si="76"/>
        <v>4.9196675813870314</v>
      </c>
      <c r="M104" s="21">
        <f t="shared" si="76"/>
        <v>16.633648235097628</v>
      </c>
      <c r="N104" s="21">
        <f t="shared" si="76"/>
        <v>-2.6618792786180641</v>
      </c>
      <c r="O104" s="21">
        <f t="shared" si="76"/>
        <v>17.567942860273522</v>
      </c>
      <c r="P104" s="21">
        <f t="shared" si="76"/>
        <v>2.6769114418663276</v>
      </c>
      <c r="Q104" s="21">
        <f t="shared" si="76"/>
        <v>-0.86833633828992907</v>
      </c>
      <c r="R104" s="21">
        <f t="shared" si="76"/>
        <v>-0.33982423641168363</v>
      </c>
      <c r="S104" s="21">
        <v>25.29244981653088</v>
      </c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s="21" customFormat="1" ht="15" x14ac:dyDescent="0.25">
      <c r="A105" s="22" t="s">
        <v>17</v>
      </c>
      <c r="B105" s="21">
        <f t="shared" ref="B105:R105" si="78">IFERROR(((B92+B93))/B94,"")</f>
        <v>0.11813571588231328</v>
      </c>
      <c r="C105" s="21">
        <f t="shared" si="78"/>
        <v>-33.885202326964105</v>
      </c>
      <c r="D105" s="21">
        <f t="shared" si="78"/>
        <v>26.934644104080125</v>
      </c>
      <c r="E105" s="21">
        <f t="shared" ref="E105" si="79">IFERROR(((E92+E93))/E94,"")</f>
        <v>-0.39885347184190689</v>
      </c>
      <c r="F105" s="21">
        <f t="shared" si="78"/>
        <v>-1.4834432466480203</v>
      </c>
      <c r="G105" s="21">
        <f t="shared" si="78"/>
        <v>1270.9598145285936</v>
      </c>
      <c r="H105" s="9"/>
      <c r="I105" s="21" t="str">
        <f t="shared" si="78"/>
        <v/>
      </c>
      <c r="J105" s="21">
        <f t="shared" si="78"/>
        <v>18.981939164535088</v>
      </c>
      <c r="K105" s="21">
        <f t="shared" si="78"/>
        <v>-1.8032489975967403</v>
      </c>
      <c r="L105" s="21">
        <f t="shared" si="78"/>
        <v>3.9196675813870314</v>
      </c>
      <c r="M105" s="21">
        <f t="shared" si="78"/>
        <v>15.633648235097629</v>
      </c>
      <c r="N105" s="21">
        <f t="shared" si="78"/>
        <v>-3.6618792786180641</v>
      </c>
      <c r="O105" s="21">
        <f t="shared" si="78"/>
        <v>16.567942860273522</v>
      </c>
      <c r="P105" s="21">
        <f t="shared" si="78"/>
        <v>1.6769114418663278</v>
      </c>
      <c r="Q105" s="21">
        <f t="shared" si="78"/>
        <v>-1.8683363382899287</v>
      </c>
      <c r="R105" s="21">
        <f t="shared" si="78"/>
        <v>-1.3398242364116837</v>
      </c>
      <c r="S105" s="21">
        <v>24.292449816530883</v>
      </c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s="21" customFormat="1" ht="15" x14ac:dyDescent="0.25">
      <c r="A106" s="22" t="s">
        <v>16</v>
      </c>
      <c r="B106" s="21">
        <f t="shared" ref="B106:R106" si="80">IFERROR((SUM(B92:B93))/(SUM(B95,B98)),"")</f>
        <v>0.11493784061238355</v>
      </c>
      <c r="C106" s="21">
        <f t="shared" si="80"/>
        <v>11.757450113465826</v>
      </c>
      <c r="D106" s="21">
        <f t="shared" si="80"/>
        <v>2.3400744884214149</v>
      </c>
      <c r="E106" s="21">
        <f t="shared" ref="E106" si="81">IFERROR((SUM(E92:E93))/(SUM(E95,E98)),"")</f>
        <v>-0.50386002799867724</v>
      </c>
      <c r="F106" s="21">
        <f t="shared" si="80"/>
        <v>1.7278138916666665</v>
      </c>
      <c r="G106" s="21">
        <f t="shared" si="80"/>
        <v>0.93433920502125334</v>
      </c>
      <c r="H106" s="9"/>
      <c r="I106" s="21" t="str">
        <f t="shared" si="80"/>
        <v/>
      </c>
      <c r="J106" s="21">
        <f t="shared" si="80"/>
        <v>5.0177134901470257</v>
      </c>
      <c r="K106" s="21">
        <f t="shared" si="80"/>
        <v>0.8226341321546613</v>
      </c>
      <c r="L106" s="21">
        <f t="shared" si="80"/>
        <v>3.9196675813870314</v>
      </c>
      <c r="M106" s="21">
        <f t="shared" si="80"/>
        <v>2.5970179828036284</v>
      </c>
      <c r="N106" s="21">
        <f t="shared" si="80"/>
        <v>8.2508714739509603</v>
      </c>
      <c r="O106" s="21">
        <f t="shared" si="80"/>
        <v>8.9896841302394854</v>
      </c>
      <c r="P106" s="21">
        <f t="shared" si="80"/>
        <v>1.1075291195793184</v>
      </c>
      <c r="Q106" s="21">
        <f t="shared" si="80"/>
        <v>12.379262615897678</v>
      </c>
      <c r="R106" s="21">
        <f t="shared" si="80"/>
        <v>0.22324915957904345</v>
      </c>
      <c r="S106" s="21">
        <v>2.4158716952115578</v>
      </c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s="21" customFormat="1" ht="15" x14ac:dyDescent="0.25">
      <c r="A107" s="22" t="s">
        <v>49</v>
      </c>
      <c r="B107" s="21">
        <f t="shared" ref="B107:R107" si="82">IFERROR(B92/B94,"")</f>
        <v>0.11813571588231328</v>
      </c>
      <c r="C107" s="21">
        <f t="shared" si="82"/>
        <v>-22.275866491017407</v>
      </c>
      <c r="D107" s="21">
        <f t="shared" si="82"/>
        <v>10.704082672850991</v>
      </c>
      <c r="E107" s="21">
        <f t="shared" ref="E107" si="83">IFERROR(E92/E94,"")</f>
        <v>-0.39885347184190689</v>
      </c>
      <c r="F107" s="21">
        <f t="shared" si="82"/>
        <v>-0.15348113656207824</v>
      </c>
      <c r="G107" s="21">
        <f t="shared" si="82"/>
        <v>970.74652241112824</v>
      </c>
      <c r="H107" s="9"/>
      <c r="I107" s="21" t="str">
        <f t="shared" si="82"/>
        <v/>
      </c>
      <c r="J107" s="21">
        <f t="shared" si="82"/>
        <v>6.8913729310961829</v>
      </c>
      <c r="K107" s="21">
        <f t="shared" si="82"/>
        <v>-0.76884384039913345</v>
      </c>
      <c r="L107" s="21">
        <f t="shared" si="82"/>
        <v>2.6717171233188077</v>
      </c>
      <c r="M107" s="21">
        <f t="shared" si="82"/>
        <v>8.4482157589852491</v>
      </c>
      <c r="N107" s="21">
        <f t="shared" si="82"/>
        <v>-1.2151182898464252</v>
      </c>
      <c r="O107" s="21">
        <f t="shared" si="82"/>
        <v>9.8655691166143438</v>
      </c>
      <c r="P107" s="21">
        <f t="shared" si="82"/>
        <v>1.0834742602649077</v>
      </c>
      <c r="Q107" s="21">
        <f t="shared" si="82"/>
        <v>-1.4485877475575615</v>
      </c>
      <c r="R107" s="21">
        <f t="shared" si="82"/>
        <v>-0.45523822901942879</v>
      </c>
      <c r="S107" s="21">
        <v>12.113270395891224</v>
      </c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s="21" customFormat="1" ht="15" x14ac:dyDescent="0.25">
      <c r="A108" s="22" t="s">
        <v>48</v>
      </c>
      <c r="B108" s="21">
        <f t="shared" ref="B108:R108" si="84">IFERROR((B92+B93)/B94,"")</f>
        <v>0.11813571588231328</v>
      </c>
      <c r="C108" s="21">
        <f t="shared" si="84"/>
        <v>-33.885202326964105</v>
      </c>
      <c r="D108" s="21">
        <f t="shared" si="84"/>
        <v>26.934644104080125</v>
      </c>
      <c r="E108" s="21">
        <f t="shared" ref="E108" si="85">IFERROR((E92+E93)/E94,"")</f>
        <v>-0.39885347184190689</v>
      </c>
      <c r="F108" s="21">
        <f t="shared" si="84"/>
        <v>-1.4834432466480203</v>
      </c>
      <c r="G108" s="21">
        <f t="shared" si="84"/>
        <v>1270.9598145285936</v>
      </c>
      <c r="H108" s="9"/>
      <c r="I108" s="21" t="str">
        <f t="shared" si="84"/>
        <v/>
      </c>
      <c r="J108" s="21">
        <f t="shared" si="84"/>
        <v>18.981939164535088</v>
      </c>
      <c r="K108" s="21">
        <f t="shared" si="84"/>
        <v>-1.8032489975967403</v>
      </c>
      <c r="L108" s="21">
        <f t="shared" si="84"/>
        <v>3.9196675813870314</v>
      </c>
      <c r="M108" s="21">
        <f t="shared" si="84"/>
        <v>15.633648235097629</v>
      </c>
      <c r="N108" s="21">
        <f t="shared" si="84"/>
        <v>-3.6618792786180641</v>
      </c>
      <c r="O108" s="21">
        <f t="shared" si="84"/>
        <v>16.567942860273522</v>
      </c>
      <c r="P108" s="21">
        <f t="shared" si="84"/>
        <v>1.6769114418663278</v>
      </c>
      <c r="Q108" s="21">
        <f t="shared" si="84"/>
        <v>-1.8683363382899287</v>
      </c>
      <c r="R108" s="21">
        <f t="shared" si="84"/>
        <v>-1.3398242364116837</v>
      </c>
      <c r="S108" s="21">
        <v>24.292449816530883</v>
      </c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s="21" customFormat="1" ht="15" x14ac:dyDescent="0.25">
      <c r="A109" s="22" t="s">
        <v>47</v>
      </c>
      <c r="B109" s="21">
        <f t="shared" ref="B109:G109" si="86">(B92+B93)/B85</f>
        <v>0.1056541833019735</v>
      </c>
      <c r="C109" s="21">
        <f t="shared" si="86"/>
        <v>1.0304088139722363</v>
      </c>
      <c r="D109" s="21">
        <f t="shared" si="86"/>
        <v>0.96420215713956636</v>
      </c>
      <c r="E109" s="21">
        <f t="shared" ref="E109" si="87">(E92+E93)/E85</f>
        <v>-0.663487940392819</v>
      </c>
      <c r="F109" s="21">
        <f t="shared" si="86"/>
        <v>3.0684951272637546</v>
      </c>
      <c r="G109" s="21">
        <f t="shared" si="86"/>
        <v>0.9992138116404482</v>
      </c>
      <c r="H109" s="9"/>
      <c r="J109" s="21">
        <f t="shared" ref="J109:R109" si="88">(J92+J93)/J85</f>
        <v>0.94995480710026148</v>
      </c>
      <c r="K109" s="21">
        <f t="shared" si="88"/>
        <v>2.24494397502135</v>
      </c>
      <c r="L109" s="21">
        <f t="shared" si="88"/>
        <v>0.79673423387722786</v>
      </c>
      <c r="M109" s="21">
        <f t="shared" si="88"/>
        <v>0.93988089769206717</v>
      </c>
      <c r="N109" s="21">
        <f t="shared" si="88"/>
        <v>1.375674437241631</v>
      </c>
      <c r="O109" s="21">
        <f t="shared" si="88"/>
        <v>0.94307813908813964</v>
      </c>
      <c r="P109" s="21">
        <f t="shared" si="88"/>
        <v>0.62643515793604077</v>
      </c>
      <c r="Q109" s="21">
        <f t="shared" si="88"/>
        <v>2.1516274926019614</v>
      </c>
      <c r="R109" s="21">
        <f t="shared" si="88"/>
        <v>3.9426977032578088</v>
      </c>
      <c r="S109" s="21">
        <v>0.96046250927632926</v>
      </c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" x14ac:dyDescent="0.25">
      <c r="H110" s="14"/>
    </row>
    <row r="111" spans="1:31" x14ac:dyDescent="0.2">
      <c r="H111" s="9"/>
    </row>
    <row r="112" spans="1:31" x14ac:dyDescent="0.2">
      <c r="H112" s="9"/>
    </row>
    <row r="113" spans="8:8" ht="15" x14ac:dyDescent="0.25">
      <c r="H113" s="14"/>
    </row>
    <row r="114" spans="8:8" x14ac:dyDescent="0.2">
      <c r="H114" s="9"/>
    </row>
    <row r="115" spans="8:8" x14ac:dyDescent="0.2">
      <c r="H115" s="9"/>
    </row>
    <row r="116" spans="8:8" x14ac:dyDescent="0.2">
      <c r="H116" s="9"/>
    </row>
    <row r="117" spans="8:8" x14ac:dyDescent="0.2">
      <c r="H117" s="9"/>
    </row>
    <row r="118" spans="8:8" x14ac:dyDescent="0.2">
      <c r="H118" s="4"/>
    </row>
    <row r="119" spans="8:8" x14ac:dyDescent="0.2">
      <c r="H119" s="4"/>
    </row>
  </sheetData>
  <sortState ref="B3:T109">
    <sortCondition ref="R2"/>
  </sortState>
  <conditionalFormatting sqref="K58:Q58 N85:P85 I85:L85 I58 B58:G58 B85:D85 F85:G85">
    <cfRule type="cellIs" dxfId="3" priority="18" stopIfTrue="1" operator="notEqual">
      <formula>B64</formula>
    </cfRule>
  </conditionalFormatting>
  <conditionalFormatting sqref="M85">
    <cfRule type="cellIs" dxfId="2" priority="14" stopIfTrue="1" operator="notEqual">
      <formula>M91</formula>
    </cfRule>
  </conditionalFormatting>
  <conditionalFormatting sqref="Q85:R85">
    <cfRule type="cellIs" dxfId="1" priority="1" stopIfTrue="1" operator="notEqual">
      <formula>Q91</formula>
    </cfRule>
  </conditionalFormatting>
  <conditionalFormatting sqref="E85">
    <cfRule type="cellIs" dxfId="0" priority="2" stopIfTrue="1" operator="notEqual">
      <formula>E91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DRE 2013</vt:lpstr>
      <vt:lpstr>BP 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Humberto Borges Junior</dc:creator>
  <cp:lastModifiedBy>Jose Humberto Borges Junior</cp:lastModifiedBy>
  <dcterms:created xsi:type="dcterms:W3CDTF">2015-07-20T21:36:12Z</dcterms:created>
  <dcterms:modified xsi:type="dcterms:W3CDTF">2015-09-28T19:11:36Z</dcterms:modified>
</cp:coreProperties>
</file>