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EstaPasta_de_trabalho" defaultThemeVersion="124226"/>
  <mc:AlternateContent xmlns:mc="http://schemas.openxmlformats.org/markup-compatibility/2006">
    <mc:Choice Requires="x15">
      <x15ac:absPath xmlns:x15ac="http://schemas.microsoft.com/office/spreadsheetml/2010/11/ac" url="C:\Users\levi.souza\Documents\gtaf note\nova contratacao limpeza e copeiragem\2022\"/>
    </mc:Choice>
  </mc:AlternateContent>
  <xr:revisionPtr revIDLastSave="0" documentId="13_ncr:1_{7EB230D9-C22F-4CBC-B818-4CA0734B2AAA}" xr6:coauthVersionLast="41" xr6:coauthVersionMax="41" xr10:uidLastSave="{00000000-0000-0000-0000-000000000000}"/>
  <bookViews>
    <workbookView xWindow="-110" yWindow="-110" windowWidth="19420" windowHeight="10420" tabRatio="894" activeTab="5" xr2:uid="{00000000-000D-0000-FFFF-FFFF00000000}"/>
  </bookViews>
  <sheets>
    <sheet name="Materiais e Equipamentos " sheetId="54" r:id="rId1"/>
    <sheet name="Servente" sheetId="28" r:id="rId2"/>
    <sheet name="Líder Equipe + Copeiro" sheetId="45" state="hidden" r:id="rId3"/>
    <sheet name="Servente + Copeiro" sheetId="38" r:id="rId4"/>
    <sheet name="Produtividade" sheetId="51" r:id="rId5"/>
    <sheet name="Quadro Resumo" sheetId="49" r:id="rId6"/>
    <sheet name="Limites portaria" sheetId="35"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0" i="54" l="1"/>
  <c r="J50" i="54"/>
  <c r="K48" i="54"/>
  <c r="J48" i="54"/>
  <c r="K16" i="54"/>
  <c r="J16" i="54"/>
  <c r="J46" i="54" l="1"/>
  <c r="K46" i="54" s="1"/>
  <c r="H7" i="54" l="1"/>
  <c r="H8" i="54"/>
  <c r="H9" i="54"/>
  <c r="H10" i="54"/>
  <c r="H11" i="54"/>
  <c r="H12" i="54"/>
  <c r="H13" i="54"/>
  <c r="H14" i="54"/>
  <c r="H6" i="54"/>
  <c r="I9" i="49" l="1"/>
  <c r="I4" i="49"/>
  <c r="G4" i="49"/>
  <c r="E15" i="51"/>
  <c r="E14" i="51"/>
  <c r="J32" i="38" l="1"/>
  <c r="I21" i="38"/>
  <c r="M7" i="49"/>
  <c r="I9" i="51"/>
  <c r="I8" i="51"/>
  <c r="G8" i="51"/>
  <c r="J42" i="28" l="1"/>
  <c r="J54" i="38"/>
  <c r="C54" i="38"/>
  <c r="J54" i="28"/>
  <c r="I7" i="51" l="1"/>
  <c r="G7" i="51"/>
  <c r="H5" i="49" l="1"/>
  <c r="H6" i="49"/>
  <c r="H7" i="49"/>
  <c r="H8" i="49"/>
  <c r="I4" i="51"/>
  <c r="G4" i="51"/>
  <c r="D18" i="51" l="1"/>
  <c r="D17" i="51"/>
  <c r="D16" i="51"/>
  <c r="D15" i="51"/>
  <c r="D14" i="51"/>
  <c r="C16" i="51"/>
  <c r="I5" i="51"/>
  <c r="G5" i="51"/>
  <c r="C3" i="51"/>
  <c r="E5" i="51"/>
  <c r="H5" i="51" s="1"/>
  <c r="I3" i="51" l="1"/>
  <c r="G3" i="51"/>
  <c r="H4" i="49"/>
  <c r="F16" i="51"/>
  <c r="C17" i="51"/>
  <c r="C15" i="51"/>
  <c r="E4" i="51"/>
  <c r="H4" i="51" s="1"/>
  <c r="F15" i="51" l="1"/>
  <c r="H14" i="51"/>
  <c r="I15" i="51" s="1"/>
  <c r="E16" i="51" l="1"/>
  <c r="C6" i="49" s="1"/>
  <c r="E6" i="49" s="1"/>
  <c r="E17" i="51"/>
  <c r="C7" i="49" s="1"/>
  <c r="E7" i="49" s="1"/>
  <c r="C5" i="49"/>
  <c r="E5" i="49" s="1"/>
  <c r="J42" i="54"/>
  <c r="K42" i="54" s="1"/>
  <c r="J27" i="54"/>
  <c r="K27" i="54" s="1"/>
  <c r="J28" i="54"/>
  <c r="K28" i="54" s="1"/>
  <c r="J29" i="54"/>
  <c r="K29" i="54" s="1"/>
  <c r="J30" i="54"/>
  <c r="K30" i="54" s="1"/>
  <c r="J31" i="54"/>
  <c r="K31" i="54" s="1"/>
  <c r="J32" i="54"/>
  <c r="K32" i="54" s="1"/>
  <c r="J33" i="54"/>
  <c r="K33" i="54" s="1"/>
  <c r="J34" i="54"/>
  <c r="K34" i="54" s="1"/>
  <c r="J35" i="54"/>
  <c r="K35" i="54" s="1"/>
  <c r="J36" i="54"/>
  <c r="K36" i="54" s="1"/>
  <c r="J37" i="54"/>
  <c r="K37" i="54" s="1"/>
  <c r="J38" i="54"/>
  <c r="K38" i="54" s="1"/>
  <c r="J39" i="54"/>
  <c r="K39" i="54" s="1"/>
  <c r="J40" i="54"/>
  <c r="K40" i="54" s="1"/>
  <c r="J41" i="54"/>
  <c r="K41" i="54" s="1"/>
  <c r="J43" i="54"/>
  <c r="K43" i="54" s="1"/>
  <c r="J44" i="54"/>
  <c r="K44" i="54" s="1"/>
  <c r="J45" i="54"/>
  <c r="K45" i="54" s="1"/>
  <c r="J21" i="54"/>
  <c r="K21" i="54" s="1"/>
  <c r="J22" i="54"/>
  <c r="K22" i="54" s="1"/>
  <c r="J23" i="54"/>
  <c r="K23" i="54" s="1"/>
  <c r="J24" i="54"/>
  <c r="K24" i="54" s="1"/>
  <c r="J25" i="54"/>
  <c r="K25" i="54" s="1"/>
  <c r="J26" i="54"/>
  <c r="K26" i="54" s="1"/>
  <c r="J7" i="54"/>
  <c r="K7" i="54" s="1"/>
  <c r="J8" i="54"/>
  <c r="K8" i="54" s="1"/>
  <c r="J9" i="54"/>
  <c r="K9" i="54" s="1"/>
  <c r="J10" i="54"/>
  <c r="K10" i="54" s="1"/>
  <c r="J11" i="54"/>
  <c r="K11" i="54" s="1"/>
  <c r="J12" i="54"/>
  <c r="K12" i="54" s="1"/>
  <c r="J13" i="54"/>
  <c r="K13" i="54" s="1"/>
  <c r="J14" i="54"/>
  <c r="K14" i="54" s="1"/>
  <c r="J6" i="54"/>
  <c r="J20" i="54" l="1"/>
  <c r="K20" i="54" l="1"/>
  <c r="I13" i="49"/>
  <c r="J13" i="49" s="1"/>
  <c r="K6" i="54"/>
  <c r="I12" i="49" l="1"/>
  <c r="J27" i="38"/>
  <c r="J53" i="38" s="1"/>
  <c r="J27" i="28"/>
  <c r="J53" i="28" s="1"/>
  <c r="C18" i="51" l="1"/>
  <c r="C14" i="51"/>
  <c r="C4" i="49" l="1"/>
  <c r="G4" i="35" s="1"/>
  <c r="E3" i="51"/>
  <c r="H3" i="51" s="1"/>
  <c r="E6" i="51"/>
  <c r="E7" i="51"/>
  <c r="H7" i="51" s="1"/>
  <c r="I6" i="51"/>
  <c r="G6" i="51"/>
  <c r="G9" i="51" s="1"/>
  <c r="H6" i="51" l="1"/>
  <c r="F17" i="51"/>
  <c r="E4" i="49"/>
  <c r="F14" i="51"/>
  <c r="F18" i="51"/>
  <c r="E18" i="51"/>
  <c r="C8" i="49" s="1"/>
  <c r="E8" i="49" s="1"/>
  <c r="H8" i="51" l="1"/>
  <c r="H9" i="51" s="1"/>
  <c r="G8" i="35"/>
  <c r="J12" i="49" l="1"/>
  <c r="J14" i="49" s="1"/>
  <c r="I115" i="45" l="1"/>
  <c r="I113" i="45"/>
  <c r="J94" i="45"/>
  <c r="I83" i="45"/>
  <c r="I82" i="45"/>
  <c r="I81" i="45"/>
  <c r="I80" i="45"/>
  <c r="I79" i="45"/>
  <c r="I72" i="45"/>
  <c r="I70" i="45"/>
  <c r="I71" i="45" s="1"/>
  <c r="J55" i="45"/>
  <c r="J54" i="45"/>
  <c r="J53" i="45"/>
  <c r="I50" i="45"/>
  <c r="I73" i="45" s="1"/>
  <c r="I39" i="45"/>
  <c r="J32" i="45"/>
  <c r="J33" i="45" s="1"/>
  <c r="J33" i="38"/>
  <c r="I115" i="38"/>
  <c r="I113" i="38"/>
  <c r="J94" i="38"/>
  <c r="I83" i="38"/>
  <c r="I82" i="38"/>
  <c r="I81" i="38"/>
  <c r="I80" i="38"/>
  <c r="I79" i="38"/>
  <c r="I72" i="38"/>
  <c r="I70" i="38"/>
  <c r="I71" i="38" s="1"/>
  <c r="J55" i="38"/>
  <c r="I50" i="38"/>
  <c r="I39" i="38"/>
  <c r="J73" i="45" l="1"/>
  <c r="J59" i="38"/>
  <c r="J65" i="38" s="1"/>
  <c r="J59" i="45"/>
  <c r="J65" i="45" s="1"/>
  <c r="I85" i="45"/>
  <c r="I73" i="38"/>
  <c r="J73" i="38" s="1"/>
  <c r="I85" i="38"/>
  <c r="I75" i="45"/>
  <c r="J71" i="45"/>
  <c r="J126" i="45"/>
  <c r="J81" i="45"/>
  <c r="J74" i="45"/>
  <c r="J80" i="45"/>
  <c r="J84" i="45"/>
  <c r="J72" i="45"/>
  <c r="J83" i="45"/>
  <c r="J79" i="45"/>
  <c r="J37" i="45"/>
  <c r="J38" i="45"/>
  <c r="J82" i="45"/>
  <c r="J70" i="45"/>
  <c r="J126" i="38"/>
  <c r="J37" i="38"/>
  <c r="J38" i="38"/>
  <c r="J82" i="38"/>
  <c r="J72" i="38"/>
  <c r="J71" i="38"/>
  <c r="I75" i="38"/>
  <c r="J83" i="38"/>
  <c r="J84" i="38"/>
  <c r="J80" i="38"/>
  <c r="J79" i="38"/>
  <c r="J74" i="38"/>
  <c r="J81" i="38"/>
  <c r="J70" i="38"/>
  <c r="J75" i="45" l="1"/>
  <c r="J128" i="45" s="1"/>
  <c r="J85" i="45"/>
  <c r="J93" i="45" s="1"/>
  <c r="J95" i="45" s="1"/>
  <c r="J129" i="45" s="1"/>
  <c r="J39" i="45"/>
  <c r="J85" i="38"/>
  <c r="J93" i="38" s="1"/>
  <c r="J95" i="38" s="1"/>
  <c r="J129" i="38" s="1"/>
  <c r="J75" i="38"/>
  <c r="J128" i="38" s="1"/>
  <c r="J39" i="38"/>
  <c r="J63" i="45" l="1"/>
  <c r="J47" i="45"/>
  <c r="J44" i="45"/>
  <c r="J48" i="45"/>
  <c r="J45" i="45"/>
  <c r="J42" i="45"/>
  <c r="J49" i="45"/>
  <c r="J43" i="45"/>
  <c r="J46" i="45"/>
  <c r="J45" i="38"/>
  <c r="J46" i="38"/>
  <c r="J42" i="38"/>
  <c r="J43" i="38"/>
  <c r="J44" i="38"/>
  <c r="J63" i="38"/>
  <c r="J47" i="38"/>
  <c r="J49" i="38"/>
  <c r="J48" i="38"/>
  <c r="J50" i="45" l="1"/>
  <c r="J64" i="45" s="1"/>
  <c r="J66" i="45" s="1"/>
  <c r="J50" i="38"/>
  <c r="J64" i="38" s="1"/>
  <c r="J66" i="38" s="1"/>
  <c r="J127" i="45" l="1"/>
  <c r="J99" i="45"/>
  <c r="J100" i="45" s="1"/>
  <c r="J99" i="38"/>
  <c r="J100" i="38" s="1"/>
  <c r="J127" i="38"/>
  <c r="J103" i="45" l="1"/>
  <c r="J103" i="38"/>
  <c r="J130" i="38" s="1"/>
  <c r="J131" i="38" s="1"/>
  <c r="J107" i="38" l="1"/>
  <c r="J108" i="38" s="1"/>
  <c r="J111" i="38" s="1"/>
  <c r="J130" i="45"/>
  <c r="J131" i="45" s="1"/>
  <c r="J112" i="38" l="1"/>
  <c r="J110" i="38"/>
  <c r="J107" i="45"/>
  <c r="J118" i="38"/>
  <c r="J120" i="38" s="1"/>
  <c r="J122" i="38" s="1"/>
  <c r="I70" i="28"/>
  <c r="J108" i="45" l="1"/>
  <c r="J111" i="45" s="1"/>
  <c r="J113" i="38"/>
  <c r="J132" i="38" s="1"/>
  <c r="I115" i="28"/>
  <c r="I113" i="28"/>
  <c r="J118" i="45" l="1"/>
  <c r="J120" i="45" s="1"/>
  <c r="J122" i="45" s="1"/>
  <c r="J112" i="45"/>
  <c r="J133" i="38"/>
  <c r="J110" i="45"/>
  <c r="J113" i="45" s="1"/>
  <c r="J132" i="45" s="1"/>
  <c r="J133" i="45" l="1"/>
  <c r="C136" i="38"/>
  <c r="I81" i="28"/>
  <c r="I80" i="28"/>
  <c r="I82" i="28"/>
  <c r="I83" i="28"/>
  <c r="I79" i="28"/>
  <c r="I72" i="28"/>
  <c r="I71" i="28"/>
  <c r="I50" i="28"/>
  <c r="C136" i="45" l="1"/>
  <c r="I73" i="28"/>
  <c r="I85" i="28"/>
  <c r="I39" i="28" l="1"/>
  <c r="I75" i="28" l="1"/>
  <c r="J55" i="28"/>
  <c r="J94" i="28" l="1"/>
  <c r="J59" i="28"/>
  <c r="J65" i="28" s="1"/>
  <c r="J33" i="28" l="1"/>
  <c r="J79" i="28" l="1"/>
  <c r="J70" i="28"/>
  <c r="J38" i="28"/>
  <c r="J37" i="28"/>
  <c r="J126" i="28"/>
  <c r="J80" i="28"/>
  <c r="J84" i="28"/>
  <c r="J82" i="28"/>
  <c r="J83" i="28"/>
  <c r="J74" i="28"/>
  <c r="J71" i="28"/>
  <c r="J81" i="28"/>
  <c r="J73" i="28"/>
  <c r="J72" i="28"/>
  <c r="J85" i="28" l="1"/>
  <c r="J93" i="28" s="1"/>
  <c r="J95" i="28" s="1"/>
  <c r="J129" i="28" s="1"/>
  <c r="J75" i="28"/>
  <c r="J128" i="28" s="1"/>
  <c r="J39" i="28"/>
  <c r="J44" i="28" l="1"/>
  <c r="J43" i="28"/>
  <c r="J47" i="28"/>
  <c r="J46" i="28"/>
  <c r="J45" i="28"/>
  <c r="J63" i="28"/>
  <c r="J49" i="28"/>
  <c r="J48" i="28"/>
  <c r="J50" i="28" l="1"/>
  <c r="J64" i="28" s="1"/>
  <c r="J66" i="28" s="1"/>
  <c r="J99" i="28" l="1"/>
  <c r="J100" i="28" s="1"/>
  <c r="J127" i="28"/>
  <c r="J103" i="28" l="1"/>
  <c r="J130" i="28" l="1"/>
  <c r="J131" i="28" s="1"/>
  <c r="J107" i="28" l="1"/>
  <c r="J108" i="28" l="1"/>
  <c r="J110" i="28" s="1"/>
  <c r="J112" i="28" l="1"/>
  <c r="J111" i="28"/>
  <c r="J118" i="28"/>
  <c r="J120" i="28" s="1"/>
  <c r="J122" i="28" s="1"/>
  <c r="J113" i="28" l="1"/>
  <c r="J132" i="28" s="1"/>
  <c r="J133" i="28" s="1"/>
  <c r="F5" i="49" l="1"/>
  <c r="G5" i="49" s="1"/>
  <c r="F6" i="49"/>
  <c r="G6" i="49" s="1"/>
  <c r="F4" i="49"/>
  <c r="L133" i="38"/>
  <c r="F8" i="49"/>
  <c r="G8" i="49" s="1"/>
  <c r="F7" i="49"/>
  <c r="G7" i="49" s="1"/>
  <c r="I10" i="49"/>
  <c r="J10" i="49" s="1"/>
  <c r="C136" i="28"/>
  <c r="I7" i="49" l="1"/>
  <c r="J7" i="49" s="1"/>
  <c r="M8" i="49"/>
  <c r="H8" i="35" s="1"/>
  <c r="I8" i="49"/>
  <c r="J8" i="49" s="1"/>
  <c r="M6" i="49"/>
  <c r="I6" i="49"/>
  <c r="J6" i="49" s="1"/>
  <c r="M5" i="49"/>
  <c r="I5" i="49"/>
  <c r="J5" i="49" s="1"/>
  <c r="H4" i="35" l="1"/>
  <c r="J4" i="49"/>
  <c r="M4" i="49"/>
  <c r="J9" i="49" l="1"/>
  <c r="J11" i="49" s="1"/>
  <c r="J15" i="49" s="1"/>
  <c r="I11" i="49" l="1"/>
</calcChain>
</file>

<file path=xl/sharedStrings.xml><?xml version="1.0" encoding="utf-8"?>
<sst xmlns="http://schemas.openxmlformats.org/spreadsheetml/2006/main" count="997" uniqueCount="309">
  <si>
    <t>PLANILHA DE CUSTOS E FORMAÇÃO DE PREÇOS</t>
  </si>
  <si>
    <t>A</t>
  </si>
  <si>
    <t>B</t>
  </si>
  <si>
    <t>C</t>
  </si>
  <si>
    <t>D</t>
  </si>
  <si>
    <t>Identificação do Serviço</t>
  </si>
  <si>
    <t>Tipo de Serviço</t>
  </si>
  <si>
    <t>Unidade de Medida</t>
  </si>
  <si>
    <t>Servente</t>
  </si>
  <si>
    <t>Tipo de serviço (mesmo serviço com características distintas)</t>
  </si>
  <si>
    <t>Categoria profissional (vinculada à execução contratual)</t>
  </si>
  <si>
    <t>Data base da categoria (dia/mês/ano)</t>
  </si>
  <si>
    <t>Salário Base</t>
  </si>
  <si>
    <t>E</t>
  </si>
  <si>
    <t>F</t>
  </si>
  <si>
    <t>G</t>
  </si>
  <si>
    <t>H</t>
  </si>
  <si>
    <t>Outros (especificar)</t>
  </si>
  <si>
    <t>Benefícios Mensais e Diários</t>
  </si>
  <si>
    <t>4.1</t>
  </si>
  <si>
    <t>%</t>
  </si>
  <si>
    <t>4.2</t>
  </si>
  <si>
    <t>Posto</t>
  </si>
  <si>
    <t>DESCRIÇÃO/ESPECIFICAÇÃO</t>
  </si>
  <si>
    <t>Valor Máximo Mensal</t>
  </si>
  <si>
    <t>Valor Máximo Anual</t>
  </si>
  <si>
    <t>IN 05/2017/SEGES/MPDG - ANEXO VII-D</t>
  </si>
  <si>
    <t>Discriminação dos Serviços</t>
  </si>
  <si>
    <t>Data de apresentação da proposta</t>
  </si>
  <si>
    <t>Município</t>
  </si>
  <si>
    <t>Ano do Acordo, Convenção ou Dissídio Coletivo</t>
  </si>
  <si>
    <t>Nº de meses de execução contratual</t>
  </si>
  <si>
    <t>Quantidade total a contratar (em função da unidade de medida)</t>
  </si>
  <si>
    <t>Dados para composição dos custos referentes à mão-de-obra</t>
  </si>
  <si>
    <t>Classificação Brasileira de Ocupações (CBO)</t>
  </si>
  <si>
    <t>Salário Nominativo da Categoria Profissional</t>
  </si>
  <si>
    <t>MÓDULO 1 - COMPOSIÇÃO DA REMUNERAÇÃO</t>
  </si>
  <si>
    <t>COMPOSIÇÃO DA REMUNERAÇÃO</t>
  </si>
  <si>
    <t>VALOR (R$)</t>
  </si>
  <si>
    <t xml:space="preserve">Adicional Periculosidade </t>
  </si>
  <si>
    <t>Adicional Insalubridade</t>
  </si>
  <si>
    <t>Adicional Noturno</t>
  </si>
  <si>
    <t>Adicional de Hora Noturna Reduzida</t>
  </si>
  <si>
    <t>TOTAL DO MÓDULO 1</t>
  </si>
  <si>
    <t>MÓDULO 2 – ENCARGOS E BENEFÍCIOS ANUAIS, MENSAIS E DIÁRIOS</t>
  </si>
  <si>
    <t>Submódulo 2.1 - 13º Salário, Férias e Adicional de Férias</t>
  </si>
  <si>
    <t>13 (Décimo-terceiro) salário (Percentual obrigatório conforme Anexo XII - IN 5/17)</t>
  </si>
  <si>
    <t>Férias e Adicional de Férias  (Percentual obrigatório conforme Anexo XII - IN 5/17)</t>
  </si>
  <si>
    <t>TOTAL SUBMÓDULO 2.1</t>
  </si>
  <si>
    <t>Submódulo 2.2 - GPS, FGTS e Outras Contribuições</t>
  </si>
  <si>
    <t xml:space="preserve">INSS </t>
  </si>
  <si>
    <t xml:space="preserve">Salário Educação </t>
  </si>
  <si>
    <t>SAT (Seguro Acidente de Trabalho)</t>
  </si>
  <si>
    <t>SESC ou SESI</t>
  </si>
  <si>
    <t xml:space="preserve">SENAI - SENAC </t>
  </si>
  <si>
    <t xml:space="preserve">SEBRAE </t>
  </si>
  <si>
    <t xml:space="preserve">INCRA </t>
  </si>
  <si>
    <t xml:space="preserve">FGTS </t>
  </si>
  <si>
    <t>TOTAL SUBMÓDULO 2.2</t>
  </si>
  <si>
    <t>Submódulo 2.3 - Benefícios Mensais e Diários</t>
  </si>
  <si>
    <t>-</t>
  </si>
  <si>
    <t>Benefício Social Familiar e Benefício Natalidade (R$ 9,74 + R$ 3,93)</t>
  </si>
  <si>
    <t>Seguro de Vida</t>
  </si>
  <si>
    <t>TOTAL SUBMÓDULO 2.3</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</si>
  <si>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</si>
  <si>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</si>
  <si>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</si>
  <si>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</si>
  <si>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</si>
  <si>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</si>
  <si>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</si>
  <si>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TOTAL DO MÓDULO 2</t>
  </si>
  <si>
    <t>MÓDULO 3 – PROVISÃO PARA RESCISÃO</t>
  </si>
  <si>
    <t>PROVISÃO PARA RESCISÃO</t>
  </si>
  <si>
    <t>Aviso Prévio Indenizado</t>
  </si>
  <si>
    <t>Incidência do FGTS sobre Aviso Prévio Indenizado</t>
  </si>
  <si>
    <t xml:space="preserve">Aviso Prévio Trabalhado </t>
  </si>
  <si>
    <t>Incidência de GPS, FGTS e outras contribuições sobre o Aviso Prévio Trabalhado</t>
  </si>
  <si>
    <t>TOTAL DO MÓDULO 3</t>
  </si>
  <si>
    <t>MÓDULO 4 – CUSTO DE REPOSIÇÃO DO PROFISSIONAL AUSENTE</t>
  </si>
  <si>
    <t>Submódulo 4.1 - Substituto nas 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</si>
  <si>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</si>
  <si>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</si>
  <si>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</si>
  <si>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</si>
  <si>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</si>
  <si>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(especificar)</t>
  </si>
  <si>
    <t>TOTAL SUBMÓDULO 4.1</t>
  </si>
  <si>
    <t>Submódulo 4.2 - Intrajornada</t>
  </si>
  <si>
    <t xml:space="preserve"> Substituto na cobertura de Intervalo para repouso ou alimentação</t>
  </si>
  <si>
    <t>TOTAL SUBMÓDULO 4.2</t>
  </si>
  <si>
    <t>QUADRO-RESUMO DO MÓDULO 4 - CUSTO DE REPOSIÇÃO DO PROFISSIONAL AUSENTE</t>
  </si>
  <si>
    <t>Módulo 4 - Custo de Reposição do Profissional Ausente</t>
  </si>
  <si>
    <t>Substituto nas Ausências Legais</t>
  </si>
  <si>
    <t>Substituto na Intrajornada</t>
  </si>
  <si>
    <t>TOTAL DO MÓDULO 4</t>
  </si>
  <si>
    <t>MÓDULO 5 – INSUMOS DIVERSOS</t>
  </si>
  <si>
    <t>INSUMOS DIVERSOS</t>
  </si>
  <si>
    <t>Utensílios</t>
  </si>
  <si>
    <t>TOTAL DO MÓDULO 5</t>
  </si>
  <si>
    <t>MÓDULO 6 – CUSTOS INDIRETOS, TRIBUTOS E LUCRO</t>
  </si>
  <si>
    <t>CUSTOS INDIRETOS, TRIBUTOS E LUCRO</t>
  </si>
  <si>
    <t>Custos Indiretos</t>
  </si>
  <si>
    <t>Lucro</t>
  </si>
  <si>
    <t>TRIBUTOS</t>
  </si>
  <si>
    <t>C.1</t>
  </si>
  <si>
    <t>PIS (Lucro Presumido)</t>
  </si>
  <si>
    <t>C.2</t>
  </si>
  <si>
    <t>COFINS (Lucro Presumido)</t>
  </si>
  <si>
    <t>C.3</t>
  </si>
  <si>
    <t>ISS</t>
  </si>
  <si>
    <t>TOTAL DO MÓDULO 6</t>
  </si>
  <si>
    <t>a)</t>
  </si>
  <si>
    <t>Tributos % = To = .............................................................</t>
  </si>
  <si>
    <t>b)</t>
  </si>
  <si>
    <t>(Total dos Módulos 1, 2, 3, 4 e 5+ Custos indiretos + lucro)= Po = ...................................</t>
  </si>
  <si>
    <t>c)</t>
  </si>
  <si>
    <t>Po / (1 - To) = P1 = ..............................................................................</t>
  </si>
  <si>
    <t>Valor dos Tributos = P1 - Po</t>
  </si>
  <si>
    <t>QUADRO RESUMO DO CUSTO POR EMPREGADO</t>
  </si>
  <si>
    <t>Mão-de-Obra vinculada à execução contratual (valor por empregado)</t>
  </si>
  <si>
    <t>Subtotal (A + B + C + D + E)</t>
  </si>
  <si>
    <t>PREÇO TOTAL POR EMPREGADO</t>
  </si>
  <si>
    <t>5143-20</t>
  </si>
  <si>
    <t xml:space="preserve">Insumo dos Uniformes </t>
  </si>
  <si>
    <t>Insumo de Materiais</t>
  </si>
  <si>
    <t>Produtividade por trabalhador</t>
  </si>
  <si>
    <t>Subtotal</t>
  </si>
  <si>
    <t>Área medida m²</t>
  </si>
  <si>
    <t>FATOR K</t>
  </si>
  <si>
    <t>Multa sobre FGTS e contribuição social sobre o aviso prévio indenizado e sobre o aviso prévio trabalhado  (Alterado conforme Lei  nº  13.932/2019 )</t>
  </si>
  <si>
    <t xml:space="preserve">Auxílio-Refeição/Alimentação e Cesta Básica [(R$ 15,93 - R$ 1,11) x 22 + R$ 110,94]  </t>
  </si>
  <si>
    <t>Auxílio Saúde</t>
  </si>
  <si>
    <t>PREGÃO N.º ____/2020</t>
  </si>
  <si>
    <t>Nº do Processo 00066.019420/2020-57</t>
  </si>
  <si>
    <t>SÃO PAULO</t>
  </si>
  <si>
    <t>Asseio, conservação e limpeza</t>
  </si>
  <si>
    <t>Asseio, limpeza e conservação predial</t>
  </si>
  <si>
    <t>Transporte (R$ 4,83 x 2 x 22 - 6% x SalBase)</t>
  </si>
  <si>
    <t>Categoria profissional: Servente</t>
  </si>
  <si>
    <t>Memória de Cálculo</t>
  </si>
  <si>
    <t>Fundamento</t>
  </si>
  <si>
    <t>Art. 7º, VIII, CF/88- Dec. 57.115/65.
INSTRUÇÃO NORMATIVA Nº 5, DE 26 DE MAIO DE 2017 - ANEXO XII</t>
  </si>
  <si>
    <t>9,075 % + 3,025 %</t>
  </si>
  <si>
    <t>Art. 7º, XVII, CF/88
INSTRUÇÃO NORMATIVA Nº 5, DE 26 DE MAIO DE 2017 - ANEXO XII</t>
  </si>
  <si>
    <t>Art. 22, Inciso I, da Lei nº 8.212/91.</t>
  </si>
  <si>
    <t>Art.    3º,    Inciso    I,    Decreto    n.º 87.043/82.</t>
  </si>
  <si>
    <t>RAT X FAP</t>
  </si>
  <si>
    <t>Lei n.º 8.212/91  e Decreto 6.957/2009</t>
  </si>
  <si>
    <t>Decreto n.º 2.318/86.</t>
  </si>
  <si>
    <t>Lei n.º 7.787/89 e DL n.º 1.146/70.</t>
  </si>
  <si>
    <t xml:space="preserve">Art.  8º,  Lei  n.º  8.029/90  e  Lei  n.º 8.154/90. </t>
  </si>
  <si>
    <t>Art. 15, Lei nº 8.030/90 e Art. 7º, III, CF.</t>
  </si>
  <si>
    <t>[(1/12)X5]=0,417%</t>
  </si>
  <si>
    <t>Art. 7º, XXI, CF/88, 477, 487 e 491 CLT. Estimativa de que 5% dos empregados serão substítuidos durante o ano.</t>
  </si>
  <si>
    <t>(8% X 0,42%) = 0,03%</t>
  </si>
  <si>
    <t>Leis nºs 8.036/90 e 9.491/97.</t>
  </si>
  <si>
    <t>{[(7/30)/12]x100} = 1,94%</t>
  </si>
  <si>
    <t>Art. 7º, XXI, CF/88, 477, 487 e 491 CLT. Redução de 7 dias ou 2 horas por dia.</t>
  </si>
  <si>
    <t>[(Total submódulo 2.2 x 1,94%) x 100]</t>
  </si>
  <si>
    <t>Retenção de 4% - Conta Vinculada</t>
  </si>
  <si>
    <t>Leis nºs 8.036/90, 9.491/97 e 13.932/2019.
INSTRUÇÃO NORMATIVA Nº 5, DE 26 DE MAIO DE 2017 - ANEXO XII.</t>
  </si>
  <si>
    <t> (1/12/12) + (1/12/12) + (1/12/12/3)</t>
  </si>
  <si>
    <t>Art. 7º, VIII, CF/88- Dec. 57.115/65.
Férias, 13º e Adicional de 1/3</t>
  </si>
  <si>
    <t>{[(1/30)/12]x100} = 0,277%</t>
  </si>
  <si>
    <t>Art. 473 da CLT. Estimativa de 1 ausênia por ano.</t>
  </si>
  <si>
    <t>{[(5/30)/12]X0,015}X100=0,02%</t>
  </si>
  <si>
    <t>(Art. 7º, XIX, CFRB c/c art. 10, §1º. 
Estimativa de 1,5% dos funcionários usufruindo 5 dias da licença por ano.</t>
  </si>
  <si>
    <t>{[(15/30)/12]x0,08}x100= 0,333%</t>
  </si>
  <si>
    <t>Art. 19 a 23 da Lei 8.213/91, ART. 473, CLT .
Estimativa de 1 licença de 15 dias por ano para 8% dos funcionários.</t>
  </si>
  <si>
    <t>[(4 x 8,33%) + (4 x 2,78%) / 12 x 2% = 0,07%</t>
  </si>
  <si>
    <t>Art. 7º, VIII, CF/88, Art. 392, CLT e Lei 11.770/2008. 
Estimativa de 2% dos empregados usufruindo de 4 meses de liceça por ano.</t>
  </si>
  <si>
    <t>Referência Acórdão 2622/2013 do TCU. Aplica-se a alíquota do CI sobre o total dos custos diretos (somatório dos módulos 1 a 5)</t>
  </si>
  <si>
    <t>Referência Acórdão 2622/2013 do TCU. Aplica-se a alíquota do lucro sobre o somatório entre Custos Diretos e Custos Indiretos</t>
  </si>
  <si>
    <t>(CD + CI + Lucro)/(1 – total de Impostos)) x Alíquota do PIS</t>
  </si>
  <si>
    <t>(CD + CI + Lucro)/(1 – total de Impostos)) x Alíquota do COFINS</t>
  </si>
  <si>
    <t>(CD + CI + Lucro)/(1 – total de Impostos)) x Alíquota do ISSQN.</t>
  </si>
  <si>
    <t>2020 (SP000793/2020)</t>
  </si>
  <si>
    <t>CCT 2020/2021 - Cláusula 3ª.</t>
  </si>
  <si>
    <t>Lei Federal nº 7.418/1985, Decreto nº 95.247/1987 e Portaria SMT 147/2019.</t>
  </si>
  <si>
    <t>(VT x 22 dias x 2)- 6% s/ salário</t>
  </si>
  <si>
    <t>(VA x 22 dias) + Cesta básica</t>
  </si>
  <si>
    <t>CCT 2020/2021 - Cláusula 13ª e 14ª.</t>
  </si>
  <si>
    <t>CCT 2020/2021 - Cláusula 16ª.</t>
  </si>
  <si>
    <t>CCT 2020/2021 - Cláusula 19ª.</t>
  </si>
  <si>
    <t>Caderno Técnico SP 2019</t>
  </si>
  <si>
    <t>Outros (Adicional de acúmulo de função - Copeiragem)</t>
  </si>
  <si>
    <t>CCT 2020/2021 - Cláusula 11ª.</t>
  </si>
  <si>
    <t>Índice de Produtividade</t>
  </si>
  <si>
    <t xml:space="preserve">Memória de Cálculo - Índice de Produtividade </t>
  </si>
  <si>
    <t>Preço Homem/mês R$</t>
  </si>
  <si>
    <r>
      <t>Valor do m</t>
    </r>
    <r>
      <rPr>
        <b/>
        <vertAlign val="superscript"/>
        <sz val="11"/>
        <color theme="1"/>
        <rFont val="Calibri"/>
        <family val="2"/>
        <scheme val="minor"/>
      </rPr>
      <t>2</t>
    </r>
  </si>
  <si>
    <t>PCFP</t>
  </si>
  <si>
    <r>
      <t>VALOR POR M</t>
    </r>
    <r>
      <rPr>
        <b/>
        <vertAlign val="superscript"/>
        <sz val="14"/>
        <color theme="1"/>
        <rFont val="Calibri"/>
        <family val="2"/>
        <scheme val="minor"/>
      </rPr>
      <t>2</t>
    </r>
  </si>
  <si>
    <t>Valor do Serviço de Limpeza</t>
  </si>
  <si>
    <t>VALOR TOTAL DOS SERVIÇOS</t>
  </si>
  <si>
    <t>VALOR TOTAL DO CONTRATO</t>
  </si>
  <si>
    <t>VALOR TOTAL DOS MATERIAIS E EQUIPAMENTOS</t>
  </si>
  <si>
    <t>Categoria profissional: Servente Líder de Equipe com Função Copeiro</t>
  </si>
  <si>
    <t>Categoria profissional: Servente com Função Copeiro</t>
  </si>
  <si>
    <t>Servente - Líder de Equipe</t>
  </si>
  <si>
    <t>ÁREA INTERNA - Pisos frios</t>
  </si>
  <si>
    <t>ÁREA INTERNA - Banheiros</t>
  </si>
  <si>
    <t>FACHADA ENVIDRAÇADA</t>
  </si>
  <si>
    <t>Adicional Acúmulo de Função de Copeiro(a) (Diferença entre os custos do Servente+Copeiro e Copeiro)</t>
  </si>
  <si>
    <t>ESQUADRIA EXTERNA</t>
  </si>
  <si>
    <t>ÁREA</t>
  </si>
  <si>
    <t>INTERNA</t>
  </si>
  <si>
    <t>EXTERNA</t>
  </si>
  <si>
    <t>PRODUTIVIDADE</t>
  </si>
  <si>
    <t>MÁXIMO</t>
  </si>
  <si>
    <t>MÍNIMO</t>
  </si>
  <si>
    <t>VALORES LIMITES</t>
  </si>
  <si>
    <t>Produtividade mínima por trabalhador (IN)</t>
  </si>
  <si>
    <t>Produtividade máxima por trabalhador (IN)</t>
  </si>
  <si>
    <t>Produtividade média por trabalhador (IN)</t>
  </si>
  <si>
    <t>Área Total do imóvel convertida para a produtividade de 800m²</t>
  </si>
  <si>
    <t>Quantidade de serventes</t>
  </si>
  <si>
    <t>HORAS DIÁRIAS COPEIRAGEM</t>
  </si>
  <si>
    <t>PRODUTIVIDADE LIMPEZA</t>
  </si>
  <si>
    <t>Produtividade ajustada por trabalhador - 3 serventes</t>
  </si>
  <si>
    <t>HORAS DIÁRIAS LIMPEZA (44H/SEMANAIS - 3 SERVENTES)</t>
  </si>
  <si>
    <t>FATOR DE AJUSTE</t>
  </si>
  <si>
    <t>PRODUTIVIDADE LIMPEZA (3 SERVENTES) CONSIDERANDO COPEIRAGEM</t>
  </si>
  <si>
    <r>
      <t>Área convertida para a produtividade de 800m</t>
    </r>
    <r>
      <rPr>
        <b/>
        <vertAlign val="superscript"/>
        <sz val="10"/>
        <color theme="1"/>
        <rFont val="Calibri"/>
        <family val="2"/>
        <scheme val="minor"/>
      </rPr>
      <t>2</t>
    </r>
    <r>
      <rPr>
        <b/>
        <sz val="10"/>
        <color theme="1"/>
        <rFont val="Calibri"/>
        <family val="2"/>
        <scheme val="minor"/>
      </rPr>
      <t xml:space="preserve"> (ponderada pela produtividade mínima)</t>
    </r>
  </si>
  <si>
    <r>
      <t>Área convertida para a produtividade de 800m</t>
    </r>
    <r>
      <rPr>
        <b/>
        <vertAlign val="superscript"/>
        <sz val="10"/>
        <color theme="1"/>
        <rFont val="Calibri"/>
        <family val="2"/>
        <scheme val="minor"/>
      </rPr>
      <t>2</t>
    </r>
    <r>
      <rPr>
        <b/>
        <sz val="10"/>
        <color theme="1"/>
        <rFont val="Calibri"/>
        <family val="2"/>
        <scheme val="minor"/>
      </rPr>
      <t xml:space="preserve"> (ponderada pela produtividade média)</t>
    </r>
  </si>
  <si>
    <r>
      <t>Área convertida para a produtividade de 800m</t>
    </r>
    <r>
      <rPr>
        <b/>
        <vertAlign val="superscript"/>
        <sz val="10"/>
        <color theme="1"/>
        <rFont val="Calibri"/>
        <family val="2"/>
        <scheme val="minor"/>
      </rPr>
      <t>2</t>
    </r>
    <r>
      <rPr>
        <b/>
        <sz val="10"/>
        <color theme="1"/>
        <rFont val="Calibri"/>
        <family val="2"/>
        <scheme val="minor"/>
      </rPr>
      <t xml:space="preserve"> (ponderada pela produtividade máxima)</t>
    </r>
  </si>
  <si>
    <t>ITEM</t>
  </si>
  <si>
    <t>DESCRIÇÃO DETALHADA</t>
  </si>
  <si>
    <t>UNIDADE</t>
  </si>
  <si>
    <t>QTD. MENSAL</t>
  </si>
  <si>
    <t>R$  UNIT.</t>
  </si>
  <si>
    <t>R$ MENSAL</t>
  </si>
  <si>
    <t>R$ ANUAL</t>
  </si>
  <si>
    <t>AÇÚCAR REFINADO - EMBALAGEM DE 1KG</t>
  </si>
  <si>
    <t>UN</t>
  </si>
  <si>
    <t>ADOÇANTE LÍQUIDO, TIPO SACARINA - FRASCO DE 100ML</t>
  </si>
  <si>
    <t xml:space="preserve">UN </t>
  </si>
  <si>
    <t>CAFÉ TORRADO E MOÍDO DE BOA QUALIDADE - EMBALAGEM DE 500G</t>
  </si>
  <si>
    <t>CHÁ MATE - EMBALAGEM DE 250G</t>
  </si>
  <si>
    <t>COADOR PARA CAFETEIRA ELÉTRICA INDUSTRIAL Nº 03</t>
  </si>
  <si>
    <t>COPO DESCARTÁVEL PARA ÁGUA, COM CAPACIDADE PARA 200ML - CENTO</t>
  </si>
  <si>
    <t>COPO DESCARTÁVEL PARA CAFÉ, COM CAPACIDADE PARA 50ML - CENTO</t>
  </si>
  <si>
    <t>ELEMENTO FILTRANTE COMPATÍVEL COM PURIFICADOR DE ÁGUA - FR600 IBBL</t>
  </si>
  <si>
    <t>GUARDANAPO DE PAPEL NÃO RECICLÁVEL DE 1ª QUALIDADE - MEDINDO APROXIMADAMENTE 30 x 33CM - PACOTE COM 50 UNIDADES</t>
  </si>
  <si>
    <t>PALHETA PARA MEXER CAFÉ - PACOTE COM 500 UNIDADES</t>
  </si>
  <si>
    <t xml:space="preserve">QTD. </t>
  </si>
  <si>
    <t xml:space="preserve">R$ TOTAL </t>
  </si>
  <si>
    <t>VIDA ÚTIL (meses)</t>
  </si>
  <si>
    <t>COPOS DE ÁGUA DE VIDRO TRANSPARENTE - 300ML</t>
  </si>
  <si>
    <t>GARRAFA TÉRMICA DE AÇO INOXIDÁVEL, COM SISTEMA DE PRESSÃO - 1,8/1,9 LITRO</t>
  </si>
  <si>
    <t>JARRA DE AÇO INOXIDÁVEL - 2 LITROS</t>
  </si>
  <si>
    <t>PORTA-COPO DE AÇO INOXIDÁVEL (BASE PARA COPOS)</t>
  </si>
  <si>
    <t>XÍCARA DE CAFÉ COM PIRES DE PORCELANA NA COR BRANCA</t>
  </si>
  <si>
    <t>XÍCARA DE CHÁ COM PIRES DE PORCELANA NA COR BRANCA</t>
  </si>
  <si>
    <t xml:space="preserve"> TOTAL  UTENSÍLIOS DE COPEIRAGEM</t>
  </si>
  <si>
    <t xml:space="preserve"> TOTAL MATERIAIS DE HIGIENE E LIMPEZA</t>
  </si>
  <si>
    <t>MÍNIMA</t>
  </si>
  <si>
    <t>MÁXIMA</t>
  </si>
  <si>
    <t>IN 05/2017</t>
  </si>
  <si>
    <t>VALOR</t>
  </si>
  <si>
    <t>PROPOSTA DE CONTRATAÇÃO</t>
  </si>
  <si>
    <t>REFIL</t>
  </si>
  <si>
    <t>CX C/ 24 UN C/ 25 SAQUINHOS CADA</t>
  </si>
  <si>
    <t>SÃO JOSÉ DOS CAMPOS</t>
  </si>
  <si>
    <t>CCT 2021/2021 - Cláusula 3ª.</t>
  </si>
  <si>
    <t>Transporte (R$ 5,2 x 2 x 22 - 6% x SalBase)</t>
  </si>
  <si>
    <t>CCT 2020/2021 - Cláusulas 5ª e 6ª.</t>
  </si>
  <si>
    <t>CCT 2021/2021 - Cláusula 7ª.</t>
  </si>
  <si>
    <t xml:space="preserve">UTENSÍLIOS </t>
  </si>
  <si>
    <t>CAFETEIRA ELÉTRICA INDUSTRIAL - 6 LITROS</t>
  </si>
  <si>
    <t>ESCORREDOR DE LOUÇA DE AÇO INOXIDÁVEL - 2 ANDARES</t>
  </si>
  <si>
    <t>BANDEJA DE MESA RETANGULAR DE AÇO INOXIDÁVEL - MÉDIA</t>
  </si>
  <si>
    <t>MATERIAIS DE CONSUMO</t>
  </si>
  <si>
    <t>TOALHA DE PAPEL EM BOBINA, DE ALTA RESISTÊNCIA E ABSORÇÃO, COR BRANCA, COM GRAMATURA APROXIMADA DE 32 A 50 G/M2, BOBINA DE 20CM X 200M, MARCA COLUMBUS (99.2109) OU SIMILAR. </t>
  </si>
  <si>
    <t>CESTO DE LIXO DE METAL ARAMADO GALVANIZADO, FORMATO CILÍNDRICO CÔNICO, COR PRATA, CAPACIDADE 40L, NAS MEDIDAS APROXIMADAS DE 35CM DE DIÂMETRO E 42CM DE ALTURA.</t>
  </si>
  <si>
    <t>GEL HIGIENIZANTE, A BASE DE ÁLCOOL 70%, 5 LITROS. MARCA COLUMBUS OU SIMILAR</t>
  </si>
  <si>
    <t>SABONETE LIQUIDO ANTISSÉPTICO, 5 LITROS, FRAGRÂNCIA NEUTRO. MARCA COLUMBUS OU SIMILAR</t>
  </si>
  <si>
    <t>SUPORTE (DISPENSER) PARA PAPEL TOALHA EM BOBINA, RESISTENTE E DE ALTA DURABILIDADE, COM ACIONAMENTO POR TECLA/BOTÃO, MEDIDAS APROXIMADAS 36X24X26CM, MARCA COLUMBUS (99.1018) OU SIMILAR.</t>
  </si>
  <si>
    <t>GEL HIGIENIZANTE, A BASE DE ÁLCOOL 70%, REFIL DE 800 ML DO TIPO “BAG IN BOX”. MARCA COLUMBUS (99.2029) OU SIMILAR</t>
  </si>
  <si>
    <t>MÁSCARA CIRÚRGICA DESCARTÁVEL, 3 CAMADAS COM DOBRAS, MATERIAL SMS, FIXAÇÃO: TIRAS ELÁSTICAS, COM CLIPE NASAL, FILTRAÇÃO POR PARTÍCULAS MÍNIMA DE 95%, ESTERILIDADE: USO ÚNICO.</t>
  </si>
  <si>
    <t>PAPEL HIGIÊNICO TIPO ROLÃO COM 300 M X 10 CM, MACIO, RESISTENTE, COR BRANCA, COM GRAMATURA APROXIMADA ENTRE 25 A 30 G/M². MARCA COLUMBUS (99.2102) OU SIMILAR</t>
  </si>
  <si>
    <t>PAPEL PROTETOR DE ASSENTO SANITÁRIO DESCARTÁVEL, PARA DISPENSER GRANDE, COR BRANCA, MACIO, RESISTENTE, TAMANHO UNIVERSAL; REFIL COM 86 FOLHAS. MARCA COLUMBUS (99.2505) OU SIMILAR</t>
  </si>
  <si>
    <t>RECIPIENTE (DE MESA) PARA ÁLCOOL EM GEL E/OU SABONETE LÍQUIDO, EM PLÁSTICO, REUTILIZÁVEL, 450 A 500ML, COM BICO DOSADOR</t>
  </si>
  <si>
    <t>SABONETE LIQUIDO EM GEL (ANTISSÉPTICO), REFIL DE 800 ML DO TIPO "BAG IN BOX'', FRAGRÂNCIA NEUTRO. MARCA COLUMBUS (99.2030) OU SIMILAR</t>
  </si>
  <si>
    <t>SAQUINHOS PARA DESCARTE DE ABSORVENTE HIGIÊNICO; CAIXA COM 600 UNIDADES. MARCA COLUMBUS (99.2502) OU SIMILAR</t>
  </si>
  <si>
    <t>SUPORTE (DISPENSER) PARA PAPEL HIGIÊNICO ROLÃO DE 300 M X 10 CM, DE PLÁSTICO, COM FRENTE BRANCO, TRAVAS LATERAIS ACIONADAS POR PRESSÃO, NAS MEDIDAS APROXIMADAS DE 29 X 27 X 14 CM</t>
  </si>
  <si>
    <t>SUPORTE (DISPENSER) PARA PAPEL PROTETOR DE ASSENTO SANITÁRIO (GRANDE), DE PLÁSTICO, COM FRENTE BRANCA, NAS MEDIDAS APROXIMADAS DE 28 X 23 X 4 CM, COM CAPACIDADE PARA REFIL DE 86 FOLHAS</t>
  </si>
  <si>
    <t>SUPORTE (DISPENSER) PARA SABONTE LÍQUIDO EM GEL, PARA REFIL DE 800 ML DO TIPO "BAG IN BOX", DE PLÁSTICO, COM FRENTE BRANCA, TRAVAS LATERAIS ACIONADAS POR PRESSÃO, NAS MEDIDAS APROXIMADAS DE 26 X 15 X 12 CM</t>
  </si>
  <si>
    <t>SUPORTE (DISPENSER) PARA SAQUINHO DE ABSORVENTE, DE PLÁSTICO, COM FRENTE BRANCA, NAS MEDIDAS APROXIMADAS DE 16 X 10 X 3,5 CM, COM CAPACIDADE PARA REFIL DE 25 UNIDADES</t>
  </si>
  <si>
    <t>ESQUADRIAS EXTERNAS - Face interna</t>
  </si>
  <si>
    <t>Valor dos Utensílios (Item 9.7 do TR)</t>
  </si>
  <si>
    <t>Valor dos Materiais  de Consumo (Item 9.8 do TR)</t>
  </si>
  <si>
    <t>ÁREA INTERNA - Almoxarifado</t>
  </si>
  <si>
    <t>ÁREA INTERNA - Halls e corredores</t>
  </si>
  <si>
    <t>1/276</t>
  </si>
  <si>
    <t>1/1104</t>
  </si>
  <si>
    <t>1/1380</t>
  </si>
  <si>
    <t>(1/349)*16*(1/188,76)</t>
  </si>
  <si>
    <t>(1/2300)*32*(1/188,76)</t>
  </si>
  <si>
    <t>CCT 2022/2022 - Cláusula Xª.</t>
  </si>
  <si>
    <t xml:space="preserve">Auxílio-Refeição/Alimentação e Cesta Básica [(R$ 17,77 - R$ 1,11) x 22 + R$ 123,82]  </t>
  </si>
  <si>
    <t>QUADRO RESUMO - MATERIAIS E EQUIPAMENTOS DE LIMPEZA</t>
  </si>
  <si>
    <t xml:space="preserve"> TOTAL  GERAL DE MATERIAIS E EQUIPAMENTOS</t>
  </si>
  <si>
    <t>ELEMENTO FILTRANTE COMPATÍVEL COM PURIFICADOR DE ÁGUA - LIBELL ACQUAFLEX</t>
  </si>
  <si>
    <t>PREGÃO N.º ____/2022</t>
  </si>
  <si>
    <t>SERVIÇO DE COPEIRAGEM INCORPORADO À FUNÇÃO DE SERVENTE</t>
  </si>
  <si>
    <t>Nº do Processo 00066.001676/2022-70</t>
  </si>
  <si>
    <t>2022 (SP002728/2022)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</si>
</sst>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quot;R$&quot;* #,##0.00_-;\-&quot;R$&quot;* #,##0.00_-;_-&quot;R$&quot;* &quot;-&quot;??_-;_-@_-"/>
    <numFmt numFmtId="165" formatCode="_(&quot;R$ &quot;* #,##0.00_);_(&quot;R$ &quot;* \(#,##0.00\);_(&quot;R$ &quot;* &quot;-&quot;??_);_(@_)"/>
    <numFmt numFmtId="166" formatCode="_(* #,##0.00_);_(* \(#,##0.00\);_(* &quot;-&quot;??_);_(@_)"/>
    <numFmt numFmtId="167" formatCode="&quot;R$&quot;\ #,##0.00"/>
    <numFmt numFmtId="168" formatCode="&quot;R$ &quot;#,##0.00_);[Red]\(&quot;R$ &quot;#,##0.00\)"/>
    <numFmt numFmtId="169" formatCode="&quot;R$&quot;#,##0.00"/>
    <numFmt numFmtId="170" formatCode="0.000000000"/>
  </numFmts>
  <fonts count="37"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0"/>
      <name val="Arial"/>
      <family val="2"/>
    </font>
    <font>
      <b/>
      <sz val="10"/>
      <name val="Arial"/>
      <family val="2"/>
    </font>
    <font>
      <b/>
      <sz val="10"/>
      <color rgb="FFFF0000"/>
      <name val="Arial"/>
      <family val="2"/>
    </font>
    <font>
      <sz val="10"/>
      <color rgb="FFFF0000"/>
      <name val="Arial"/>
      <family val="2"/>
    </font>
    <font>
      <b/>
      <sz val="14"/>
      <name val="Arial"/>
      <family val="2"/>
    </font>
    <font>
      <b/>
      <sz val="11"/>
      <color theme="3"/>
      <name val="Calibri"/>
      <family val="2"/>
      <scheme val="minor"/>
    </font>
    <font>
      <b/>
      <sz val="9"/>
      <name val="Palatino Linotype"/>
      <family val="1"/>
    </font>
    <font>
      <b/>
      <sz val="15"/>
      <color theme="3"/>
      <name val="Calibri"/>
      <family val="2"/>
      <scheme val="minor"/>
    </font>
    <font>
      <b/>
      <sz val="10"/>
      <name val="Calibri"/>
      <family val="2"/>
    </font>
    <font>
      <sz val="10"/>
      <name val="Calibri"/>
      <family val="2"/>
    </font>
    <font>
      <sz val="10"/>
      <color indexed="8"/>
      <name val="Calibri"/>
      <family val="2"/>
    </font>
    <font>
      <sz val="9"/>
      <color indexed="8"/>
      <name val="Calibri"/>
      <family val="2"/>
      <scheme val="minor"/>
    </font>
    <font>
      <sz val="10"/>
      <color rgb="FFFF0000"/>
      <name val="Calibri"/>
      <family val="2"/>
    </font>
    <font>
      <b/>
      <vertAlign val="superscript"/>
      <sz val="11"/>
      <color theme="1"/>
      <name val="Calibri"/>
      <family val="2"/>
      <scheme val="minor"/>
    </font>
    <font>
      <b/>
      <sz val="14"/>
      <color theme="1"/>
      <name val="Calibri"/>
      <family val="2"/>
      <scheme val="minor"/>
    </font>
    <font>
      <b/>
      <vertAlign val="superscript"/>
      <sz val="14"/>
      <color theme="1"/>
      <name val="Calibri"/>
      <family val="2"/>
      <scheme val="minor"/>
    </font>
    <font>
      <b/>
      <vertAlign val="superscript"/>
      <sz val="10"/>
      <color theme="1"/>
      <name val="Calibri"/>
      <family val="2"/>
      <scheme val="minor"/>
    </font>
    <font>
      <b/>
      <sz val="10"/>
      <color theme="3"/>
      <name val="Calibri"/>
      <family val="2"/>
      <scheme val="minor"/>
    </font>
    <font>
      <b/>
      <sz val="14"/>
      <color rgb="FF000000"/>
      <name val="Calibri"/>
      <family val="2"/>
    </font>
    <font>
      <b/>
      <sz val="18"/>
      <color theme="0"/>
      <name val="Calibri"/>
      <family val="2"/>
    </font>
    <font>
      <b/>
      <sz val="14"/>
      <color theme="0"/>
      <name val="Calibri"/>
      <family val="2"/>
    </font>
    <font>
      <b/>
      <sz val="10"/>
      <color rgb="FF000000"/>
      <name val="Calibri"/>
      <family val="2"/>
      <scheme val="minor"/>
    </font>
    <font>
      <sz val="9"/>
      <color rgb="FF000000"/>
      <name val="Calibri"/>
      <family val="2"/>
    </font>
    <font>
      <sz val="9"/>
      <color theme="1"/>
      <name val="Calibri"/>
      <family val="2"/>
    </font>
    <font>
      <b/>
      <sz val="10"/>
      <color rgb="FF000000"/>
      <name val="Calibri"/>
      <family val="2"/>
    </font>
    <font>
      <sz val="9"/>
      <color rgb="FF000000"/>
      <name val="Calibri"/>
      <family val="2"/>
      <scheme val="minor"/>
    </font>
    <font>
      <sz val="8"/>
      <color theme="1"/>
      <name val="Calibri"/>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31"/>
      </patternFill>
    </fill>
    <fill>
      <patternFill patternType="solid">
        <fgColor theme="0"/>
        <bgColor indexed="31"/>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9"/>
        <bgColor indexed="26"/>
      </patternFill>
    </fill>
    <fill>
      <patternFill patternType="solid">
        <fgColor theme="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theme="4"/>
      </bottom>
      <diagonal/>
    </border>
    <border>
      <left/>
      <right/>
      <top/>
      <bottom style="thick">
        <color theme="4"/>
      </bottom>
      <diagonal/>
    </border>
    <border>
      <left style="thin">
        <color indexed="8"/>
      </left>
      <right style="thin">
        <color indexed="8"/>
      </right>
      <top style="thin">
        <color indexed="8"/>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theme="4"/>
      </top>
      <bottom style="thin">
        <color theme="4"/>
      </bottom>
      <diagonal/>
    </border>
    <border>
      <left/>
      <right/>
      <top style="thin">
        <color theme="4"/>
      </top>
      <bottom/>
      <diagonal/>
    </border>
    <border>
      <left/>
      <right/>
      <top style="thick">
        <color theme="4"/>
      </top>
      <bottom style="double">
        <color theme="4"/>
      </bottom>
      <diagonal/>
    </border>
    <border>
      <left/>
      <right/>
      <top style="thin">
        <color theme="4"/>
      </top>
      <bottom style="thick">
        <color theme="4"/>
      </bottom>
      <diagonal/>
    </border>
    <border>
      <left/>
      <right/>
      <top style="double">
        <color theme="4"/>
      </top>
      <bottom style="double">
        <color theme="4"/>
      </bottom>
      <diagonal/>
    </border>
    <border>
      <left/>
      <right/>
      <top style="double">
        <color theme="4"/>
      </top>
      <bottom style="thick">
        <color theme="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166" fontId="2" fillId="0" borderId="0" applyFont="0" applyFill="0" applyBorder="0" applyAlignment="0" applyProtection="0"/>
    <xf numFmtId="0" fontId="10" fillId="0" borderId="0"/>
    <xf numFmtId="9" fontId="10" fillId="0" borderId="0" applyFill="0" applyBorder="0" applyAlignment="0" applyProtection="0"/>
    <xf numFmtId="165" fontId="10" fillId="0" borderId="0" applyFill="0" applyBorder="0" applyAlignment="0" applyProtection="0"/>
    <xf numFmtId="0" fontId="15" fillId="0" borderId="18" applyNumberFormat="0" applyFill="0" applyAlignment="0" applyProtection="0"/>
    <xf numFmtId="0" fontId="3" fillId="0" borderId="19" applyNumberFormat="0" applyFill="0" applyAlignment="0" applyProtection="0"/>
    <xf numFmtId="0" fontId="2" fillId="0" borderId="0"/>
    <xf numFmtId="164" fontId="2" fillId="0" borderId="0" applyFont="0" applyFill="0" applyBorder="0" applyAlignment="0" applyProtection="0"/>
    <xf numFmtId="0" fontId="17" fillId="0" borderId="21"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cellStyleXfs>
  <cellXfs count="226">
    <xf numFmtId="0" fontId="0" fillId="0" borderId="0" xfId="0"/>
    <xf numFmtId="0" fontId="10" fillId="0" borderId="3" xfId="2" applyFont="1" applyBorder="1" applyAlignment="1">
      <alignment horizontal="center" vertical="center"/>
    </xf>
    <xf numFmtId="0" fontId="10" fillId="0" borderId="0" xfId="2" applyFont="1" applyBorder="1" applyAlignment="1">
      <alignment horizontal="center" vertical="center"/>
    </xf>
    <xf numFmtId="0" fontId="10" fillId="0" borderId="0" xfId="2" applyFont="1" applyBorder="1" applyAlignment="1">
      <alignment horizontal="left" vertical="center"/>
    </xf>
    <xf numFmtId="0" fontId="11" fillId="0" borderId="3" xfId="2" applyFont="1" applyBorder="1" applyAlignment="1">
      <alignment horizontal="center" vertical="center"/>
    </xf>
    <xf numFmtId="0" fontId="10" fillId="0" borderId="3" xfId="2" applyFont="1" applyBorder="1" applyAlignment="1">
      <alignment vertical="center"/>
    </xf>
    <xf numFmtId="2" fontId="10" fillId="0" borderId="3" xfId="2" applyNumberFormat="1" applyFont="1" applyBorder="1" applyAlignment="1">
      <alignment vertical="center"/>
    </xf>
    <xf numFmtId="10" fontId="10" fillId="0" borderId="3" xfId="3" applyNumberFormat="1" applyFont="1" applyBorder="1" applyAlignment="1">
      <alignment horizontal="center" vertical="center"/>
    </xf>
    <xf numFmtId="0" fontId="11" fillId="0" borderId="3" xfId="2" applyFont="1" applyFill="1" applyBorder="1" applyAlignment="1">
      <alignment horizontal="center" vertical="center"/>
    </xf>
    <xf numFmtId="10" fontId="10" fillId="0" borderId="3" xfId="3" applyNumberFormat="1" applyFont="1" applyFill="1" applyBorder="1" applyAlignment="1">
      <alignment horizontal="center" vertical="center"/>
    </xf>
    <xf numFmtId="2" fontId="11" fillId="0" borderId="3" xfId="2" applyNumberFormat="1" applyFont="1" applyBorder="1" applyAlignment="1">
      <alignment vertical="center"/>
    </xf>
    <xf numFmtId="0" fontId="11" fillId="0" borderId="0" xfId="2" applyFont="1" applyBorder="1" applyAlignment="1">
      <alignment horizontal="center" vertical="center"/>
    </xf>
    <xf numFmtId="2" fontId="11" fillId="0" borderId="0" xfId="2" applyNumberFormat="1" applyFont="1" applyBorder="1" applyAlignment="1">
      <alignment vertical="center"/>
    </xf>
    <xf numFmtId="10" fontId="10" fillId="0" borderId="3" xfId="2" applyNumberFormat="1" applyFont="1" applyBorder="1" applyAlignment="1">
      <alignment horizontal="center" vertical="center"/>
    </xf>
    <xf numFmtId="10" fontId="10" fillId="3" borderId="3" xfId="2" applyNumberFormat="1" applyFont="1" applyFill="1" applyBorder="1" applyAlignment="1">
      <alignment horizontal="center" vertical="center"/>
    </xf>
    <xf numFmtId="10" fontId="11" fillId="0" borderId="3" xfId="2" applyNumberFormat="1" applyFont="1" applyBorder="1" applyAlignment="1">
      <alignment horizontal="center" vertical="center"/>
    </xf>
    <xf numFmtId="2" fontId="10" fillId="0" borderId="3" xfId="2" applyNumberFormat="1" applyFont="1" applyBorder="1" applyAlignment="1">
      <alignment horizontal="right" vertical="center"/>
    </xf>
    <xf numFmtId="2" fontId="10" fillId="0" borderId="3" xfId="2" applyNumberFormat="1" applyFont="1" applyFill="1" applyBorder="1" applyAlignment="1">
      <alignment vertical="center"/>
    </xf>
    <xf numFmtId="2" fontId="11" fillId="0" borderId="3" xfId="2" applyNumberFormat="1" applyFont="1" applyFill="1" applyBorder="1" applyAlignment="1">
      <alignment vertical="center"/>
    </xf>
    <xf numFmtId="10" fontId="10" fillId="0" borderId="3" xfId="2" applyNumberFormat="1" applyFont="1" applyFill="1" applyBorder="1" applyAlignment="1">
      <alignment horizontal="center" vertical="center"/>
    </xf>
    <xf numFmtId="0" fontId="11" fillId="5" borderId="3" xfId="2" applyFont="1" applyFill="1" applyBorder="1" applyAlignment="1">
      <alignment horizontal="center" vertical="center"/>
    </xf>
    <xf numFmtId="10" fontId="10" fillId="0" borderId="3" xfId="2" applyNumberFormat="1" applyFont="1" applyBorder="1" applyAlignment="1">
      <alignment vertical="center"/>
    </xf>
    <xf numFmtId="2" fontId="10" fillId="0" borderId="3" xfId="2" applyNumberFormat="1" applyFont="1" applyBorder="1" applyAlignment="1">
      <alignment horizontal="center" vertical="center"/>
    </xf>
    <xf numFmtId="10" fontId="10" fillId="0" borderId="3" xfId="3" applyNumberFormat="1" applyFont="1" applyBorder="1" applyAlignment="1">
      <alignment vertical="center"/>
    </xf>
    <xf numFmtId="0" fontId="12" fillId="0" borderId="12" xfId="2" applyFont="1" applyBorder="1" applyAlignment="1">
      <alignment horizontal="center" vertical="center"/>
    </xf>
    <xf numFmtId="10" fontId="12" fillId="0" borderId="10" xfId="3" applyNumberFormat="1" applyFont="1" applyBorder="1" applyAlignment="1">
      <alignment vertical="center"/>
    </xf>
    <xf numFmtId="2" fontId="12" fillId="0" borderId="13" xfId="2" applyNumberFormat="1" applyFont="1" applyFill="1" applyBorder="1" applyAlignment="1">
      <alignment vertical="center"/>
    </xf>
    <xf numFmtId="0" fontId="12" fillId="0" borderId="14" xfId="2" applyFont="1" applyBorder="1" applyAlignment="1">
      <alignment horizontal="center" vertical="center"/>
    </xf>
    <xf numFmtId="10" fontId="12" fillId="0" borderId="0" xfId="3" applyNumberFormat="1" applyFont="1" applyBorder="1" applyAlignment="1">
      <alignment vertical="center"/>
    </xf>
    <xf numFmtId="2" fontId="12" fillId="0" borderId="15" xfId="2" applyNumberFormat="1" applyFont="1" applyFill="1" applyBorder="1" applyAlignment="1">
      <alignment vertical="center"/>
    </xf>
    <xf numFmtId="0" fontId="13" fillId="0" borderId="14" xfId="2" applyFont="1" applyBorder="1" applyAlignment="1">
      <alignment vertical="center"/>
    </xf>
    <xf numFmtId="0" fontId="12" fillId="0" borderId="0" xfId="2" applyFont="1" applyBorder="1" applyAlignment="1">
      <alignment horizontal="left" vertical="center"/>
    </xf>
    <xf numFmtId="0" fontId="12" fillId="0" borderId="16" xfId="2" applyFont="1" applyBorder="1" applyAlignment="1">
      <alignment horizontal="center" vertical="center"/>
    </xf>
    <xf numFmtId="10" fontId="12" fillId="0" borderId="6" xfId="3" applyNumberFormat="1" applyFont="1" applyBorder="1" applyAlignment="1">
      <alignment vertical="center"/>
    </xf>
    <xf numFmtId="2" fontId="12" fillId="0" borderId="17" xfId="2" applyNumberFormat="1" applyFont="1" applyFill="1" applyBorder="1" applyAlignment="1">
      <alignment vertical="center"/>
    </xf>
    <xf numFmtId="2" fontId="11" fillId="0" borderId="0" xfId="2" applyNumberFormat="1" applyFont="1" applyFill="1" applyBorder="1" applyAlignment="1">
      <alignment vertical="center"/>
    </xf>
    <xf numFmtId="0" fontId="10" fillId="0" borderId="3" xfId="2" applyFont="1" applyFill="1" applyBorder="1" applyAlignment="1">
      <alignment horizontal="center" vertical="center"/>
    </xf>
    <xf numFmtId="164" fontId="14" fillId="0" borderId="3" xfId="2" applyNumberFormat="1" applyFont="1" applyFill="1" applyBorder="1" applyAlignment="1">
      <alignment vertical="center"/>
    </xf>
    <xf numFmtId="0" fontId="10" fillId="0" borderId="0" xfId="2"/>
    <xf numFmtId="2" fontId="10" fillId="0" borderId="0" xfId="2" applyNumberFormat="1" applyFont="1" applyAlignment="1">
      <alignment vertical="center"/>
    </xf>
    <xf numFmtId="0" fontId="11" fillId="0" borderId="0" xfId="2" applyFont="1" applyAlignment="1">
      <alignment vertical="center"/>
    </xf>
    <xf numFmtId="165" fontId="11" fillId="0" borderId="0" xfId="4" applyFont="1" applyAlignment="1">
      <alignment vertical="center"/>
    </xf>
    <xf numFmtId="43" fontId="10" fillId="0" borderId="0" xfId="2" applyNumberFormat="1" applyFont="1" applyAlignment="1">
      <alignment vertical="center"/>
    </xf>
    <xf numFmtId="0" fontId="11" fillId="6" borderId="3" xfId="2" applyFont="1" applyFill="1" applyBorder="1" applyAlignment="1">
      <alignment horizontal="center" vertical="center"/>
    </xf>
    <xf numFmtId="10" fontId="11" fillId="6" borderId="3" xfId="2" applyNumberFormat="1"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1" fillId="0" borderId="0" xfId="0" applyFont="1" applyAlignment="1">
      <alignment vertical="center"/>
    </xf>
    <xf numFmtId="44" fontId="11" fillId="0" borderId="0" xfId="0" applyNumberFormat="1" applyFont="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3" fillId="7" borderId="19" xfId="6" applyFill="1" applyAlignment="1">
      <alignment horizontal="center" vertical="center" wrapText="1"/>
    </xf>
    <xf numFmtId="166" fontId="0" fillId="0" borderId="0" xfId="1" applyFont="1"/>
    <xf numFmtId="43" fontId="0" fillId="0" borderId="0" xfId="0" applyNumberFormat="1"/>
    <xf numFmtId="0" fontId="11" fillId="0" borderId="3" xfId="2" applyFont="1" applyBorder="1" applyAlignment="1">
      <alignment horizontal="center" vertical="center"/>
    </xf>
    <xf numFmtId="0" fontId="10" fillId="0" borderId="0" xfId="2" applyFont="1" applyBorder="1" applyAlignment="1">
      <alignment horizontal="left" vertical="center"/>
    </xf>
    <xf numFmtId="0" fontId="12" fillId="0" borderId="0" xfId="2" applyFont="1" applyBorder="1" applyAlignment="1">
      <alignment horizontal="left" vertical="center"/>
    </xf>
    <xf numFmtId="0" fontId="10" fillId="0" borderId="3" xfId="2" applyFont="1" applyBorder="1" applyAlignment="1">
      <alignment vertical="center"/>
    </xf>
    <xf numFmtId="0" fontId="11" fillId="5" borderId="3" xfId="2" applyFont="1" applyFill="1" applyBorder="1" applyAlignment="1">
      <alignment horizontal="center" vertical="center"/>
    </xf>
    <xf numFmtId="0" fontId="11" fillId="6" borderId="3" xfId="2" applyFont="1" applyFill="1" applyBorder="1" applyAlignment="1">
      <alignment horizontal="center" vertical="center"/>
    </xf>
    <xf numFmtId="0" fontId="10" fillId="0" borderId="3" xfId="2" applyFont="1" applyBorder="1" applyAlignment="1">
      <alignment horizontal="center" vertical="center"/>
    </xf>
    <xf numFmtId="0" fontId="10" fillId="0" borderId="0" xfId="2" applyFont="1" applyBorder="1" applyAlignment="1">
      <alignment horizontal="center" vertical="center"/>
    </xf>
    <xf numFmtId="0" fontId="10" fillId="0" borderId="0" xfId="0" applyFont="1" applyAlignment="1">
      <alignment vertical="center"/>
    </xf>
    <xf numFmtId="0" fontId="18" fillId="8" borderId="22" xfId="0" applyFont="1" applyFill="1" applyBorder="1" applyAlignment="1">
      <alignment horizontal="justify" vertical="center"/>
    </xf>
    <xf numFmtId="0" fontId="10" fillId="0" borderId="3" xfId="0" applyFont="1" applyBorder="1" applyAlignment="1">
      <alignment vertical="center"/>
    </xf>
    <xf numFmtId="49" fontId="19" fillId="8" borderId="3" xfId="0" applyNumberFormat="1" applyFont="1" applyFill="1" applyBorder="1" applyAlignment="1">
      <alignment horizontal="justify" vertical="center"/>
    </xf>
    <xf numFmtId="0" fontId="20"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49" fontId="19" fillId="8" borderId="22" xfId="0" applyNumberFormat="1" applyFont="1" applyFill="1" applyBorder="1" applyAlignment="1">
      <alignment horizontal="justify" vertical="center"/>
    </xf>
    <xf numFmtId="0" fontId="0" fillId="0" borderId="3" xfId="0" applyBorder="1" applyAlignment="1">
      <alignment vertical="center"/>
    </xf>
    <xf numFmtId="0" fontId="20" fillId="0" borderId="3" xfId="0" applyFont="1" applyBorder="1" applyAlignment="1">
      <alignment horizontal="justify" vertical="center"/>
    </xf>
    <xf numFmtId="0" fontId="22" fillId="0" borderId="3" xfId="0" applyFont="1" applyBorder="1" applyAlignment="1">
      <alignment horizontal="justify" vertical="center"/>
    </xf>
    <xf numFmtId="0" fontId="22" fillId="0" borderId="3" xfId="0" applyFont="1" applyBorder="1" applyAlignment="1">
      <alignment horizontal="justify" vertical="center" wrapText="1"/>
    </xf>
    <xf numFmtId="0" fontId="0" fillId="0" borderId="0" xfId="0" applyAlignment="1">
      <alignment vertical="center"/>
    </xf>
    <xf numFmtId="0" fontId="0" fillId="0" borderId="4" xfId="0" applyBorder="1" applyAlignment="1">
      <alignment vertical="center"/>
    </xf>
    <xf numFmtId="0" fontId="19" fillId="0" borderId="3" xfId="0" applyFont="1" applyBorder="1" applyAlignment="1">
      <alignment horizontal="justify" vertical="center"/>
    </xf>
    <xf numFmtId="0" fontId="19" fillId="0" borderId="3" xfId="0" applyFont="1" applyBorder="1" applyAlignment="1">
      <alignment horizontal="justify" vertical="center" wrapText="1"/>
    </xf>
    <xf numFmtId="0" fontId="5" fillId="0" borderId="0" xfId="0" applyFont="1" applyAlignment="1">
      <alignment horizontal="center" vertical="center"/>
    </xf>
    <xf numFmtId="166" fontId="5" fillId="0" borderId="0" xfId="1" applyFont="1" applyAlignment="1">
      <alignment horizontal="center" vertical="center"/>
    </xf>
    <xf numFmtId="169" fontId="5" fillId="0" borderId="0" xfId="0" applyNumberFormat="1" applyFont="1" applyAlignment="1">
      <alignment horizontal="center" vertical="center"/>
    </xf>
    <xf numFmtId="167" fontId="5" fillId="0" borderId="0" xfId="0" applyNumberFormat="1" applyFont="1" applyAlignment="1">
      <alignment horizontal="center" vertical="center"/>
    </xf>
    <xf numFmtId="0" fontId="16" fillId="0" borderId="0" xfId="7"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Alignment="1">
      <alignment horizontal="center" vertical="center"/>
    </xf>
    <xf numFmtId="167" fontId="6" fillId="0" borderId="0" xfId="0" applyNumberFormat="1" applyFont="1" applyAlignment="1">
      <alignment horizontal="center" vertical="center"/>
    </xf>
    <xf numFmtId="0" fontId="9" fillId="0" borderId="0" xfId="0" applyFont="1" applyBorder="1" applyAlignment="1">
      <alignment horizontal="center" vertical="center" wrapText="1"/>
    </xf>
    <xf numFmtId="0" fontId="6" fillId="7" borderId="28" xfId="6" applyFont="1" applyFill="1" applyBorder="1" applyAlignment="1">
      <alignment horizontal="center" vertical="center" wrapText="1"/>
    </xf>
    <xf numFmtId="0" fontId="6" fillId="7" borderId="26" xfId="6" applyFont="1" applyFill="1" applyBorder="1" applyAlignment="1">
      <alignment horizontal="center" vertical="center" wrapText="1"/>
    </xf>
    <xf numFmtId="0" fontId="5" fillId="0" borderId="27" xfId="6" applyFont="1" applyBorder="1" applyAlignment="1">
      <alignment horizontal="center" vertical="center" wrapText="1"/>
    </xf>
    <xf numFmtId="167" fontId="5" fillId="0" borderId="27" xfId="6" applyNumberFormat="1" applyFont="1" applyBorder="1" applyAlignment="1">
      <alignment horizontal="center" vertical="center" wrapText="1"/>
    </xf>
    <xf numFmtId="167" fontId="6" fillId="0" borderId="19" xfId="6" applyNumberFormat="1" applyFont="1" applyAlignment="1">
      <alignment horizontal="center" vertical="center" wrapText="1"/>
    </xf>
    <xf numFmtId="0" fontId="5" fillId="0" borderId="29" xfId="6" applyFont="1" applyBorder="1" applyAlignment="1">
      <alignment horizontal="center" vertical="center" wrapText="1"/>
    </xf>
    <xf numFmtId="0" fontId="5" fillId="0" borderId="19" xfId="6" applyFont="1" applyBorder="1" applyAlignment="1">
      <alignment horizontal="center" vertical="center" wrapText="1"/>
    </xf>
    <xf numFmtId="4" fontId="5" fillId="0" borderId="19" xfId="6" applyNumberFormat="1" applyFont="1" applyBorder="1" applyAlignment="1">
      <alignment horizontal="center" vertical="center" wrapText="1"/>
    </xf>
    <xf numFmtId="167" fontId="5" fillId="0" borderId="19" xfId="6" applyNumberFormat="1" applyFont="1" applyBorder="1" applyAlignment="1">
      <alignment horizontal="center" vertical="center" wrapText="1"/>
    </xf>
    <xf numFmtId="2" fontId="5" fillId="0" borderId="19" xfId="6" applyNumberFormat="1" applyFont="1" applyBorder="1" applyAlignment="1">
      <alignment horizontal="center" vertical="center" wrapText="1"/>
    </xf>
    <xf numFmtId="167" fontId="5" fillId="0" borderId="19" xfId="6" applyNumberFormat="1" applyFont="1" applyFill="1" applyBorder="1" applyAlignment="1">
      <alignment horizontal="center" vertical="center"/>
    </xf>
    <xf numFmtId="167" fontId="6" fillId="0" borderId="28" xfId="6" applyNumberFormat="1" applyFont="1" applyFill="1" applyBorder="1" applyAlignment="1">
      <alignment horizontal="center" vertical="center"/>
    </xf>
    <xf numFmtId="167" fontId="27" fillId="7" borderId="18" xfId="5" applyNumberFormat="1" applyFont="1" applyFill="1" applyAlignment="1">
      <alignment horizontal="center" vertical="center"/>
    </xf>
    <xf numFmtId="0" fontId="6" fillId="0" borderId="27" xfId="6" applyFont="1" applyBorder="1" applyAlignment="1">
      <alignment horizontal="center" vertical="center" wrapText="1"/>
    </xf>
    <xf numFmtId="0" fontId="6" fillId="0" borderId="29" xfId="6" applyFont="1" applyBorder="1" applyAlignment="1">
      <alignment horizontal="center" vertical="center" wrapText="1"/>
    </xf>
    <xf numFmtId="169" fontId="5" fillId="0" borderId="19" xfId="6" applyNumberFormat="1" applyFont="1" applyBorder="1" applyAlignment="1">
      <alignment horizontal="center" vertical="center"/>
    </xf>
    <xf numFmtId="167" fontId="5" fillId="0" borderId="27" xfId="6" applyNumberFormat="1" applyFont="1" applyFill="1" applyBorder="1" applyAlignment="1">
      <alignment horizontal="center" vertical="center"/>
    </xf>
    <xf numFmtId="0" fontId="6" fillId="0" borderId="0" xfId="6" applyFont="1" applyBorder="1" applyAlignment="1">
      <alignment horizontal="center" vertical="center" wrapText="1"/>
    </xf>
    <xf numFmtId="0" fontId="9" fillId="0" borderId="0" xfId="0" applyFont="1" applyBorder="1" applyAlignment="1">
      <alignment horizontal="center" vertical="center" wrapText="1"/>
    </xf>
    <xf numFmtId="2" fontId="5" fillId="0" borderId="0" xfId="0" applyNumberFormat="1" applyFont="1" applyAlignment="1">
      <alignment horizontal="center" vertical="center"/>
    </xf>
    <xf numFmtId="3" fontId="5" fillId="0" borderId="19" xfId="6" applyNumberFormat="1" applyFont="1" applyBorder="1" applyAlignment="1">
      <alignment horizontal="center" vertical="center" wrapText="1"/>
    </xf>
    <xf numFmtId="1" fontId="5" fillId="0" borderId="27" xfId="6" applyNumberFormat="1" applyFont="1" applyBorder="1" applyAlignment="1">
      <alignment horizontal="center" vertical="center" wrapText="1"/>
    </xf>
    <xf numFmtId="0" fontId="5" fillId="0" borderId="0" xfId="6" applyFont="1" applyBorder="1" applyAlignment="1">
      <alignment horizontal="center" vertical="center" wrapText="1"/>
    </xf>
    <xf numFmtId="3" fontId="5" fillId="0" borderId="0" xfId="6" applyNumberFormat="1" applyFont="1" applyBorder="1" applyAlignment="1">
      <alignment horizontal="center" vertical="center" wrapText="1"/>
    </xf>
    <xf numFmtId="0" fontId="7" fillId="0" borderId="31" xfId="0" applyFont="1" applyBorder="1" applyAlignment="1">
      <alignment horizontal="center" vertical="center"/>
    </xf>
    <xf numFmtId="0" fontId="31" fillId="11" borderId="31" xfId="0" applyFont="1" applyFill="1" applyBorder="1" applyAlignment="1">
      <alignment horizontal="center" vertical="center"/>
    </xf>
    <xf numFmtId="0" fontId="31" fillId="11" borderId="31" xfId="0" applyFont="1" applyFill="1" applyBorder="1" applyAlignment="1">
      <alignment horizontal="center" vertical="center" wrapText="1"/>
    </xf>
    <xf numFmtId="0" fontId="35" fillId="0" borderId="31" xfId="0" applyFont="1" applyBorder="1" applyAlignment="1">
      <alignment horizontal="center" vertical="center" wrapText="1"/>
    </xf>
    <xf numFmtId="0" fontId="6" fillId="0" borderId="31" xfId="0" applyFont="1" applyBorder="1" applyAlignment="1">
      <alignment vertical="center"/>
    </xf>
    <xf numFmtId="0" fontId="0" fillId="0" borderId="0" xfId="0" applyBorder="1"/>
    <xf numFmtId="0" fontId="28" fillId="0" borderId="0" xfId="0" applyFont="1" applyFill="1" applyBorder="1" applyAlignment="1">
      <alignment horizontal="center" vertical="center"/>
    </xf>
    <xf numFmtId="0" fontId="0" fillId="0" borderId="0" xfId="0" applyBorder="1" applyAlignment="1">
      <alignment vertical="center"/>
    </xf>
    <xf numFmtId="0" fontId="28" fillId="0" borderId="6" xfId="0" applyFont="1" applyFill="1" applyBorder="1" applyAlignment="1">
      <alignment horizontal="center" vertical="center"/>
    </xf>
    <xf numFmtId="0" fontId="30" fillId="0" borderId="6" xfId="0" applyFont="1" applyFill="1" applyBorder="1" applyAlignment="1">
      <alignment horizontal="center" vertical="center" wrapText="1"/>
    </xf>
    <xf numFmtId="0" fontId="32" fillId="0" borderId="31" xfId="0" applyFont="1" applyFill="1" applyBorder="1" applyAlignment="1">
      <alignment horizontal="center" vertical="center"/>
    </xf>
    <xf numFmtId="0" fontId="33" fillId="0" borderId="31" xfId="0" applyFont="1" applyFill="1" applyBorder="1" applyAlignment="1">
      <alignment horizontal="center" vertical="center" wrapText="1"/>
    </xf>
    <xf numFmtId="3" fontId="32" fillId="0" borderId="31" xfId="0" applyNumberFormat="1" applyFont="1" applyFill="1" applyBorder="1" applyAlignment="1">
      <alignment horizontal="center" vertical="center"/>
    </xf>
    <xf numFmtId="4" fontId="32" fillId="0" borderId="31" xfId="1" applyNumberFormat="1" applyFont="1" applyFill="1" applyBorder="1" applyAlignment="1">
      <alignment horizontal="center" vertical="center"/>
    </xf>
    <xf numFmtId="4" fontId="32" fillId="0" borderId="4" xfId="0" applyNumberFormat="1" applyFont="1" applyFill="1" applyBorder="1" applyAlignment="1">
      <alignment horizontal="center" vertical="center"/>
    </xf>
    <xf numFmtId="4" fontId="34" fillId="0" borderId="4" xfId="0" applyNumberFormat="1" applyFont="1" applyFill="1" applyBorder="1" applyAlignment="1">
      <alignment horizontal="center" vertical="center"/>
    </xf>
    <xf numFmtId="0" fontId="32" fillId="0" borderId="4" xfId="0" applyFont="1" applyFill="1" applyBorder="1" applyAlignment="1">
      <alignment horizontal="center" vertical="center"/>
    </xf>
    <xf numFmtId="43" fontId="3" fillId="0" borderId="0" xfId="1" applyNumberFormat="1" applyFont="1" applyBorder="1" applyAlignment="1">
      <alignment vertical="center"/>
    </xf>
    <xf numFmtId="0" fontId="3" fillId="0" borderId="0" xfId="0" applyFont="1" applyBorder="1"/>
    <xf numFmtId="164" fontId="7" fillId="12" borderId="31" xfId="8" applyFont="1" applyFill="1" applyBorder="1" applyAlignment="1">
      <alignment vertical="center"/>
    </xf>
    <xf numFmtId="0" fontId="33" fillId="0" borderId="4" xfId="0" applyFont="1" applyFill="1" applyBorder="1" applyAlignment="1">
      <alignment horizontal="center" vertical="center" wrapText="1"/>
    </xf>
    <xf numFmtId="3" fontId="32" fillId="0" borderId="4" xfId="0" applyNumberFormat="1" applyFont="1" applyFill="1" applyBorder="1" applyAlignment="1">
      <alignment horizontal="center" vertical="center"/>
    </xf>
    <xf numFmtId="4" fontId="32" fillId="0" borderId="4" xfId="1" applyNumberFormat="1" applyFont="1" applyFill="1" applyBorder="1" applyAlignment="1">
      <alignment horizontal="center" vertical="center"/>
    </xf>
    <xf numFmtId="4" fontId="34" fillId="0" borderId="4" xfId="0" applyNumberFormat="1" applyFont="1" applyFill="1" applyBorder="1" applyAlignment="1">
      <alignment horizontal="right" vertical="center"/>
    </xf>
    <xf numFmtId="0" fontId="0" fillId="0" borderId="0" xfId="0" applyBorder="1" applyAlignment="1">
      <alignment horizontal="left" vertical="center"/>
    </xf>
    <xf numFmtId="0" fontId="36" fillId="0" borderId="31" xfId="0" applyFont="1" applyFill="1" applyBorder="1" applyAlignment="1">
      <alignment horizontal="center" vertical="center" wrapText="1"/>
    </xf>
    <xf numFmtId="164" fontId="24" fillId="11" borderId="31" xfId="8" applyFont="1" applyFill="1" applyBorder="1" applyAlignment="1">
      <alignment vertical="center"/>
    </xf>
    <xf numFmtId="165" fontId="0" fillId="0" borderId="0" xfId="0" applyNumberFormat="1" applyBorder="1"/>
    <xf numFmtId="4" fontId="32" fillId="0" borderId="31" xfId="0" applyNumberFormat="1" applyFont="1" applyFill="1" applyBorder="1" applyAlignment="1">
      <alignment horizontal="center" vertical="center"/>
    </xf>
    <xf numFmtId="0" fontId="5" fillId="0" borderId="29" xfId="6" applyFont="1" applyBorder="1" applyAlignment="1">
      <alignment horizontal="center" vertical="center" wrapText="1"/>
    </xf>
    <xf numFmtId="0" fontId="1" fillId="0" borderId="29" xfId="6" applyFont="1" applyBorder="1" applyAlignment="1">
      <alignment horizontal="center" vertical="center" wrapText="1"/>
    </xf>
    <xf numFmtId="44" fontId="10" fillId="0" borderId="0" xfId="0" applyNumberFormat="1" applyFont="1" applyAlignment="1">
      <alignment vertical="center"/>
    </xf>
    <xf numFmtId="0" fontId="5" fillId="0" borderId="29" xfId="6" applyFont="1" applyBorder="1" applyAlignment="1">
      <alignment horizontal="center" vertical="center" wrapText="1"/>
    </xf>
    <xf numFmtId="2" fontId="5" fillId="0" borderId="0" xfId="6" applyNumberFormat="1" applyFont="1" applyBorder="1" applyAlignment="1">
      <alignment horizontal="center" vertical="center" wrapText="1"/>
    </xf>
    <xf numFmtId="49" fontId="1" fillId="0" borderId="19" xfId="6" applyNumberFormat="1" applyFont="1" applyBorder="1" applyAlignment="1">
      <alignment horizontal="center" vertical="center" wrapText="1"/>
    </xf>
    <xf numFmtId="170" fontId="5" fillId="0" borderId="27" xfId="6" applyNumberFormat="1" applyFont="1" applyBorder="1" applyAlignment="1">
      <alignment horizontal="center" vertical="center" wrapText="1"/>
    </xf>
    <xf numFmtId="10" fontId="10" fillId="13" borderId="3" xfId="3" applyNumberFormat="1" applyFont="1" applyFill="1" applyBorder="1" applyAlignment="1">
      <alignment vertical="center"/>
    </xf>
    <xf numFmtId="0" fontId="24" fillId="0" borderId="20" xfId="0" applyFont="1" applyBorder="1" applyAlignment="1">
      <alignment vertical="center"/>
    </xf>
    <xf numFmtId="0" fontId="17" fillId="0" borderId="21" xfId="9" applyAlignment="1">
      <alignment vertical="center"/>
    </xf>
    <xf numFmtId="0" fontId="24" fillId="11" borderId="33" xfId="0" applyFont="1" applyFill="1" applyBorder="1" applyAlignment="1">
      <alignment horizontal="right" vertical="center"/>
    </xf>
    <xf numFmtId="0" fontId="24" fillId="11" borderId="35" xfId="0" applyFont="1" applyFill="1" applyBorder="1" applyAlignment="1">
      <alignment horizontal="right" vertical="center"/>
    </xf>
    <xf numFmtId="0" fontId="24" fillId="11" borderId="32" xfId="0" applyFont="1" applyFill="1" applyBorder="1" applyAlignment="1">
      <alignment horizontal="right" vertical="center"/>
    </xf>
    <xf numFmtId="0" fontId="33" fillId="0" borderId="33" xfId="0" applyFont="1" applyFill="1" applyBorder="1" applyAlignment="1">
      <alignment horizontal="left" vertical="center" wrapText="1"/>
    </xf>
    <xf numFmtId="0" fontId="33" fillId="0" borderId="35"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 fillId="12" borderId="33" xfId="0" applyFont="1" applyFill="1" applyBorder="1" applyAlignment="1">
      <alignment horizontal="right" vertical="center"/>
    </xf>
    <xf numFmtId="0" fontId="3" fillId="12" borderId="35" xfId="0" applyFont="1" applyFill="1" applyBorder="1" applyAlignment="1">
      <alignment horizontal="right" vertical="center"/>
    </xf>
    <xf numFmtId="0" fontId="3" fillId="12" borderId="32" xfId="0" applyFont="1" applyFill="1" applyBorder="1" applyAlignment="1">
      <alignment horizontal="right" vertical="center"/>
    </xf>
    <xf numFmtId="0" fontId="28" fillId="10" borderId="33" xfId="0" applyFont="1" applyFill="1" applyBorder="1" applyAlignment="1">
      <alignment horizontal="center" vertical="center"/>
    </xf>
    <xf numFmtId="0" fontId="28" fillId="10" borderId="35" xfId="0" applyFont="1" applyFill="1" applyBorder="1" applyAlignment="1">
      <alignment horizontal="center" vertical="center"/>
    </xf>
    <xf numFmtId="0" fontId="28" fillId="10" borderId="32" xfId="0" applyFont="1" applyFill="1" applyBorder="1" applyAlignment="1">
      <alignment horizontal="center" vertical="center"/>
    </xf>
    <xf numFmtId="0" fontId="31" fillId="11" borderId="33" xfId="0" applyFont="1" applyFill="1" applyBorder="1" applyAlignment="1">
      <alignment horizontal="center" vertical="center" wrapText="1"/>
    </xf>
    <xf numFmtId="0" fontId="31" fillId="11" borderId="35" xfId="0" applyFont="1" applyFill="1" applyBorder="1" applyAlignment="1">
      <alignment horizontal="center" vertical="center" wrapText="1"/>
    </xf>
    <xf numFmtId="0" fontId="31" fillId="11" borderId="32"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10" fillId="0" borderId="3" xfId="2" applyFont="1" applyBorder="1" applyAlignment="1">
      <alignment horizontal="left" vertical="center"/>
    </xf>
    <xf numFmtId="0" fontId="11" fillId="0" borderId="3" xfId="2" applyFont="1" applyBorder="1" applyAlignment="1">
      <alignment horizontal="center" vertical="center"/>
    </xf>
    <xf numFmtId="0" fontId="14" fillId="0" borderId="3" xfId="2" applyFont="1" applyBorder="1" applyAlignment="1">
      <alignment horizontal="center" vertical="center"/>
    </xf>
    <xf numFmtId="0" fontId="12" fillId="0" borderId="6" xfId="2" applyFont="1" applyBorder="1" applyAlignment="1">
      <alignment horizontal="left" vertical="center"/>
    </xf>
    <xf numFmtId="0" fontId="11" fillId="2" borderId="3" xfId="2" applyFont="1" applyFill="1" applyBorder="1" applyAlignment="1">
      <alignment horizontal="center" vertical="center"/>
    </xf>
    <xf numFmtId="0" fontId="10" fillId="0" borderId="0" xfId="2" applyFont="1" applyBorder="1" applyAlignment="1">
      <alignment horizontal="left" vertical="center"/>
    </xf>
    <xf numFmtId="0" fontId="12" fillId="0" borderId="10" xfId="2" applyFont="1" applyBorder="1" applyAlignment="1">
      <alignment horizontal="left" vertical="center"/>
    </xf>
    <xf numFmtId="0" fontId="12" fillId="0" borderId="0" xfId="2" applyNumberFormat="1" applyFont="1" applyBorder="1" applyAlignment="1">
      <alignment horizontal="left" vertical="center"/>
    </xf>
    <xf numFmtId="0" fontId="12" fillId="0" borderId="0" xfId="2" applyFont="1" applyBorder="1" applyAlignment="1">
      <alignment horizontal="left" vertical="center"/>
    </xf>
    <xf numFmtId="0" fontId="11" fillId="0" borderId="3" xfId="2" applyFont="1" applyBorder="1" applyAlignment="1">
      <alignment horizontal="left" vertical="center"/>
    </xf>
    <xf numFmtId="0" fontId="10" fillId="0" borderId="3" xfId="2" applyFont="1" applyBorder="1" applyAlignment="1">
      <alignment vertical="center"/>
    </xf>
    <xf numFmtId="0" fontId="11" fillId="5" borderId="9" xfId="2" applyFont="1" applyFill="1" applyBorder="1" applyAlignment="1">
      <alignment horizontal="center" vertical="center"/>
    </xf>
    <xf numFmtId="0" fontId="11" fillId="5" borderId="10" xfId="2" applyFont="1" applyFill="1" applyBorder="1" applyAlignment="1">
      <alignment horizontal="center" vertical="center"/>
    </xf>
    <xf numFmtId="0" fontId="11" fillId="4" borderId="3" xfId="2" applyFont="1" applyFill="1" applyBorder="1" applyAlignment="1">
      <alignment horizontal="center" vertical="center"/>
    </xf>
    <xf numFmtId="0" fontId="11" fillId="5" borderId="11" xfId="2" applyFont="1" applyFill="1" applyBorder="1" applyAlignment="1">
      <alignment horizontal="center" vertical="center"/>
    </xf>
    <xf numFmtId="0" fontId="11" fillId="5" borderId="6" xfId="2" applyFont="1" applyFill="1" applyBorder="1" applyAlignment="1">
      <alignment horizontal="center" vertical="center"/>
    </xf>
    <xf numFmtId="0" fontId="10" fillId="0" borderId="3" xfId="2" applyFont="1" applyFill="1" applyBorder="1" applyAlignment="1">
      <alignment horizontal="left" vertical="center"/>
    </xf>
    <xf numFmtId="0" fontId="11" fillId="5" borderId="7" xfId="2" applyFont="1" applyFill="1" applyBorder="1" applyAlignment="1">
      <alignment horizontal="center" vertical="center"/>
    </xf>
    <xf numFmtId="0" fontId="11" fillId="5" borderId="5" xfId="2" applyFont="1" applyFill="1" applyBorder="1" applyAlignment="1">
      <alignment horizontal="center" vertical="center"/>
    </xf>
    <xf numFmtId="0" fontId="10" fillId="0" borderId="3" xfId="2" applyFont="1" applyBorder="1" applyAlignment="1">
      <alignment horizontal="left" vertical="center" wrapText="1"/>
    </xf>
    <xf numFmtId="0" fontId="11" fillId="0" borderId="1" xfId="2" applyFont="1" applyBorder="1" applyAlignment="1">
      <alignment horizontal="center" vertical="center"/>
    </xf>
    <xf numFmtId="0" fontId="11" fillId="0" borderId="5" xfId="2" applyFont="1" applyBorder="1" applyAlignment="1">
      <alignment horizontal="center" vertical="center"/>
    </xf>
    <xf numFmtId="0" fontId="11" fillId="5" borderId="3" xfId="2" applyFont="1" applyFill="1" applyBorder="1" applyAlignment="1">
      <alignment horizontal="center" vertical="center"/>
    </xf>
    <xf numFmtId="0" fontId="11" fillId="5"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5" xfId="2" applyFont="1" applyBorder="1" applyAlignment="1">
      <alignment horizontal="left" vertical="center"/>
    </xf>
    <xf numFmtId="0" fontId="10" fillId="0" borderId="2" xfId="2" applyFont="1" applyBorder="1" applyAlignment="1">
      <alignment horizontal="left" vertical="center"/>
    </xf>
    <xf numFmtId="0" fontId="11" fillId="6" borderId="3" xfId="2" applyFont="1" applyFill="1" applyBorder="1" applyAlignment="1">
      <alignment horizontal="center" vertical="center"/>
    </xf>
    <xf numFmtId="0" fontId="11" fillId="5" borderId="8" xfId="2" applyFont="1" applyFill="1" applyBorder="1" applyAlignment="1">
      <alignment horizontal="center" vertical="center"/>
    </xf>
    <xf numFmtId="0" fontId="11" fillId="5" borderId="0" xfId="2" applyFont="1" applyFill="1" applyBorder="1" applyAlignment="1">
      <alignment horizontal="center" vertical="center"/>
    </xf>
    <xf numFmtId="14" fontId="10" fillId="0" borderId="3" xfId="2" applyNumberFormat="1" applyFont="1" applyBorder="1" applyAlignment="1">
      <alignment horizontal="center" vertical="center"/>
    </xf>
    <xf numFmtId="0" fontId="10" fillId="0" borderId="3" xfId="2" applyFont="1" applyBorder="1" applyAlignment="1">
      <alignment horizontal="center" vertical="center"/>
    </xf>
    <xf numFmtId="0" fontId="10" fillId="0" borderId="0" xfId="2" applyFont="1" applyBorder="1" applyAlignment="1">
      <alignment horizontal="center" vertical="center"/>
    </xf>
    <xf numFmtId="168" fontId="10" fillId="0" borderId="3" xfId="2" applyNumberFormat="1" applyFont="1" applyBorder="1" applyAlignment="1">
      <alignment horizontal="center" vertical="center"/>
    </xf>
    <xf numFmtId="0" fontId="10" fillId="0" borderId="6" xfId="2" applyFont="1" applyBorder="1" applyAlignment="1">
      <alignment horizontal="center" vertical="center"/>
    </xf>
    <xf numFmtId="0" fontId="11" fillId="0" borderId="0" xfId="2" applyFont="1" applyAlignment="1">
      <alignment horizontal="center" vertical="center"/>
    </xf>
    <xf numFmtId="0" fontId="10" fillId="0" borderId="0" xfId="2" applyFont="1" applyAlignment="1">
      <alignment horizontal="center"/>
    </xf>
    <xf numFmtId="0" fontId="11" fillId="0" borderId="0" xfId="2" applyFont="1" applyAlignment="1">
      <alignment horizontal="center"/>
    </xf>
    <xf numFmtId="0" fontId="10" fillId="0" borderId="0" xfId="2" applyFont="1" applyAlignment="1">
      <alignment horizontal="center" vertical="center"/>
    </xf>
    <xf numFmtId="0" fontId="11" fillId="0" borderId="0" xfId="2" applyFont="1" applyAlignment="1">
      <alignment horizontal="left" vertical="center"/>
    </xf>
    <xf numFmtId="0" fontId="10" fillId="0" borderId="3" xfId="2" applyFont="1" applyBorder="1" applyAlignment="1">
      <alignment horizontal="center" vertical="center" wrapText="1"/>
    </xf>
    <xf numFmtId="0" fontId="24" fillId="0" borderId="0" xfId="0" applyFont="1" applyAlignment="1">
      <alignment horizontal="center" vertical="center"/>
    </xf>
    <xf numFmtId="0" fontId="9" fillId="0" borderId="0" xfId="0" applyFont="1" applyBorder="1" applyAlignment="1">
      <alignment horizontal="center" vertical="center" wrapText="1"/>
    </xf>
    <xf numFmtId="0" fontId="24" fillId="0" borderId="20" xfId="0" applyFont="1" applyBorder="1" applyAlignment="1">
      <alignment horizontal="center" vertical="center"/>
    </xf>
    <xf numFmtId="0" fontId="5" fillId="0" borderId="29" xfId="6" applyFont="1" applyBorder="1" applyAlignment="1">
      <alignment horizontal="center" vertical="center" wrapText="1"/>
    </xf>
    <xf numFmtId="0" fontId="17" fillId="0" borderId="21" xfId="9" applyAlignment="1">
      <alignment horizontal="center" vertical="center"/>
    </xf>
    <xf numFmtId="0" fontId="27" fillId="7" borderId="18" xfId="5" applyFont="1" applyFill="1" applyAlignment="1">
      <alignment horizontal="center" vertical="center"/>
    </xf>
    <xf numFmtId="0" fontId="24" fillId="0" borderId="25" xfId="0" applyFont="1" applyBorder="1" applyAlignment="1">
      <alignment horizontal="center" vertical="center"/>
    </xf>
    <xf numFmtId="0" fontId="1" fillId="0" borderId="19" xfId="6" applyFont="1" applyFill="1" applyBorder="1" applyAlignment="1">
      <alignment horizontal="center" vertical="center"/>
    </xf>
    <xf numFmtId="0" fontId="5" fillId="0" borderId="19" xfId="6" applyFont="1" applyFill="1" applyBorder="1" applyAlignment="1">
      <alignment horizontal="center" vertical="center"/>
    </xf>
    <xf numFmtId="0" fontId="6" fillId="0" borderId="28" xfId="6" applyFont="1" applyFill="1" applyBorder="1" applyAlignment="1">
      <alignment horizontal="center" vertical="center"/>
    </xf>
    <xf numFmtId="0" fontId="1" fillId="0" borderId="27" xfId="6" applyFont="1" applyFill="1" applyBorder="1" applyAlignment="1">
      <alignment horizontal="center" vertical="center"/>
    </xf>
    <xf numFmtId="0" fontId="6" fillId="0" borderId="30" xfId="6" applyFont="1" applyFill="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2" fontId="7" fillId="0" borderId="34" xfId="0" applyNumberFormat="1" applyFont="1" applyBorder="1" applyAlignment="1">
      <alignment horizontal="center" vertical="center"/>
    </xf>
    <xf numFmtId="0" fontId="7" fillId="0" borderId="35" xfId="0" applyFont="1" applyBorder="1" applyAlignment="1">
      <alignment horizontal="center" vertical="center"/>
    </xf>
  </cellXfs>
  <cellStyles count="12">
    <cellStyle name="Moeda" xfId="8" builtinId="4"/>
    <cellStyle name="Moeda 2" xfId="11" xr:uid="{6F3DF74B-83FE-48E8-B7D2-1871FC592213}"/>
    <cellStyle name="Moeda 3" xfId="4" xr:uid="{808B5339-4C0D-46E1-8635-0F69445771DA}"/>
    <cellStyle name="Normal" xfId="0" builtinId="0"/>
    <cellStyle name="Normal 2" xfId="2" xr:uid="{1465AF81-0025-41F7-A8A9-10FB7BAC5101}"/>
    <cellStyle name="Normal 2 2" xfId="7" xr:uid="{BFAE33D4-1961-435A-A000-505E248F19CB}"/>
    <cellStyle name="Porcentagem 2" xfId="3" xr:uid="{947EA1A2-51CE-4182-9FCF-CB917206EB31}"/>
    <cellStyle name="Título 1" xfId="9" builtinId="16"/>
    <cellStyle name="Título 3" xfId="5" builtinId="18"/>
    <cellStyle name="Total" xfId="6" builtinId="25"/>
    <cellStyle name="Vírgula" xfId="1" builtinId="3"/>
    <cellStyle name="Vírgula 2" xfId="10" xr:uid="{35C80681-BE1B-49AA-B9E8-8B152FB6DE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158750</xdr:rowOff>
    </xdr:from>
    <xdr:to>
      <xdr:col>2</xdr:col>
      <xdr:colOff>463550</xdr:colOff>
      <xdr:row>3</xdr:row>
      <xdr:rowOff>0</xdr:rowOff>
    </xdr:to>
    <xdr:pic>
      <xdr:nvPicPr>
        <xdr:cNvPr id="2" name="Imagem 1" descr="anac_comp_horz_esp-cor.png">
          <a:extLst>
            <a:ext uri="{FF2B5EF4-FFF2-40B4-BE49-F238E27FC236}">
              <a16:creationId xmlns:a16="http://schemas.microsoft.com/office/drawing/2014/main" id="{088E03CF-AC4D-4649-96B8-2F27AC210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350" y="158750"/>
          <a:ext cx="10223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9791A-2164-40D4-B1C3-1CDB2AC89668}">
  <dimension ref="B2:K52"/>
  <sheetViews>
    <sheetView showGridLines="0" topLeftCell="A38" zoomScale="90" zoomScaleNormal="90" workbookViewId="0">
      <selection activeCell="I46" sqref="I46"/>
    </sheetView>
  </sheetViews>
  <sheetFormatPr defaultColWidth="9.1796875" defaultRowHeight="14.5" x14ac:dyDescent="0.35"/>
  <cols>
    <col min="1" max="1" width="3" style="117" customWidth="1"/>
    <col min="2" max="2" width="5.54296875" style="117" customWidth="1"/>
    <col min="3" max="3" width="10.81640625" style="119" customWidth="1"/>
    <col min="4" max="4" width="53.54296875" style="119" customWidth="1"/>
    <col min="5" max="5" width="8.54296875" style="117" customWidth="1"/>
    <col min="6" max="6" width="5" style="117" customWidth="1"/>
    <col min="7" max="7" width="11.453125" style="129" customWidth="1"/>
    <col min="8" max="8" width="8.1796875" style="130" customWidth="1"/>
    <col min="9" max="9" width="9.1796875" style="117"/>
    <col min="10" max="10" width="18.1796875" style="117" customWidth="1"/>
    <col min="11" max="11" width="19.1796875" style="117" customWidth="1"/>
    <col min="12" max="12" width="3.81640625" style="117" customWidth="1"/>
    <col min="13" max="256" width="9.1796875" style="117"/>
    <col min="257" max="257" width="3" style="117" customWidth="1"/>
    <col min="258" max="258" width="5.54296875" style="117" customWidth="1"/>
    <col min="259" max="259" width="10.81640625" style="117" customWidth="1"/>
    <col min="260" max="260" width="53.54296875" style="117" customWidth="1"/>
    <col min="261" max="261" width="8.54296875" style="117" customWidth="1"/>
    <col min="262" max="262" width="5" style="117" customWidth="1"/>
    <col min="263" max="263" width="11.453125" style="117" customWidth="1"/>
    <col min="264" max="264" width="8.1796875" style="117" customWidth="1"/>
    <col min="265" max="265" width="9.1796875" style="117"/>
    <col min="266" max="266" width="18.1796875" style="117" customWidth="1"/>
    <col min="267" max="267" width="19.1796875" style="117" customWidth="1"/>
    <col min="268" max="268" width="3.81640625" style="117" customWidth="1"/>
    <col min="269" max="512" width="9.1796875" style="117"/>
    <col min="513" max="513" width="3" style="117" customWidth="1"/>
    <col min="514" max="514" width="5.54296875" style="117" customWidth="1"/>
    <col min="515" max="515" width="10.81640625" style="117" customWidth="1"/>
    <col min="516" max="516" width="53.54296875" style="117" customWidth="1"/>
    <col min="517" max="517" width="8.54296875" style="117" customWidth="1"/>
    <col min="518" max="518" width="5" style="117" customWidth="1"/>
    <col min="519" max="519" width="11.453125" style="117" customWidth="1"/>
    <col min="520" max="520" width="8.1796875" style="117" customWidth="1"/>
    <col min="521" max="521" width="9.1796875" style="117"/>
    <col min="522" max="522" width="18.1796875" style="117" customWidth="1"/>
    <col min="523" max="523" width="19.1796875" style="117" customWidth="1"/>
    <col min="524" max="524" width="3.81640625" style="117" customWidth="1"/>
    <col min="525" max="768" width="9.1796875" style="117"/>
    <col min="769" max="769" width="3" style="117" customWidth="1"/>
    <col min="770" max="770" width="5.54296875" style="117" customWidth="1"/>
    <col min="771" max="771" width="10.81640625" style="117" customWidth="1"/>
    <col min="772" max="772" width="53.54296875" style="117" customWidth="1"/>
    <col min="773" max="773" width="8.54296875" style="117" customWidth="1"/>
    <col min="774" max="774" width="5" style="117" customWidth="1"/>
    <col min="775" max="775" width="11.453125" style="117" customWidth="1"/>
    <col min="776" max="776" width="8.1796875" style="117" customWidth="1"/>
    <col min="777" max="777" width="9.1796875" style="117"/>
    <col min="778" max="778" width="18.1796875" style="117" customWidth="1"/>
    <col min="779" max="779" width="19.1796875" style="117" customWidth="1"/>
    <col min="780" max="780" width="3.81640625" style="117" customWidth="1"/>
    <col min="781" max="1024" width="9.1796875" style="117"/>
    <col min="1025" max="1025" width="3" style="117" customWidth="1"/>
    <col min="1026" max="1026" width="5.54296875" style="117" customWidth="1"/>
    <col min="1027" max="1027" width="10.81640625" style="117" customWidth="1"/>
    <col min="1028" max="1028" width="53.54296875" style="117" customWidth="1"/>
    <col min="1029" max="1029" width="8.54296875" style="117" customWidth="1"/>
    <col min="1030" max="1030" width="5" style="117" customWidth="1"/>
    <col min="1031" max="1031" width="11.453125" style="117" customWidth="1"/>
    <col min="1032" max="1032" width="8.1796875" style="117" customWidth="1"/>
    <col min="1033" max="1033" width="9.1796875" style="117"/>
    <col min="1034" max="1034" width="18.1796875" style="117" customWidth="1"/>
    <col min="1035" max="1035" width="19.1796875" style="117" customWidth="1"/>
    <col min="1036" max="1036" width="3.81640625" style="117" customWidth="1"/>
    <col min="1037" max="1280" width="9.1796875" style="117"/>
    <col min="1281" max="1281" width="3" style="117" customWidth="1"/>
    <col min="1282" max="1282" width="5.54296875" style="117" customWidth="1"/>
    <col min="1283" max="1283" width="10.81640625" style="117" customWidth="1"/>
    <col min="1284" max="1284" width="53.54296875" style="117" customWidth="1"/>
    <col min="1285" max="1285" width="8.54296875" style="117" customWidth="1"/>
    <col min="1286" max="1286" width="5" style="117" customWidth="1"/>
    <col min="1287" max="1287" width="11.453125" style="117" customWidth="1"/>
    <col min="1288" max="1288" width="8.1796875" style="117" customWidth="1"/>
    <col min="1289" max="1289" width="9.1796875" style="117"/>
    <col min="1290" max="1290" width="18.1796875" style="117" customWidth="1"/>
    <col min="1291" max="1291" width="19.1796875" style="117" customWidth="1"/>
    <col min="1292" max="1292" width="3.81640625" style="117" customWidth="1"/>
    <col min="1293" max="1536" width="9.1796875" style="117"/>
    <col min="1537" max="1537" width="3" style="117" customWidth="1"/>
    <col min="1538" max="1538" width="5.54296875" style="117" customWidth="1"/>
    <col min="1539" max="1539" width="10.81640625" style="117" customWidth="1"/>
    <col min="1540" max="1540" width="53.54296875" style="117" customWidth="1"/>
    <col min="1541" max="1541" width="8.54296875" style="117" customWidth="1"/>
    <col min="1542" max="1542" width="5" style="117" customWidth="1"/>
    <col min="1543" max="1543" width="11.453125" style="117" customWidth="1"/>
    <col min="1544" max="1544" width="8.1796875" style="117" customWidth="1"/>
    <col min="1545" max="1545" width="9.1796875" style="117"/>
    <col min="1546" max="1546" width="18.1796875" style="117" customWidth="1"/>
    <col min="1547" max="1547" width="19.1796875" style="117" customWidth="1"/>
    <col min="1548" max="1548" width="3.81640625" style="117" customWidth="1"/>
    <col min="1549" max="1792" width="9.1796875" style="117"/>
    <col min="1793" max="1793" width="3" style="117" customWidth="1"/>
    <col min="1794" max="1794" width="5.54296875" style="117" customWidth="1"/>
    <col min="1795" max="1795" width="10.81640625" style="117" customWidth="1"/>
    <col min="1796" max="1796" width="53.54296875" style="117" customWidth="1"/>
    <col min="1797" max="1797" width="8.54296875" style="117" customWidth="1"/>
    <col min="1798" max="1798" width="5" style="117" customWidth="1"/>
    <col min="1799" max="1799" width="11.453125" style="117" customWidth="1"/>
    <col min="1800" max="1800" width="8.1796875" style="117" customWidth="1"/>
    <col min="1801" max="1801" width="9.1796875" style="117"/>
    <col min="1802" max="1802" width="18.1796875" style="117" customWidth="1"/>
    <col min="1803" max="1803" width="19.1796875" style="117" customWidth="1"/>
    <col min="1804" max="1804" width="3.81640625" style="117" customWidth="1"/>
    <col min="1805" max="2048" width="9.1796875" style="117"/>
    <col min="2049" max="2049" width="3" style="117" customWidth="1"/>
    <col min="2050" max="2050" width="5.54296875" style="117" customWidth="1"/>
    <col min="2051" max="2051" width="10.81640625" style="117" customWidth="1"/>
    <col min="2052" max="2052" width="53.54296875" style="117" customWidth="1"/>
    <col min="2053" max="2053" width="8.54296875" style="117" customWidth="1"/>
    <col min="2054" max="2054" width="5" style="117" customWidth="1"/>
    <col min="2055" max="2055" width="11.453125" style="117" customWidth="1"/>
    <col min="2056" max="2056" width="8.1796875" style="117" customWidth="1"/>
    <col min="2057" max="2057" width="9.1796875" style="117"/>
    <col min="2058" max="2058" width="18.1796875" style="117" customWidth="1"/>
    <col min="2059" max="2059" width="19.1796875" style="117" customWidth="1"/>
    <col min="2060" max="2060" width="3.81640625" style="117" customWidth="1"/>
    <col min="2061" max="2304" width="9.1796875" style="117"/>
    <col min="2305" max="2305" width="3" style="117" customWidth="1"/>
    <col min="2306" max="2306" width="5.54296875" style="117" customWidth="1"/>
    <col min="2307" max="2307" width="10.81640625" style="117" customWidth="1"/>
    <col min="2308" max="2308" width="53.54296875" style="117" customWidth="1"/>
    <col min="2309" max="2309" width="8.54296875" style="117" customWidth="1"/>
    <col min="2310" max="2310" width="5" style="117" customWidth="1"/>
    <col min="2311" max="2311" width="11.453125" style="117" customWidth="1"/>
    <col min="2312" max="2312" width="8.1796875" style="117" customWidth="1"/>
    <col min="2313" max="2313" width="9.1796875" style="117"/>
    <col min="2314" max="2314" width="18.1796875" style="117" customWidth="1"/>
    <col min="2315" max="2315" width="19.1796875" style="117" customWidth="1"/>
    <col min="2316" max="2316" width="3.81640625" style="117" customWidth="1"/>
    <col min="2317" max="2560" width="9.1796875" style="117"/>
    <col min="2561" max="2561" width="3" style="117" customWidth="1"/>
    <col min="2562" max="2562" width="5.54296875" style="117" customWidth="1"/>
    <col min="2563" max="2563" width="10.81640625" style="117" customWidth="1"/>
    <col min="2564" max="2564" width="53.54296875" style="117" customWidth="1"/>
    <col min="2565" max="2565" width="8.54296875" style="117" customWidth="1"/>
    <col min="2566" max="2566" width="5" style="117" customWidth="1"/>
    <col min="2567" max="2567" width="11.453125" style="117" customWidth="1"/>
    <col min="2568" max="2568" width="8.1796875" style="117" customWidth="1"/>
    <col min="2569" max="2569" width="9.1796875" style="117"/>
    <col min="2570" max="2570" width="18.1796875" style="117" customWidth="1"/>
    <col min="2571" max="2571" width="19.1796875" style="117" customWidth="1"/>
    <col min="2572" max="2572" width="3.81640625" style="117" customWidth="1"/>
    <col min="2573" max="2816" width="9.1796875" style="117"/>
    <col min="2817" max="2817" width="3" style="117" customWidth="1"/>
    <col min="2818" max="2818" width="5.54296875" style="117" customWidth="1"/>
    <col min="2819" max="2819" width="10.81640625" style="117" customWidth="1"/>
    <col min="2820" max="2820" width="53.54296875" style="117" customWidth="1"/>
    <col min="2821" max="2821" width="8.54296875" style="117" customWidth="1"/>
    <col min="2822" max="2822" width="5" style="117" customWidth="1"/>
    <col min="2823" max="2823" width="11.453125" style="117" customWidth="1"/>
    <col min="2824" max="2824" width="8.1796875" style="117" customWidth="1"/>
    <col min="2825" max="2825" width="9.1796875" style="117"/>
    <col min="2826" max="2826" width="18.1796875" style="117" customWidth="1"/>
    <col min="2827" max="2827" width="19.1796875" style="117" customWidth="1"/>
    <col min="2828" max="2828" width="3.81640625" style="117" customWidth="1"/>
    <col min="2829" max="3072" width="9.1796875" style="117"/>
    <col min="3073" max="3073" width="3" style="117" customWidth="1"/>
    <col min="3074" max="3074" width="5.54296875" style="117" customWidth="1"/>
    <col min="3075" max="3075" width="10.81640625" style="117" customWidth="1"/>
    <col min="3076" max="3076" width="53.54296875" style="117" customWidth="1"/>
    <col min="3077" max="3077" width="8.54296875" style="117" customWidth="1"/>
    <col min="3078" max="3078" width="5" style="117" customWidth="1"/>
    <col min="3079" max="3079" width="11.453125" style="117" customWidth="1"/>
    <col min="3080" max="3080" width="8.1796875" style="117" customWidth="1"/>
    <col min="3081" max="3081" width="9.1796875" style="117"/>
    <col min="3082" max="3082" width="18.1796875" style="117" customWidth="1"/>
    <col min="3083" max="3083" width="19.1796875" style="117" customWidth="1"/>
    <col min="3084" max="3084" width="3.81640625" style="117" customWidth="1"/>
    <col min="3085" max="3328" width="9.1796875" style="117"/>
    <col min="3329" max="3329" width="3" style="117" customWidth="1"/>
    <col min="3330" max="3330" width="5.54296875" style="117" customWidth="1"/>
    <col min="3331" max="3331" width="10.81640625" style="117" customWidth="1"/>
    <col min="3332" max="3332" width="53.54296875" style="117" customWidth="1"/>
    <col min="3333" max="3333" width="8.54296875" style="117" customWidth="1"/>
    <col min="3334" max="3334" width="5" style="117" customWidth="1"/>
    <col min="3335" max="3335" width="11.453125" style="117" customWidth="1"/>
    <col min="3336" max="3336" width="8.1796875" style="117" customWidth="1"/>
    <col min="3337" max="3337" width="9.1796875" style="117"/>
    <col min="3338" max="3338" width="18.1796875" style="117" customWidth="1"/>
    <col min="3339" max="3339" width="19.1796875" style="117" customWidth="1"/>
    <col min="3340" max="3340" width="3.81640625" style="117" customWidth="1"/>
    <col min="3341" max="3584" width="9.1796875" style="117"/>
    <col min="3585" max="3585" width="3" style="117" customWidth="1"/>
    <col min="3586" max="3586" width="5.54296875" style="117" customWidth="1"/>
    <col min="3587" max="3587" width="10.81640625" style="117" customWidth="1"/>
    <col min="3588" max="3588" width="53.54296875" style="117" customWidth="1"/>
    <col min="3589" max="3589" width="8.54296875" style="117" customWidth="1"/>
    <col min="3590" max="3590" width="5" style="117" customWidth="1"/>
    <col min="3591" max="3591" width="11.453125" style="117" customWidth="1"/>
    <col min="3592" max="3592" width="8.1796875" style="117" customWidth="1"/>
    <col min="3593" max="3593" width="9.1796875" style="117"/>
    <col min="3594" max="3594" width="18.1796875" style="117" customWidth="1"/>
    <col min="3595" max="3595" width="19.1796875" style="117" customWidth="1"/>
    <col min="3596" max="3596" width="3.81640625" style="117" customWidth="1"/>
    <col min="3597" max="3840" width="9.1796875" style="117"/>
    <col min="3841" max="3841" width="3" style="117" customWidth="1"/>
    <col min="3842" max="3842" width="5.54296875" style="117" customWidth="1"/>
    <col min="3843" max="3843" width="10.81640625" style="117" customWidth="1"/>
    <col min="3844" max="3844" width="53.54296875" style="117" customWidth="1"/>
    <col min="3845" max="3845" width="8.54296875" style="117" customWidth="1"/>
    <col min="3846" max="3846" width="5" style="117" customWidth="1"/>
    <col min="3847" max="3847" width="11.453125" style="117" customWidth="1"/>
    <col min="3848" max="3848" width="8.1796875" style="117" customWidth="1"/>
    <col min="3849" max="3849" width="9.1796875" style="117"/>
    <col min="3850" max="3850" width="18.1796875" style="117" customWidth="1"/>
    <col min="3851" max="3851" width="19.1796875" style="117" customWidth="1"/>
    <col min="3852" max="3852" width="3.81640625" style="117" customWidth="1"/>
    <col min="3853" max="4096" width="9.1796875" style="117"/>
    <col min="4097" max="4097" width="3" style="117" customWidth="1"/>
    <col min="4098" max="4098" width="5.54296875" style="117" customWidth="1"/>
    <col min="4099" max="4099" width="10.81640625" style="117" customWidth="1"/>
    <col min="4100" max="4100" width="53.54296875" style="117" customWidth="1"/>
    <col min="4101" max="4101" width="8.54296875" style="117" customWidth="1"/>
    <col min="4102" max="4102" width="5" style="117" customWidth="1"/>
    <col min="4103" max="4103" width="11.453125" style="117" customWidth="1"/>
    <col min="4104" max="4104" width="8.1796875" style="117" customWidth="1"/>
    <col min="4105" max="4105" width="9.1796875" style="117"/>
    <col min="4106" max="4106" width="18.1796875" style="117" customWidth="1"/>
    <col min="4107" max="4107" width="19.1796875" style="117" customWidth="1"/>
    <col min="4108" max="4108" width="3.81640625" style="117" customWidth="1"/>
    <col min="4109" max="4352" width="9.1796875" style="117"/>
    <col min="4353" max="4353" width="3" style="117" customWidth="1"/>
    <col min="4354" max="4354" width="5.54296875" style="117" customWidth="1"/>
    <col min="4355" max="4355" width="10.81640625" style="117" customWidth="1"/>
    <col min="4356" max="4356" width="53.54296875" style="117" customWidth="1"/>
    <col min="4357" max="4357" width="8.54296875" style="117" customWidth="1"/>
    <col min="4358" max="4358" width="5" style="117" customWidth="1"/>
    <col min="4359" max="4359" width="11.453125" style="117" customWidth="1"/>
    <col min="4360" max="4360" width="8.1796875" style="117" customWidth="1"/>
    <col min="4361" max="4361" width="9.1796875" style="117"/>
    <col min="4362" max="4362" width="18.1796875" style="117" customWidth="1"/>
    <col min="4363" max="4363" width="19.1796875" style="117" customWidth="1"/>
    <col min="4364" max="4364" width="3.81640625" style="117" customWidth="1"/>
    <col min="4365" max="4608" width="9.1796875" style="117"/>
    <col min="4609" max="4609" width="3" style="117" customWidth="1"/>
    <col min="4610" max="4610" width="5.54296875" style="117" customWidth="1"/>
    <col min="4611" max="4611" width="10.81640625" style="117" customWidth="1"/>
    <col min="4612" max="4612" width="53.54296875" style="117" customWidth="1"/>
    <col min="4613" max="4613" width="8.54296875" style="117" customWidth="1"/>
    <col min="4614" max="4614" width="5" style="117" customWidth="1"/>
    <col min="4615" max="4615" width="11.453125" style="117" customWidth="1"/>
    <col min="4616" max="4616" width="8.1796875" style="117" customWidth="1"/>
    <col min="4617" max="4617" width="9.1796875" style="117"/>
    <col min="4618" max="4618" width="18.1796875" style="117" customWidth="1"/>
    <col min="4619" max="4619" width="19.1796875" style="117" customWidth="1"/>
    <col min="4620" max="4620" width="3.81640625" style="117" customWidth="1"/>
    <col min="4621" max="4864" width="9.1796875" style="117"/>
    <col min="4865" max="4865" width="3" style="117" customWidth="1"/>
    <col min="4866" max="4866" width="5.54296875" style="117" customWidth="1"/>
    <col min="4867" max="4867" width="10.81640625" style="117" customWidth="1"/>
    <col min="4868" max="4868" width="53.54296875" style="117" customWidth="1"/>
    <col min="4869" max="4869" width="8.54296875" style="117" customWidth="1"/>
    <col min="4870" max="4870" width="5" style="117" customWidth="1"/>
    <col min="4871" max="4871" width="11.453125" style="117" customWidth="1"/>
    <col min="4872" max="4872" width="8.1796875" style="117" customWidth="1"/>
    <col min="4873" max="4873" width="9.1796875" style="117"/>
    <col min="4874" max="4874" width="18.1796875" style="117" customWidth="1"/>
    <col min="4875" max="4875" width="19.1796875" style="117" customWidth="1"/>
    <col min="4876" max="4876" width="3.81640625" style="117" customWidth="1"/>
    <col min="4877" max="5120" width="9.1796875" style="117"/>
    <col min="5121" max="5121" width="3" style="117" customWidth="1"/>
    <col min="5122" max="5122" width="5.54296875" style="117" customWidth="1"/>
    <col min="5123" max="5123" width="10.81640625" style="117" customWidth="1"/>
    <col min="5124" max="5124" width="53.54296875" style="117" customWidth="1"/>
    <col min="5125" max="5125" width="8.54296875" style="117" customWidth="1"/>
    <col min="5126" max="5126" width="5" style="117" customWidth="1"/>
    <col min="5127" max="5127" width="11.453125" style="117" customWidth="1"/>
    <col min="5128" max="5128" width="8.1796875" style="117" customWidth="1"/>
    <col min="5129" max="5129" width="9.1796875" style="117"/>
    <col min="5130" max="5130" width="18.1796875" style="117" customWidth="1"/>
    <col min="5131" max="5131" width="19.1796875" style="117" customWidth="1"/>
    <col min="5132" max="5132" width="3.81640625" style="117" customWidth="1"/>
    <col min="5133" max="5376" width="9.1796875" style="117"/>
    <col min="5377" max="5377" width="3" style="117" customWidth="1"/>
    <col min="5378" max="5378" width="5.54296875" style="117" customWidth="1"/>
    <col min="5379" max="5379" width="10.81640625" style="117" customWidth="1"/>
    <col min="5380" max="5380" width="53.54296875" style="117" customWidth="1"/>
    <col min="5381" max="5381" width="8.54296875" style="117" customWidth="1"/>
    <col min="5382" max="5382" width="5" style="117" customWidth="1"/>
    <col min="5383" max="5383" width="11.453125" style="117" customWidth="1"/>
    <col min="5384" max="5384" width="8.1796875" style="117" customWidth="1"/>
    <col min="5385" max="5385" width="9.1796875" style="117"/>
    <col min="5386" max="5386" width="18.1796875" style="117" customWidth="1"/>
    <col min="5387" max="5387" width="19.1796875" style="117" customWidth="1"/>
    <col min="5388" max="5388" width="3.81640625" style="117" customWidth="1"/>
    <col min="5389" max="5632" width="9.1796875" style="117"/>
    <col min="5633" max="5633" width="3" style="117" customWidth="1"/>
    <col min="5634" max="5634" width="5.54296875" style="117" customWidth="1"/>
    <col min="5635" max="5635" width="10.81640625" style="117" customWidth="1"/>
    <col min="5636" max="5636" width="53.54296875" style="117" customWidth="1"/>
    <col min="5637" max="5637" width="8.54296875" style="117" customWidth="1"/>
    <col min="5638" max="5638" width="5" style="117" customWidth="1"/>
    <col min="5639" max="5639" width="11.453125" style="117" customWidth="1"/>
    <col min="5640" max="5640" width="8.1796875" style="117" customWidth="1"/>
    <col min="5641" max="5641" width="9.1796875" style="117"/>
    <col min="5642" max="5642" width="18.1796875" style="117" customWidth="1"/>
    <col min="5643" max="5643" width="19.1796875" style="117" customWidth="1"/>
    <col min="5644" max="5644" width="3.81640625" style="117" customWidth="1"/>
    <col min="5645" max="5888" width="9.1796875" style="117"/>
    <col min="5889" max="5889" width="3" style="117" customWidth="1"/>
    <col min="5890" max="5890" width="5.54296875" style="117" customWidth="1"/>
    <col min="5891" max="5891" width="10.81640625" style="117" customWidth="1"/>
    <col min="5892" max="5892" width="53.54296875" style="117" customWidth="1"/>
    <col min="5893" max="5893" width="8.54296875" style="117" customWidth="1"/>
    <col min="5894" max="5894" width="5" style="117" customWidth="1"/>
    <col min="5895" max="5895" width="11.453125" style="117" customWidth="1"/>
    <col min="5896" max="5896" width="8.1796875" style="117" customWidth="1"/>
    <col min="5897" max="5897" width="9.1796875" style="117"/>
    <col min="5898" max="5898" width="18.1796875" style="117" customWidth="1"/>
    <col min="5899" max="5899" width="19.1796875" style="117" customWidth="1"/>
    <col min="5900" max="5900" width="3.81640625" style="117" customWidth="1"/>
    <col min="5901" max="6144" width="9.1796875" style="117"/>
    <col min="6145" max="6145" width="3" style="117" customWidth="1"/>
    <col min="6146" max="6146" width="5.54296875" style="117" customWidth="1"/>
    <col min="6147" max="6147" width="10.81640625" style="117" customWidth="1"/>
    <col min="6148" max="6148" width="53.54296875" style="117" customWidth="1"/>
    <col min="6149" max="6149" width="8.54296875" style="117" customWidth="1"/>
    <col min="6150" max="6150" width="5" style="117" customWidth="1"/>
    <col min="6151" max="6151" width="11.453125" style="117" customWidth="1"/>
    <col min="6152" max="6152" width="8.1796875" style="117" customWidth="1"/>
    <col min="6153" max="6153" width="9.1796875" style="117"/>
    <col min="6154" max="6154" width="18.1796875" style="117" customWidth="1"/>
    <col min="6155" max="6155" width="19.1796875" style="117" customWidth="1"/>
    <col min="6156" max="6156" width="3.81640625" style="117" customWidth="1"/>
    <col min="6157" max="6400" width="9.1796875" style="117"/>
    <col min="6401" max="6401" width="3" style="117" customWidth="1"/>
    <col min="6402" max="6402" width="5.54296875" style="117" customWidth="1"/>
    <col min="6403" max="6403" width="10.81640625" style="117" customWidth="1"/>
    <col min="6404" max="6404" width="53.54296875" style="117" customWidth="1"/>
    <col min="6405" max="6405" width="8.54296875" style="117" customWidth="1"/>
    <col min="6406" max="6406" width="5" style="117" customWidth="1"/>
    <col min="6407" max="6407" width="11.453125" style="117" customWidth="1"/>
    <col min="6408" max="6408" width="8.1796875" style="117" customWidth="1"/>
    <col min="6409" max="6409" width="9.1796875" style="117"/>
    <col min="6410" max="6410" width="18.1796875" style="117" customWidth="1"/>
    <col min="6411" max="6411" width="19.1796875" style="117" customWidth="1"/>
    <col min="6412" max="6412" width="3.81640625" style="117" customWidth="1"/>
    <col min="6413" max="6656" width="9.1796875" style="117"/>
    <col min="6657" max="6657" width="3" style="117" customWidth="1"/>
    <col min="6658" max="6658" width="5.54296875" style="117" customWidth="1"/>
    <col min="6659" max="6659" width="10.81640625" style="117" customWidth="1"/>
    <col min="6660" max="6660" width="53.54296875" style="117" customWidth="1"/>
    <col min="6661" max="6661" width="8.54296875" style="117" customWidth="1"/>
    <col min="6662" max="6662" width="5" style="117" customWidth="1"/>
    <col min="6663" max="6663" width="11.453125" style="117" customWidth="1"/>
    <col min="6664" max="6664" width="8.1796875" style="117" customWidth="1"/>
    <col min="6665" max="6665" width="9.1796875" style="117"/>
    <col min="6666" max="6666" width="18.1796875" style="117" customWidth="1"/>
    <col min="6667" max="6667" width="19.1796875" style="117" customWidth="1"/>
    <col min="6668" max="6668" width="3.81640625" style="117" customWidth="1"/>
    <col min="6669" max="6912" width="9.1796875" style="117"/>
    <col min="6913" max="6913" width="3" style="117" customWidth="1"/>
    <col min="6914" max="6914" width="5.54296875" style="117" customWidth="1"/>
    <col min="6915" max="6915" width="10.81640625" style="117" customWidth="1"/>
    <col min="6916" max="6916" width="53.54296875" style="117" customWidth="1"/>
    <col min="6917" max="6917" width="8.54296875" style="117" customWidth="1"/>
    <col min="6918" max="6918" width="5" style="117" customWidth="1"/>
    <col min="6919" max="6919" width="11.453125" style="117" customWidth="1"/>
    <col min="6920" max="6920" width="8.1796875" style="117" customWidth="1"/>
    <col min="6921" max="6921" width="9.1796875" style="117"/>
    <col min="6922" max="6922" width="18.1796875" style="117" customWidth="1"/>
    <col min="6923" max="6923" width="19.1796875" style="117" customWidth="1"/>
    <col min="6924" max="6924" width="3.81640625" style="117" customWidth="1"/>
    <col min="6925" max="7168" width="9.1796875" style="117"/>
    <col min="7169" max="7169" width="3" style="117" customWidth="1"/>
    <col min="7170" max="7170" width="5.54296875" style="117" customWidth="1"/>
    <col min="7171" max="7171" width="10.81640625" style="117" customWidth="1"/>
    <col min="7172" max="7172" width="53.54296875" style="117" customWidth="1"/>
    <col min="7173" max="7173" width="8.54296875" style="117" customWidth="1"/>
    <col min="7174" max="7174" width="5" style="117" customWidth="1"/>
    <col min="7175" max="7175" width="11.453125" style="117" customWidth="1"/>
    <col min="7176" max="7176" width="8.1796875" style="117" customWidth="1"/>
    <col min="7177" max="7177" width="9.1796875" style="117"/>
    <col min="7178" max="7178" width="18.1796875" style="117" customWidth="1"/>
    <col min="7179" max="7179" width="19.1796875" style="117" customWidth="1"/>
    <col min="7180" max="7180" width="3.81640625" style="117" customWidth="1"/>
    <col min="7181" max="7424" width="9.1796875" style="117"/>
    <col min="7425" max="7425" width="3" style="117" customWidth="1"/>
    <col min="7426" max="7426" width="5.54296875" style="117" customWidth="1"/>
    <col min="7427" max="7427" width="10.81640625" style="117" customWidth="1"/>
    <col min="7428" max="7428" width="53.54296875" style="117" customWidth="1"/>
    <col min="7429" max="7429" width="8.54296875" style="117" customWidth="1"/>
    <col min="7430" max="7430" width="5" style="117" customWidth="1"/>
    <col min="7431" max="7431" width="11.453125" style="117" customWidth="1"/>
    <col min="7432" max="7432" width="8.1796875" style="117" customWidth="1"/>
    <col min="7433" max="7433" width="9.1796875" style="117"/>
    <col min="7434" max="7434" width="18.1796875" style="117" customWidth="1"/>
    <col min="7435" max="7435" width="19.1796875" style="117" customWidth="1"/>
    <col min="7436" max="7436" width="3.81640625" style="117" customWidth="1"/>
    <col min="7437" max="7680" width="9.1796875" style="117"/>
    <col min="7681" max="7681" width="3" style="117" customWidth="1"/>
    <col min="7682" max="7682" width="5.54296875" style="117" customWidth="1"/>
    <col min="7683" max="7683" width="10.81640625" style="117" customWidth="1"/>
    <col min="7684" max="7684" width="53.54296875" style="117" customWidth="1"/>
    <col min="7685" max="7685" width="8.54296875" style="117" customWidth="1"/>
    <col min="7686" max="7686" width="5" style="117" customWidth="1"/>
    <col min="7687" max="7687" width="11.453125" style="117" customWidth="1"/>
    <col min="7688" max="7688" width="8.1796875" style="117" customWidth="1"/>
    <col min="7689" max="7689" width="9.1796875" style="117"/>
    <col min="7690" max="7690" width="18.1796875" style="117" customWidth="1"/>
    <col min="7691" max="7691" width="19.1796875" style="117" customWidth="1"/>
    <col min="7692" max="7692" width="3.81640625" style="117" customWidth="1"/>
    <col min="7693" max="7936" width="9.1796875" style="117"/>
    <col min="7937" max="7937" width="3" style="117" customWidth="1"/>
    <col min="7938" max="7938" width="5.54296875" style="117" customWidth="1"/>
    <col min="7939" max="7939" width="10.81640625" style="117" customWidth="1"/>
    <col min="7940" max="7940" width="53.54296875" style="117" customWidth="1"/>
    <col min="7941" max="7941" width="8.54296875" style="117" customWidth="1"/>
    <col min="7942" max="7942" width="5" style="117" customWidth="1"/>
    <col min="7943" max="7943" width="11.453125" style="117" customWidth="1"/>
    <col min="7944" max="7944" width="8.1796875" style="117" customWidth="1"/>
    <col min="7945" max="7945" width="9.1796875" style="117"/>
    <col min="7946" max="7946" width="18.1796875" style="117" customWidth="1"/>
    <col min="7947" max="7947" width="19.1796875" style="117" customWidth="1"/>
    <col min="7948" max="7948" width="3.81640625" style="117" customWidth="1"/>
    <col min="7949" max="8192" width="9.1796875" style="117"/>
    <col min="8193" max="8193" width="3" style="117" customWidth="1"/>
    <col min="8194" max="8194" width="5.54296875" style="117" customWidth="1"/>
    <col min="8195" max="8195" width="10.81640625" style="117" customWidth="1"/>
    <col min="8196" max="8196" width="53.54296875" style="117" customWidth="1"/>
    <col min="8197" max="8197" width="8.54296875" style="117" customWidth="1"/>
    <col min="8198" max="8198" width="5" style="117" customWidth="1"/>
    <col min="8199" max="8199" width="11.453125" style="117" customWidth="1"/>
    <col min="8200" max="8200" width="8.1796875" style="117" customWidth="1"/>
    <col min="8201" max="8201" width="9.1796875" style="117"/>
    <col min="8202" max="8202" width="18.1796875" style="117" customWidth="1"/>
    <col min="8203" max="8203" width="19.1796875" style="117" customWidth="1"/>
    <col min="8204" max="8204" width="3.81640625" style="117" customWidth="1"/>
    <col min="8205" max="8448" width="9.1796875" style="117"/>
    <col min="8449" max="8449" width="3" style="117" customWidth="1"/>
    <col min="8450" max="8450" width="5.54296875" style="117" customWidth="1"/>
    <col min="8451" max="8451" width="10.81640625" style="117" customWidth="1"/>
    <col min="8452" max="8452" width="53.54296875" style="117" customWidth="1"/>
    <col min="8453" max="8453" width="8.54296875" style="117" customWidth="1"/>
    <col min="8454" max="8454" width="5" style="117" customWidth="1"/>
    <col min="8455" max="8455" width="11.453125" style="117" customWidth="1"/>
    <col min="8456" max="8456" width="8.1796875" style="117" customWidth="1"/>
    <col min="8457" max="8457" width="9.1796875" style="117"/>
    <col min="8458" max="8458" width="18.1796875" style="117" customWidth="1"/>
    <col min="8459" max="8459" width="19.1796875" style="117" customWidth="1"/>
    <col min="8460" max="8460" width="3.81640625" style="117" customWidth="1"/>
    <col min="8461" max="8704" width="9.1796875" style="117"/>
    <col min="8705" max="8705" width="3" style="117" customWidth="1"/>
    <col min="8706" max="8706" width="5.54296875" style="117" customWidth="1"/>
    <col min="8707" max="8707" width="10.81640625" style="117" customWidth="1"/>
    <col min="8708" max="8708" width="53.54296875" style="117" customWidth="1"/>
    <col min="8709" max="8709" width="8.54296875" style="117" customWidth="1"/>
    <col min="8710" max="8710" width="5" style="117" customWidth="1"/>
    <col min="8711" max="8711" width="11.453125" style="117" customWidth="1"/>
    <col min="8712" max="8712" width="8.1796875" style="117" customWidth="1"/>
    <col min="8713" max="8713" width="9.1796875" style="117"/>
    <col min="8714" max="8714" width="18.1796875" style="117" customWidth="1"/>
    <col min="8715" max="8715" width="19.1796875" style="117" customWidth="1"/>
    <col min="8716" max="8716" width="3.81640625" style="117" customWidth="1"/>
    <col min="8717" max="8960" width="9.1796875" style="117"/>
    <col min="8961" max="8961" width="3" style="117" customWidth="1"/>
    <col min="8962" max="8962" width="5.54296875" style="117" customWidth="1"/>
    <col min="8963" max="8963" width="10.81640625" style="117" customWidth="1"/>
    <col min="8964" max="8964" width="53.54296875" style="117" customWidth="1"/>
    <col min="8965" max="8965" width="8.54296875" style="117" customWidth="1"/>
    <col min="8966" max="8966" width="5" style="117" customWidth="1"/>
    <col min="8967" max="8967" width="11.453125" style="117" customWidth="1"/>
    <col min="8968" max="8968" width="8.1796875" style="117" customWidth="1"/>
    <col min="8969" max="8969" width="9.1796875" style="117"/>
    <col min="8970" max="8970" width="18.1796875" style="117" customWidth="1"/>
    <col min="8971" max="8971" width="19.1796875" style="117" customWidth="1"/>
    <col min="8972" max="8972" width="3.81640625" style="117" customWidth="1"/>
    <col min="8973" max="9216" width="9.1796875" style="117"/>
    <col min="9217" max="9217" width="3" style="117" customWidth="1"/>
    <col min="9218" max="9218" width="5.54296875" style="117" customWidth="1"/>
    <col min="9219" max="9219" width="10.81640625" style="117" customWidth="1"/>
    <col min="9220" max="9220" width="53.54296875" style="117" customWidth="1"/>
    <col min="9221" max="9221" width="8.54296875" style="117" customWidth="1"/>
    <col min="9222" max="9222" width="5" style="117" customWidth="1"/>
    <col min="9223" max="9223" width="11.453125" style="117" customWidth="1"/>
    <col min="9224" max="9224" width="8.1796875" style="117" customWidth="1"/>
    <col min="9225" max="9225" width="9.1796875" style="117"/>
    <col min="9226" max="9226" width="18.1796875" style="117" customWidth="1"/>
    <col min="9227" max="9227" width="19.1796875" style="117" customWidth="1"/>
    <col min="9228" max="9228" width="3.81640625" style="117" customWidth="1"/>
    <col min="9229" max="9472" width="9.1796875" style="117"/>
    <col min="9473" max="9473" width="3" style="117" customWidth="1"/>
    <col min="9474" max="9474" width="5.54296875" style="117" customWidth="1"/>
    <col min="9475" max="9475" width="10.81640625" style="117" customWidth="1"/>
    <col min="9476" max="9476" width="53.54296875" style="117" customWidth="1"/>
    <col min="9477" max="9477" width="8.54296875" style="117" customWidth="1"/>
    <col min="9478" max="9478" width="5" style="117" customWidth="1"/>
    <col min="9479" max="9479" width="11.453125" style="117" customWidth="1"/>
    <col min="9480" max="9480" width="8.1796875" style="117" customWidth="1"/>
    <col min="9481" max="9481" width="9.1796875" style="117"/>
    <col min="9482" max="9482" width="18.1796875" style="117" customWidth="1"/>
    <col min="9483" max="9483" width="19.1796875" style="117" customWidth="1"/>
    <col min="9484" max="9484" width="3.81640625" style="117" customWidth="1"/>
    <col min="9485" max="9728" width="9.1796875" style="117"/>
    <col min="9729" max="9729" width="3" style="117" customWidth="1"/>
    <col min="9730" max="9730" width="5.54296875" style="117" customWidth="1"/>
    <col min="9731" max="9731" width="10.81640625" style="117" customWidth="1"/>
    <col min="9732" max="9732" width="53.54296875" style="117" customWidth="1"/>
    <col min="9733" max="9733" width="8.54296875" style="117" customWidth="1"/>
    <col min="9734" max="9734" width="5" style="117" customWidth="1"/>
    <col min="9735" max="9735" width="11.453125" style="117" customWidth="1"/>
    <col min="9736" max="9736" width="8.1796875" style="117" customWidth="1"/>
    <col min="9737" max="9737" width="9.1796875" style="117"/>
    <col min="9738" max="9738" width="18.1796875" style="117" customWidth="1"/>
    <col min="9739" max="9739" width="19.1796875" style="117" customWidth="1"/>
    <col min="9740" max="9740" width="3.81640625" style="117" customWidth="1"/>
    <col min="9741" max="9984" width="9.1796875" style="117"/>
    <col min="9985" max="9985" width="3" style="117" customWidth="1"/>
    <col min="9986" max="9986" width="5.54296875" style="117" customWidth="1"/>
    <col min="9987" max="9987" width="10.81640625" style="117" customWidth="1"/>
    <col min="9988" max="9988" width="53.54296875" style="117" customWidth="1"/>
    <col min="9989" max="9989" width="8.54296875" style="117" customWidth="1"/>
    <col min="9990" max="9990" width="5" style="117" customWidth="1"/>
    <col min="9991" max="9991" width="11.453125" style="117" customWidth="1"/>
    <col min="9992" max="9992" width="8.1796875" style="117" customWidth="1"/>
    <col min="9993" max="9993" width="9.1796875" style="117"/>
    <col min="9994" max="9994" width="18.1796875" style="117" customWidth="1"/>
    <col min="9995" max="9995" width="19.1796875" style="117" customWidth="1"/>
    <col min="9996" max="9996" width="3.81640625" style="117" customWidth="1"/>
    <col min="9997" max="10240" width="9.1796875" style="117"/>
    <col min="10241" max="10241" width="3" style="117" customWidth="1"/>
    <col min="10242" max="10242" width="5.54296875" style="117" customWidth="1"/>
    <col min="10243" max="10243" width="10.81640625" style="117" customWidth="1"/>
    <col min="10244" max="10244" width="53.54296875" style="117" customWidth="1"/>
    <col min="10245" max="10245" width="8.54296875" style="117" customWidth="1"/>
    <col min="10246" max="10246" width="5" style="117" customWidth="1"/>
    <col min="10247" max="10247" width="11.453125" style="117" customWidth="1"/>
    <col min="10248" max="10248" width="8.1796875" style="117" customWidth="1"/>
    <col min="10249" max="10249" width="9.1796875" style="117"/>
    <col min="10250" max="10250" width="18.1796875" style="117" customWidth="1"/>
    <col min="10251" max="10251" width="19.1796875" style="117" customWidth="1"/>
    <col min="10252" max="10252" width="3.81640625" style="117" customWidth="1"/>
    <col min="10253" max="10496" width="9.1796875" style="117"/>
    <col min="10497" max="10497" width="3" style="117" customWidth="1"/>
    <col min="10498" max="10498" width="5.54296875" style="117" customWidth="1"/>
    <col min="10499" max="10499" width="10.81640625" style="117" customWidth="1"/>
    <col min="10500" max="10500" width="53.54296875" style="117" customWidth="1"/>
    <col min="10501" max="10501" width="8.54296875" style="117" customWidth="1"/>
    <col min="10502" max="10502" width="5" style="117" customWidth="1"/>
    <col min="10503" max="10503" width="11.453125" style="117" customWidth="1"/>
    <col min="10504" max="10504" width="8.1796875" style="117" customWidth="1"/>
    <col min="10505" max="10505" width="9.1796875" style="117"/>
    <col min="10506" max="10506" width="18.1796875" style="117" customWidth="1"/>
    <col min="10507" max="10507" width="19.1796875" style="117" customWidth="1"/>
    <col min="10508" max="10508" width="3.81640625" style="117" customWidth="1"/>
    <col min="10509" max="10752" width="9.1796875" style="117"/>
    <col min="10753" max="10753" width="3" style="117" customWidth="1"/>
    <col min="10754" max="10754" width="5.54296875" style="117" customWidth="1"/>
    <col min="10755" max="10755" width="10.81640625" style="117" customWidth="1"/>
    <col min="10756" max="10756" width="53.54296875" style="117" customWidth="1"/>
    <col min="10757" max="10757" width="8.54296875" style="117" customWidth="1"/>
    <col min="10758" max="10758" width="5" style="117" customWidth="1"/>
    <col min="10759" max="10759" width="11.453125" style="117" customWidth="1"/>
    <col min="10760" max="10760" width="8.1796875" style="117" customWidth="1"/>
    <col min="10761" max="10761" width="9.1796875" style="117"/>
    <col min="10762" max="10762" width="18.1796875" style="117" customWidth="1"/>
    <col min="10763" max="10763" width="19.1796875" style="117" customWidth="1"/>
    <col min="10764" max="10764" width="3.81640625" style="117" customWidth="1"/>
    <col min="10765" max="11008" width="9.1796875" style="117"/>
    <col min="11009" max="11009" width="3" style="117" customWidth="1"/>
    <col min="11010" max="11010" width="5.54296875" style="117" customWidth="1"/>
    <col min="11011" max="11011" width="10.81640625" style="117" customWidth="1"/>
    <col min="11012" max="11012" width="53.54296875" style="117" customWidth="1"/>
    <col min="11013" max="11013" width="8.54296875" style="117" customWidth="1"/>
    <col min="11014" max="11014" width="5" style="117" customWidth="1"/>
    <col min="11015" max="11015" width="11.453125" style="117" customWidth="1"/>
    <col min="11016" max="11016" width="8.1796875" style="117" customWidth="1"/>
    <col min="11017" max="11017" width="9.1796875" style="117"/>
    <col min="11018" max="11018" width="18.1796875" style="117" customWidth="1"/>
    <col min="11019" max="11019" width="19.1796875" style="117" customWidth="1"/>
    <col min="11020" max="11020" width="3.81640625" style="117" customWidth="1"/>
    <col min="11021" max="11264" width="9.1796875" style="117"/>
    <col min="11265" max="11265" width="3" style="117" customWidth="1"/>
    <col min="11266" max="11266" width="5.54296875" style="117" customWidth="1"/>
    <col min="11267" max="11267" width="10.81640625" style="117" customWidth="1"/>
    <col min="11268" max="11268" width="53.54296875" style="117" customWidth="1"/>
    <col min="11269" max="11269" width="8.54296875" style="117" customWidth="1"/>
    <col min="11270" max="11270" width="5" style="117" customWidth="1"/>
    <col min="11271" max="11271" width="11.453125" style="117" customWidth="1"/>
    <col min="11272" max="11272" width="8.1796875" style="117" customWidth="1"/>
    <col min="11273" max="11273" width="9.1796875" style="117"/>
    <col min="11274" max="11274" width="18.1796875" style="117" customWidth="1"/>
    <col min="11275" max="11275" width="19.1796875" style="117" customWidth="1"/>
    <col min="11276" max="11276" width="3.81640625" style="117" customWidth="1"/>
    <col min="11277" max="11520" width="9.1796875" style="117"/>
    <col min="11521" max="11521" width="3" style="117" customWidth="1"/>
    <col min="11522" max="11522" width="5.54296875" style="117" customWidth="1"/>
    <col min="11523" max="11523" width="10.81640625" style="117" customWidth="1"/>
    <col min="11524" max="11524" width="53.54296875" style="117" customWidth="1"/>
    <col min="11525" max="11525" width="8.54296875" style="117" customWidth="1"/>
    <col min="11526" max="11526" width="5" style="117" customWidth="1"/>
    <col min="11527" max="11527" width="11.453125" style="117" customWidth="1"/>
    <col min="11528" max="11528" width="8.1796875" style="117" customWidth="1"/>
    <col min="11529" max="11529" width="9.1796875" style="117"/>
    <col min="11530" max="11530" width="18.1796875" style="117" customWidth="1"/>
    <col min="11531" max="11531" width="19.1796875" style="117" customWidth="1"/>
    <col min="11532" max="11532" width="3.81640625" style="117" customWidth="1"/>
    <col min="11533" max="11776" width="9.1796875" style="117"/>
    <col min="11777" max="11777" width="3" style="117" customWidth="1"/>
    <col min="11778" max="11778" width="5.54296875" style="117" customWidth="1"/>
    <col min="11779" max="11779" width="10.81640625" style="117" customWidth="1"/>
    <col min="11780" max="11780" width="53.54296875" style="117" customWidth="1"/>
    <col min="11781" max="11781" width="8.54296875" style="117" customWidth="1"/>
    <col min="11782" max="11782" width="5" style="117" customWidth="1"/>
    <col min="11783" max="11783" width="11.453125" style="117" customWidth="1"/>
    <col min="11784" max="11784" width="8.1796875" style="117" customWidth="1"/>
    <col min="11785" max="11785" width="9.1796875" style="117"/>
    <col min="11786" max="11786" width="18.1796875" style="117" customWidth="1"/>
    <col min="11787" max="11787" width="19.1796875" style="117" customWidth="1"/>
    <col min="11788" max="11788" width="3.81640625" style="117" customWidth="1"/>
    <col min="11789" max="12032" width="9.1796875" style="117"/>
    <col min="12033" max="12033" width="3" style="117" customWidth="1"/>
    <col min="12034" max="12034" width="5.54296875" style="117" customWidth="1"/>
    <col min="12035" max="12035" width="10.81640625" style="117" customWidth="1"/>
    <col min="12036" max="12036" width="53.54296875" style="117" customWidth="1"/>
    <col min="12037" max="12037" width="8.54296875" style="117" customWidth="1"/>
    <col min="12038" max="12038" width="5" style="117" customWidth="1"/>
    <col min="12039" max="12039" width="11.453125" style="117" customWidth="1"/>
    <col min="12040" max="12040" width="8.1796875" style="117" customWidth="1"/>
    <col min="12041" max="12041" width="9.1796875" style="117"/>
    <col min="12042" max="12042" width="18.1796875" style="117" customWidth="1"/>
    <col min="12043" max="12043" width="19.1796875" style="117" customWidth="1"/>
    <col min="12044" max="12044" width="3.81640625" style="117" customWidth="1"/>
    <col min="12045" max="12288" width="9.1796875" style="117"/>
    <col min="12289" max="12289" width="3" style="117" customWidth="1"/>
    <col min="12290" max="12290" width="5.54296875" style="117" customWidth="1"/>
    <col min="12291" max="12291" width="10.81640625" style="117" customWidth="1"/>
    <col min="12292" max="12292" width="53.54296875" style="117" customWidth="1"/>
    <col min="12293" max="12293" width="8.54296875" style="117" customWidth="1"/>
    <col min="12294" max="12294" width="5" style="117" customWidth="1"/>
    <col min="12295" max="12295" width="11.453125" style="117" customWidth="1"/>
    <col min="12296" max="12296" width="8.1796875" style="117" customWidth="1"/>
    <col min="12297" max="12297" width="9.1796875" style="117"/>
    <col min="12298" max="12298" width="18.1796875" style="117" customWidth="1"/>
    <col min="12299" max="12299" width="19.1796875" style="117" customWidth="1"/>
    <col min="12300" max="12300" width="3.81640625" style="117" customWidth="1"/>
    <col min="12301" max="12544" width="9.1796875" style="117"/>
    <col min="12545" max="12545" width="3" style="117" customWidth="1"/>
    <col min="12546" max="12546" width="5.54296875" style="117" customWidth="1"/>
    <col min="12547" max="12547" width="10.81640625" style="117" customWidth="1"/>
    <col min="12548" max="12548" width="53.54296875" style="117" customWidth="1"/>
    <col min="12549" max="12549" width="8.54296875" style="117" customWidth="1"/>
    <col min="12550" max="12550" width="5" style="117" customWidth="1"/>
    <col min="12551" max="12551" width="11.453125" style="117" customWidth="1"/>
    <col min="12552" max="12552" width="8.1796875" style="117" customWidth="1"/>
    <col min="12553" max="12553" width="9.1796875" style="117"/>
    <col min="12554" max="12554" width="18.1796875" style="117" customWidth="1"/>
    <col min="12555" max="12555" width="19.1796875" style="117" customWidth="1"/>
    <col min="12556" max="12556" width="3.81640625" style="117" customWidth="1"/>
    <col min="12557" max="12800" width="9.1796875" style="117"/>
    <col min="12801" max="12801" width="3" style="117" customWidth="1"/>
    <col min="12802" max="12802" width="5.54296875" style="117" customWidth="1"/>
    <col min="12803" max="12803" width="10.81640625" style="117" customWidth="1"/>
    <col min="12804" max="12804" width="53.54296875" style="117" customWidth="1"/>
    <col min="12805" max="12805" width="8.54296875" style="117" customWidth="1"/>
    <col min="12806" max="12806" width="5" style="117" customWidth="1"/>
    <col min="12807" max="12807" width="11.453125" style="117" customWidth="1"/>
    <col min="12808" max="12808" width="8.1796875" style="117" customWidth="1"/>
    <col min="12809" max="12809" width="9.1796875" style="117"/>
    <col min="12810" max="12810" width="18.1796875" style="117" customWidth="1"/>
    <col min="12811" max="12811" width="19.1796875" style="117" customWidth="1"/>
    <col min="12812" max="12812" width="3.81640625" style="117" customWidth="1"/>
    <col min="12813" max="13056" width="9.1796875" style="117"/>
    <col min="13057" max="13057" width="3" style="117" customWidth="1"/>
    <col min="13058" max="13058" width="5.54296875" style="117" customWidth="1"/>
    <col min="13059" max="13059" width="10.81640625" style="117" customWidth="1"/>
    <col min="13060" max="13060" width="53.54296875" style="117" customWidth="1"/>
    <col min="13061" max="13061" width="8.54296875" style="117" customWidth="1"/>
    <col min="13062" max="13062" width="5" style="117" customWidth="1"/>
    <col min="13063" max="13063" width="11.453125" style="117" customWidth="1"/>
    <col min="13064" max="13064" width="8.1796875" style="117" customWidth="1"/>
    <col min="13065" max="13065" width="9.1796875" style="117"/>
    <col min="13066" max="13066" width="18.1796875" style="117" customWidth="1"/>
    <col min="13067" max="13067" width="19.1796875" style="117" customWidth="1"/>
    <col min="13068" max="13068" width="3.81640625" style="117" customWidth="1"/>
    <col min="13069" max="13312" width="9.1796875" style="117"/>
    <col min="13313" max="13313" width="3" style="117" customWidth="1"/>
    <col min="13314" max="13314" width="5.54296875" style="117" customWidth="1"/>
    <col min="13315" max="13315" width="10.81640625" style="117" customWidth="1"/>
    <col min="13316" max="13316" width="53.54296875" style="117" customWidth="1"/>
    <col min="13317" max="13317" width="8.54296875" style="117" customWidth="1"/>
    <col min="13318" max="13318" width="5" style="117" customWidth="1"/>
    <col min="13319" max="13319" width="11.453125" style="117" customWidth="1"/>
    <col min="13320" max="13320" width="8.1796875" style="117" customWidth="1"/>
    <col min="13321" max="13321" width="9.1796875" style="117"/>
    <col min="13322" max="13322" width="18.1796875" style="117" customWidth="1"/>
    <col min="13323" max="13323" width="19.1796875" style="117" customWidth="1"/>
    <col min="13324" max="13324" width="3.81640625" style="117" customWidth="1"/>
    <col min="13325" max="13568" width="9.1796875" style="117"/>
    <col min="13569" max="13569" width="3" style="117" customWidth="1"/>
    <col min="13570" max="13570" width="5.54296875" style="117" customWidth="1"/>
    <col min="13571" max="13571" width="10.81640625" style="117" customWidth="1"/>
    <col min="13572" max="13572" width="53.54296875" style="117" customWidth="1"/>
    <col min="13573" max="13573" width="8.54296875" style="117" customWidth="1"/>
    <col min="13574" max="13574" width="5" style="117" customWidth="1"/>
    <col min="13575" max="13575" width="11.453125" style="117" customWidth="1"/>
    <col min="13576" max="13576" width="8.1796875" style="117" customWidth="1"/>
    <col min="13577" max="13577" width="9.1796875" style="117"/>
    <col min="13578" max="13578" width="18.1796875" style="117" customWidth="1"/>
    <col min="13579" max="13579" width="19.1796875" style="117" customWidth="1"/>
    <col min="13580" max="13580" width="3.81640625" style="117" customWidth="1"/>
    <col min="13581" max="13824" width="9.1796875" style="117"/>
    <col min="13825" max="13825" width="3" style="117" customWidth="1"/>
    <col min="13826" max="13826" width="5.54296875" style="117" customWidth="1"/>
    <col min="13827" max="13827" width="10.81640625" style="117" customWidth="1"/>
    <col min="13828" max="13828" width="53.54296875" style="117" customWidth="1"/>
    <col min="13829" max="13829" width="8.54296875" style="117" customWidth="1"/>
    <col min="13830" max="13830" width="5" style="117" customWidth="1"/>
    <col min="13831" max="13831" width="11.453125" style="117" customWidth="1"/>
    <col min="13832" max="13832" width="8.1796875" style="117" customWidth="1"/>
    <col min="13833" max="13833" width="9.1796875" style="117"/>
    <col min="13834" max="13834" width="18.1796875" style="117" customWidth="1"/>
    <col min="13835" max="13835" width="19.1796875" style="117" customWidth="1"/>
    <col min="13836" max="13836" width="3.81640625" style="117" customWidth="1"/>
    <col min="13837" max="14080" width="9.1796875" style="117"/>
    <col min="14081" max="14081" width="3" style="117" customWidth="1"/>
    <col min="14082" max="14082" width="5.54296875" style="117" customWidth="1"/>
    <col min="14083" max="14083" width="10.81640625" style="117" customWidth="1"/>
    <col min="14084" max="14084" width="53.54296875" style="117" customWidth="1"/>
    <col min="14085" max="14085" width="8.54296875" style="117" customWidth="1"/>
    <col min="14086" max="14086" width="5" style="117" customWidth="1"/>
    <col min="14087" max="14087" width="11.453125" style="117" customWidth="1"/>
    <col min="14088" max="14088" width="8.1796875" style="117" customWidth="1"/>
    <col min="14089" max="14089" width="9.1796875" style="117"/>
    <col min="14090" max="14090" width="18.1796875" style="117" customWidth="1"/>
    <col min="14091" max="14091" width="19.1796875" style="117" customWidth="1"/>
    <col min="14092" max="14092" width="3.81640625" style="117" customWidth="1"/>
    <col min="14093" max="14336" width="9.1796875" style="117"/>
    <col min="14337" max="14337" width="3" style="117" customWidth="1"/>
    <col min="14338" max="14338" width="5.54296875" style="117" customWidth="1"/>
    <col min="14339" max="14339" width="10.81640625" style="117" customWidth="1"/>
    <col min="14340" max="14340" width="53.54296875" style="117" customWidth="1"/>
    <col min="14341" max="14341" width="8.54296875" style="117" customWidth="1"/>
    <col min="14342" max="14342" width="5" style="117" customWidth="1"/>
    <col min="14343" max="14343" width="11.453125" style="117" customWidth="1"/>
    <col min="14344" max="14344" width="8.1796875" style="117" customWidth="1"/>
    <col min="14345" max="14345" width="9.1796875" style="117"/>
    <col min="14346" max="14346" width="18.1796875" style="117" customWidth="1"/>
    <col min="14347" max="14347" width="19.1796875" style="117" customWidth="1"/>
    <col min="14348" max="14348" width="3.81640625" style="117" customWidth="1"/>
    <col min="14349" max="14592" width="9.1796875" style="117"/>
    <col min="14593" max="14593" width="3" style="117" customWidth="1"/>
    <col min="14594" max="14594" width="5.54296875" style="117" customWidth="1"/>
    <col min="14595" max="14595" width="10.81640625" style="117" customWidth="1"/>
    <col min="14596" max="14596" width="53.54296875" style="117" customWidth="1"/>
    <col min="14597" max="14597" width="8.54296875" style="117" customWidth="1"/>
    <col min="14598" max="14598" width="5" style="117" customWidth="1"/>
    <col min="14599" max="14599" width="11.453125" style="117" customWidth="1"/>
    <col min="14600" max="14600" width="8.1796875" style="117" customWidth="1"/>
    <col min="14601" max="14601" width="9.1796875" style="117"/>
    <col min="14602" max="14602" width="18.1796875" style="117" customWidth="1"/>
    <col min="14603" max="14603" width="19.1796875" style="117" customWidth="1"/>
    <col min="14604" max="14604" width="3.81640625" style="117" customWidth="1"/>
    <col min="14605" max="14848" width="9.1796875" style="117"/>
    <col min="14849" max="14849" width="3" style="117" customWidth="1"/>
    <col min="14850" max="14850" width="5.54296875" style="117" customWidth="1"/>
    <col min="14851" max="14851" width="10.81640625" style="117" customWidth="1"/>
    <col min="14852" max="14852" width="53.54296875" style="117" customWidth="1"/>
    <col min="14853" max="14853" width="8.54296875" style="117" customWidth="1"/>
    <col min="14854" max="14854" width="5" style="117" customWidth="1"/>
    <col min="14855" max="14855" width="11.453125" style="117" customWidth="1"/>
    <col min="14856" max="14856" width="8.1796875" style="117" customWidth="1"/>
    <col min="14857" max="14857" width="9.1796875" style="117"/>
    <col min="14858" max="14858" width="18.1796875" style="117" customWidth="1"/>
    <col min="14859" max="14859" width="19.1796875" style="117" customWidth="1"/>
    <col min="14860" max="14860" width="3.81640625" style="117" customWidth="1"/>
    <col min="14861" max="15104" width="9.1796875" style="117"/>
    <col min="15105" max="15105" width="3" style="117" customWidth="1"/>
    <col min="15106" max="15106" width="5.54296875" style="117" customWidth="1"/>
    <col min="15107" max="15107" width="10.81640625" style="117" customWidth="1"/>
    <col min="15108" max="15108" width="53.54296875" style="117" customWidth="1"/>
    <col min="15109" max="15109" width="8.54296875" style="117" customWidth="1"/>
    <col min="15110" max="15110" width="5" style="117" customWidth="1"/>
    <col min="15111" max="15111" width="11.453125" style="117" customWidth="1"/>
    <col min="15112" max="15112" width="8.1796875" style="117" customWidth="1"/>
    <col min="15113" max="15113" width="9.1796875" style="117"/>
    <col min="15114" max="15114" width="18.1796875" style="117" customWidth="1"/>
    <col min="15115" max="15115" width="19.1796875" style="117" customWidth="1"/>
    <col min="15116" max="15116" width="3.81640625" style="117" customWidth="1"/>
    <col min="15117" max="15360" width="9.1796875" style="117"/>
    <col min="15361" max="15361" width="3" style="117" customWidth="1"/>
    <col min="15362" max="15362" width="5.54296875" style="117" customWidth="1"/>
    <col min="15363" max="15363" width="10.81640625" style="117" customWidth="1"/>
    <col min="15364" max="15364" width="53.54296875" style="117" customWidth="1"/>
    <col min="15365" max="15365" width="8.54296875" style="117" customWidth="1"/>
    <col min="15366" max="15366" width="5" style="117" customWidth="1"/>
    <col min="15367" max="15367" width="11.453125" style="117" customWidth="1"/>
    <col min="15368" max="15368" width="8.1796875" style="117" customWidth="1"/>
    <col min="15369" max="15369" width="9.1796875" style="117"/>
    <col min="15370" max="15370" width="18.1796875" style="117" customWidth="1"/>
    <col min="15371" max="15371" width="19.1796875" style="117" customWidth="1"/>
    <col min="15372" max="15372" width="3.81640625" style="117" customWidth="1"/>
    <col min="15373" max="15616" width="9.1796875" style="117"/>
    <col min="15617" max="15617" width="3" style="117" customWidth="1"/>
    <col min="15618" max="15618" width="5.54296875" style="117" customWidth="1"/>
    <col min="15619" max="15619" width="10.81640625" style="117" customWidth="1"/>
    <col min="15620" max="15620" width="53.54296875" style="117" customWidth="1"/>
    <col min="15621" max="15621" width="8.54296875" style="117" customWidth="1"/>
    <col min="15622" max="15622" width="5" style="117" customWidth="1"/>
    <col min="15623" max="15623" width="11.453125" style="117" customWidth="1"/>
    <col min="15624" max="15624" width="8.1796875" style="117" customWidth="1"/>
    <col min="15625" max="15625" width="9.1796875" style="117"/>
    <col min="15626" max="15626" width="18.1796875" style="117" customWidth="1"/>
    <col min="15627" max="15627" width="19.1796875" style="117" customWidth="1"/>
    <col min="15628" max="15628" width="3.81640625" style="117" customWidth="1"/>
    <col min="15629" max="15872" width="9.1796875" style="117"/>
    <col min="15873" max="15873" width="3" style="117" customWidth="1"/>
    <col min="15874" max="15874" width="5.54296875" style="117" customWidth="1"/>
    <col min="15875" max="15875" width="10.81640625" style="117" customWidth="1"/>
    <col min="15876" max="15876" width="53.54296875" style="117" customWidth="1"/>
    <col min="15877" max="15877" width="8.54296875" style="117" customWidth="1"/>
    <col min="15878" max="15878" width="5" style="117" customWidth="1"/>
    <col min="15879" max="15879" width="11.453125" style="117" customWidth="1"/>
    <col min="15880" max="15880" width="8.1796875" style="117" customWidth="1"/>
    <col min="15881" max="15881" width="9.1796875" style="117"/>
    <col min="15882" max="15882" width="18.1796875" style="117" customWidth="1"/>
    <col min="15883" max="15883" width="19.1796875" style="117" customWidth="1"/>
    <col min="15884" max="15884" width="3.81640625" style="117" customWidth="1"/>
    <col min="15885" max="16128" width="9.1796875" style="117"/>
    <col min="16129" max="16129" width="3" style="117" customWidth="1"/>
    <col min="16130" max="16130" width="5.54296875" style="117" customWidth="1"/>
    <col min="16131" max="16131" width="10.81640625" style="117" customWidth="1"/>
    <col min="16132" max="16132" width="53.54296875" style="117" customWidth="1"/>
    <col min="16133" max="16133" width="8.54296875" style="117" customWidth="1"/>
    <col min="16134" max="16134" width="5" style="117" customWidth="1"/>
    <col min="16135" max="16135" width="11.453125" style="117" customWidth="1"/>
    <col min="16136" max="16136" width="8.1796875" style="117" customWidth="1"/>
    <col min="16137" max="16137" width="9.1796875" style="117"/>
    <col min="16138" max="16138" width="18.1796875" style="117" customWidth="1"/>
    <col min="16139" max="16139" width="19.1796875" style="117" customWidth="1"/>
    <col min="16140" max="16140" width="3.81640625" style="117" customWidth="1"/>
    <col min="16141" max="16384" width="9.1796875" style="117"/>
  </cols>
  <sheetData>
    <row r="2" spans="2:11" ht="25.5" customHeight="1" x14ac:dyDescent="0.35">
      <c r="B2" s="118"/>
      <c r="D2" s="166" t="s">
        <v>302</v>
      </c>
      <c r="E2" s="166"/>
      <c r="F2" s="166"/>
      <c r="G2" s="166"/>
      <c r="H2" s="166"/>
      <c r="I2" s="166"/>
      <c r="J2" s="166"/>
      <c r="K2" s="166"/>
    </row>
    <row r="3" spans="2:11" ht="12.75" customHeight="1" x14ac:dyDescent="0.35">
      <c r="B3" s="120"/>
      <c r="C3" s="121"/>
      <c r="D3" s="121"/>
      <c r="E3" s="121"/>
      <c r="F3" s="121"/>
      <c r="G3" s="121"/>
      <c r="H3" s="121"/>
      <c r="I3" s="121"/>
      <c r="J3" s="121"/>
      <c r="K3" s="121"/>
    </row>
    <row r="4" spans="2:11" ht="25.5" customHeight="1" x14ac:dyDescent="0.35">
      <c r="B4" s="160" t="s">
        <v>269</v>
      </c>
      <c r="C4" s="161"/>
      <c r="D4" s="161"/>
      <c r="E4" s="161"/>
      <c r="F4" s="161"/>
      <c r="G4" s="161"/>
      <c r="H4" s="161"/>
      <c r="I4" s="161"/>
      <c r="J4" s="161"/>
      <c r="K4" s="162"/>
    </row>
    <row r="5" spans="2:11" ht="27.75" customHeight="1" x14ac:dyDescent="0.35">
      <c r="B5" s="113" t="s">
        <v>227</v>
      </c>
      <c r="C5" s="163" t="s">
        <v>228</v>
      </c>
      <c r="D5" s="165"/>
      <c r="E5" s="114" t="s">
        <v>229</v>
      </c>
      <c r="F5" s="114" t="s">
        <v>246</v>
      </c>
      <c r="G5" s="114" t="s">
        <v>231</v>
      </c>
      <c r="H5" s="114" t="s">
        <v>247</v>
      </c>
      <c r="I5" s="114" t="s">
        <v>248</v>
      </c>
      <c r="J5" s="114" t="s">
        <v>232</v>
      </c>
      <c r="K5" s="114" t="s">
        <v>233</v>
      </c>
    </row>
    <row r="6" spans="2:11" ht="14.25" customHeight="1" x14ac:dyDescent="0.35">
      <c r="B6" s="122">
        <v>1</v>
      </c>
      <c r="C6" s="154" t="s">
        <v>249</v>
      </c>
      <c r="D6" s="156"/>
      <c r="E6" s="123" t="s">
        <v>235</v>
      </c>
      <c r="F6" s="124">
        <v>24</v>
      </c>
      <c r="G6" s="125">
        <v>4.84</v>
      </c>
      <c r="H6" s="126">
        <f>IF(G6="","",F6*G6)</f>
        <v>116.16</v>
      </c>
      <c r="I6" s="124">
        <v>12</v>
      </c>
      <c r="J6" s="127">
        <f>IF(H6="","",ROUND((H6/I6),2))</f>
        <v>9.68</v>
      </c>
      <c r="K6" s="116">
        <f t="shared" ref="K6:K14" si="0">IF(J6="","",J6*12)</f>
        <v>116.16</v>
      </c>
    </row>
    <row r="7" spans="2:11" s="119" customFormat="1" ht="15" customHeight="1" x14ac:dyDescent="0.35">
      <c r="B7" s="122">
        <v>2</v>
      </c>
      <c r="C7" s="154" t="s">
        <v>250</v>
      </c>
      <c r="D7" s="156"/>
      <c r="E7" s="123" t="s">
        <v>237</v>
      </c>
      <c r="F7" s="124">
        <v>8</v>
      </c>
      <c r="G7" s="125">
        <v>104.48</v>
      </c>
      <c r="H7" s="126">
        <f t="shared" ref="H7:H14" si="1">IF(G7="","",F7*G7)</f>
        <v>835.84</v>
      </c>
      <c r="I7" s="124">
        <v>12</v>
      </c>
      <c r="J7" s="127">
        <f t="shared" ref="J7:J14" si="2">IF(H7="","",ROUND((H7/I7),2))</f>
        <v>69.650000000000006</v>
      </c>
      <c r="K7" s="116">
        <f t="shared" si="0"/>
        <v>835.80000000000007</v>
      </c>
    </row>
    <row r="8" spans="2:11" s="119" customFormat="1" x14ac:dyDescent="0.35">
      <c r="B8" s="122">
        <v>3</v>
      </c>
      <c r="C8" s="154" t="s">
        <v>251</v>
      </c>
      <c r="D8" s="156"/>
      <c r="E8" s="123" t="s">
        <v>235</v>
      </c>
      <c r="F8" s="124">
        <v>2</v>
      </c>
      <c r="G8" s="125">
        <v>127.09</v>
      </c>
      <c r="H8" s="126">
        <f t="shared" si="1"/>
        <v>254.18</v>
      </c>
      <c r="I8" s="124">
        <v>30</v>
      </c>
      <c r="J8" s="127">
        <f t="shared" si="2"/>
        <v>8.4700000000000006</v>
      </c>
      <c r="K8" s="116">
        <f t="shared" si="0"/>
        <v>101.64000000000001</v>
      </c>
    </row>
    <row r="9" spans="2:11" s="119" customFormat="1" x14ac:dyDescent="0.35">
      <c r="B9" s="122">
        <v>4</v>
      </c>
      <c r="C9" s="154" t="s">
        <v>252</v>
      </c>
      <c r="D9" s="156"/>
      <c r="E9" s="123" t="s">
        <v>235</v>
      </c>
      <c r="F9" s="124">
        <v>10</v>
      </c>
      <c r="G9" s="125">
        <v>33.92</v>
      </c>
      <c r="H9" s="126">
        <f t="shared" si="1"/>
        <v>339.20000000000005</v>
      </c>
      <c r="I9" s="124">
        <v>60</v>
      </c>
      <c r="J9" s="127">
        <f t="shared" si="2"/>
        <v>5.65</v>
      </c>
      <c r="K9" s="116">
        <f t="shared" si="0"/>
        <v>67.800000000000011</v>
      </c>
    </row>
    <row r="10" spans="2:11" s="119" customFormat="1" x14ac:dyDescent="0.35">
      <c r="B10" s="122">
        <v>5</v>
      </c>
      <c r="C10" s="154" t="s">
        <v>253</v>
      </c>
      <c r="D10" s="156"/>
      <c r="E10" s="123" t="s">
        <v>235</v>
      </c>
      <c r="F10" s="124">
        <v>24</v>
      </c>
      <c r="G10" s="125">
        <v>12.23</v>
      </c>
      <c r="H10" s="126">
        <f t="shared" si="1"/>
        <v>293.52</v>
      </c>
      <c r="I10" s="124">
        <v>12</v>
      </c>
      <c r="J10" s="127">
        <f t="shared" si="2"/>
        <v>24.46</v>
      </c>
      <c r="K10" s="116">
        <f t="shared" si="0"/>
        <v>293.52</v>
      </c>
    </row>
    <row r="11" spans="2:11" s="119" customFormat="1" x14ac:dyDescent="0.35">
      <c r="B11" s="122">
        <v>6</v>
      </c>
      <c r="C11" s="154" t="s">
        <v>270</v>
      </c>
      <c r="D11" s="156"/>
      <c r="E11" s="123" t="s">
        <v>235</v>
      </c>
      <c r="F11" s="124">
        <v>1</v>
      </c>
      <c r="G11" s="125">
        <v>875.33</v>
      </c>
      <c r="H11" s="126">
        <f t="shared" si="1"/>
        <v>875.33</v>
      </c>
      <c r="I11" s="124">
        <v>60</v>
      </c>
      <c r="J11" s="127">
        <f t="shared" si="2"/>
        <v>14.59</v>
      </c>
      <c r="K11" s="116">
        <f t="shared" si="0"/>
        <v>175.07999999999998</v>
      </c>
    </row>
    <row r="12" spans="2:11" s="119" customFormat="1" x14ac:dyDescent="0.35">
      <c r="B12" s="122">
        <v>7</v>
      </c>
      <c r="C12" s="154" t="s">
        <v>271</v>
      </c>
      <c r="D12" s="156"/>
      <c r="E12" s="123" t="s">
        <v>235</v>
      </c>
      <c r="F12" s="124">
        <v>1</v>
      </c>
      <c r="G12" s="125">
        <v>143.37</v>
      </c>
      <c r="H12" s="126">
        <f t="shared" si="1"/>
        <v>143.37</v>
      </c>
      <c r="I12" s="124">
        <v>60</v>
      </c>
      <c r="J12" s="127">
        <f t="shared" si="2"/>
        <v>2.39</v>
      </c>
      <c r="K12" s="116">
        <f t="shared" si="0"/>
        <v>28.68</v>
      </c>
    </row>
    <row r="13" spans="2:11" s="119" customFormat="1" x14ac:dyDescent="0.35">
      <c r="B13" s="122">
        <v>8</v>
      </c>
      <c r="C13" s="154" t="s">
        <v>272</v>
      </c>
      <c r="D13" s="156"/>
      <c r="E13" s="123" t="s">
        <v>235</v>
      </c>
      <c r="F13" s="124">
        <v>1</v>
      </c>
      <c r="G13" s="125">
        <v>39.67</v>
      </c>
      <c r="H13" s="126">
        <f t="shared" si="1"/>
        <v>39.67</v>
      </c>
      <c r="I13" s="124">
        <v>30</v>
      </c>
      <c r="J13" s="127">
        <f t="shared" si="2"/>
        <v>1.32</v>
      </c>
      <c r="K13" s="116">
        <f t="shared" si="0"/>
        <v>15.84</v>
      </c>
    </row>
    <row r="14" spans="2:11" s="119" customFormat="1" x14ac:dyDescent="0.35">
      <c r="B14" s="122">
        <v>9</v>
      </c>
      <c r="C14" s="154" t="s">
        <v>254</v>
      </c>
      <c r="D14" s="156"/>
      <c r="E14" s="123" t="s">
        <v>235</v>
      </c>
      <c r="F14" s="124">
        <v>6</v>
      </c>
      <c r="G14" s="125">
        <v>14.64</v>
      </c>
      <c r="H14" s="126">
        <f t="shared" si="1"/>
        <v>87.84</v>
      </c>
      <c r="I14" s="124">
        <v>12</v>
      </c>
      <c r="J14" s="127">
        <f t="shared" si="2"/>
        <v>7.32</v>
      </c>
      <c r="K14" s="116">
        <f t="shared" si="0"/>
        <v>87.84</v>
      </c>
    </row>
    <row r="15" spans="2:11" ht="4.5" customHeight="1" x14ac:dyDescent="0.35"/>
    <row r="16" spans="2:11" ht="21" customHeight="1" x14ac:dyDescent="0.35">
      <c r="C16" s="157" t="s">
        <v>255</v>
      </c>
      <c r="D16" s="158"/>
      <c r="E16" s="158"/>
      <c r="F16" s="158"/>
      <c r="G16" s="158"/>
      <c r="H16" s="158"/>
      <c r="I16" s="159"/>
      <c r="J16" s="131">
        <f>SUM(J6:J14)</f>
        <v>143.53</v>
      </c>
      <c r="K16" s="131">
        <f>SUM(K6:K14)</f>
        <v>1722.36</v>
      </c>
    </row>
    <row r="17" spans="2:11" ht="15" customHeight="1" x14ac:dyDescent="0.35"/>
    <row r="18" spans="2:11" ht="33" customHeight="1" x14ac:dyDescent="0.35">
      <c r="B18" s="160" t="s">
        <v>273</v>
      </c>
      <c r="C18" s="161"/>
      <c r="D18" s="161"/>
      <c r="E18" s="161"/>
      <c r="F18" s="161"/>
      <c r="G18" s="161"/>
      <c r="H18" s="161"/>
      <c r="I18" s="161"/>
      <c r="J18" s="161"/>
      <c r="K18" s="162"/>
    </row>
    <row r="19" spans="2:11" ht="27.75" customHeight="1" x14ac:dyDescent="0.35">
      <c r="B19" s="113" t="s">
        <v>227</v>
      </c>
      <c r="C19" s="163" t="s">
        <v>228</v>
      </c>
      <c r="D19" s="164"/>
      <c r="E19" s="164"/>
      <c r="F19" s="165"/>
      <c r="G19" s="114" t="s">
        <v>229</v>
      </c>
      <c r="H19" s="114" t="s">
        <v>230</v>
      </c>
      <c r="I19" s="114" t="s">
        <v>231</v>
      </c>
      <c r="J19" s="114" t="s">
        <v>232</v>
      </c>
      <c r="K19" s="114" t="s">
        <v>233</v>
      </c>
    </row>
    <row r="20" spans="2:11" ht="15" customHeight="1" x14ac:dyDescent="0.35">
      <c r="B20" s="128">
        <v>10</v>
      </c>
      <c r="C20" s="154" t="s">
        <v>234</v>
      </c>
      <c r="D20" s="155"/>
      <c r="E20" s="155"/>
      <c r="F20" s="156"/>
      <c r="G20" s="132" t="s">
        <v>235</v>
      </c>
      <c r="H20" s="133">
        <v>30</v>
      </c>
      <c r="I20" s="134">
        <v>4.6500000000000004</v>
      </c>
      <c r="J20" s="127">
        <f t="shared" ref="J20:J45" si="3">IF(I20="","",H20*I20)</f>
        <v>139.5</v>
      </c>
      <c r="K20" s="135">
        <f t="shared" ref="K20:K45" si="4">IF(J20="","",J20*12)</f>
        <v>1674</v>
      </c>
    </row>
    <row r="21" spans="2:11" ht="14.25" customHeight="1" x14ac:dyDescent="0.35">
      <c r="B21" s="122">
        <v>11</v>
      </c>
      <c r="C21" s="154" t="s">
        <v>236</v>
      </c>
      <c r="D21" s="155"/>
      <c r="E21" s="155"/>
      <c r="F21" s="156"/>
      <c r="G21" s="123" t="s">
        <v>235</v>
      </c>
      <c r="H21" s="124">
        <v>8</v>
      </c>
      <c r="I21" s="134">
        <v>3.44</v>
      </c>
      <c r="J21" s="127">
        <f t="shared" si="3"/>
        <v>27.52</v>
      </c>
      <c r="K21" s="135">
        <f t="shared" si="4"/>
        <v>330.24</v>
      </c>
    </row>
    <row r="22" spans="2:11" s="119" customFormat="1" ht="15" customHeight="1" x14ac:dyDescent="0.35">
      <c r="B22" s="128">
        <v>12</v>
      </c>
      <c r="C22" s="154" t="s">
        <v>238</v>
      </c>
      <c r="D22" s="155"/>
      <c r="E22" s="155"/>
      <c r="F22" s="156"/>
      <c r="G22" s="123" t="s">
        <v>235</v>
      </c>
      <c r="H22" s="124">
        <v>36</v>
      </c>
      <c r="I22" s="134">
        <v>16.66</v>
      </c>
      <c r="J22" s="127">
        <f t="shared" si="3"/>
        <v>599.76</v>
      </c>
      <c r="K22" s="135">
        <f t="shared" si="4"/>
        <v>7197.12</v>
      </c>
    </row>
    <row r="23" spans="2:11" s="119" customFormat="1" ht="15" customHeight="1" x14ac:dyDescent="0.35">
      <c r="B23" s="122">
        <v>13</v>
      </c>
      <c r="C23" s="154" t="s">
        <v>239</v>
      </c>
      <c r="D23" s="155"/>
      <c r="E23" s="155"/>
      <c r="F23" s="156"/>
      <c r="G23" s="123" t="s">
        <v>235</v>
      </c>
      <c r="H23" s="124">
        <v>4</v>
      </c>
      <c r="I23" s="134">
        <v>8.33</v>
      </c>
      <c r="J23" s="127">
        <f t="shared" si="3"/>
        <v>33.32</v>
      </c>
      <c r="K23" s="135">
        <f t="shared" si="4"/>
        <v>399.84000000000003</v>
      </c>
    </row>
    <row r="24" spans="2:11" s="119" customFormat="1" ht="15" customHeight="1" x14ac:dyDescent="0.35">
      <c r="B24" s="128">
        <v>14</v>
      </c>
      <c r="C24" s="154" t="s">
        <v>240</v>
      </c>
      <c r="D24" s="155"/>
      <c r="E24" s="155"/>
      <c r="F24" s="156"/>
      <c r="G24" s="123" t="s">
        <v>235</v>
      </c>
      <c r="H24" s="124">
        <v>1</v>
      </c>
      <c r="I24" s="134">
        <v>9.3800000000000008</v>
      </c>
      <c r="J24" s="127">
        <f t="shared" si="3"/>
        <v>9.3800000000000008</v>
      </c>
      <c r="K24" s="135">
        <f t="shared" si="4"/>
        <v>112.56</v>
      </c>
    </row>
    <row r="25" spans="2:11" s="119" customFormat="1" ht="15" customHeight="1" x14ac:dyDescent="0.35">
      <c r="B25" s="122">
        <v>15</v>
      </c>
      <c r="C25" s="154" t="s">
        <v>241</v>
      </c>
      <c r="D25" s="155"/>
      <c r="E25" s="155"/>
      <c r="F25" s="156"/>
      <c r="G25" s="123" t="s">
        <v>235</v>
      </c>
      <c r="H25" s="124">
        <v>160</v>
      </c>
      <c r="I25" s="134">
        <v>5.33</v>
      </c>
      <c r="J25" s="127">
        <f t="shared" si="3"/>
        <v>852.8</v>
      </c>
      <c r="K25" s="135">
        <f t="shared" si="4"/>
        <v>10233.599999999999</v>
      </c>
    </row>
    <row r="26" spans="2:11" s="119" customFormat="1" ht="15" customHeight="1" x14ac:dyDescent="0.35">
      <c r="B26" s="128">
        <v>16</v>
      </c>
      <c r="C26" s="154" t="s">
        <v>242</v>
      </c>
      <c r="D26" s="155"/>
      <c r="E26" s="155"/>
      <c r="F26" s="156"/>
      <c r="G26" s="123" t="s">
        <v>235</v>
      </c>
      <c r="H26" s="124">
        <v>30</v>
      </c>
      <c r="I26" s="134">
        <v>2.35</v>
      </c>
      <c r="J26" s="127">
        <f t="shared" si="3"/>
        <v>70.5</v>
      </c>
      <c r="K26" s="135">
        <f t="shared" si="4"/>
        <v>846</v>
      </c>
    </row>
    <row r="27" spans="2:11" s="119" customFormat="1" ht="15" customHeight="1" x14ac:dyDescent="0.35">
      <c r="B27" s="122">
        <v>17</v>
      </c>
      <c r="C27" s="154" t="s">
        <v>243</v>
      </c>
      <c r="D27" s="155"/>
      <c r="E27" s="155"/>
      <c r="F27" s="156"/>
      <c r="G27" s="123" t="s">
        <v>235</v>
      </c>
      <c r="H27" s="124">
        <v>2</v>
      </c>
      <c r="I27" s="134">
        <v>57.43</v>
      </c>
      <c r="J27" s="127">
        <f t="shared" si="3"/>
        <v>114.86</v>
      </c>
      <c r="K27" s="135">
        <f t="shared" si="4"/>
        <v>1378.32</v>
      </c>
    </row>
    <row r="28" spans="2:11" ht="27" customHeight="1" x14ac:dyDescent="0.35">
      <c r="B28" s="128">
        <v>18</v>
      </c>
      <c r="C28" s="154" t="s">
        <v>244</v>
      </c>
      <c r="D28" s="155"/>
      <c r="E28" s="155"/>
      <c r="F28" s="156"/>
      <c r="G28" s="123" t="s">
        <v>235</v>
      </c>
      <c r="H28" s="124">
        <v>48</v>
      </c>
      <c r="I28" s="134">
        <v>2.76</v>
      </c>
      <c r="J28" s="127">
        <f t="shared" si="3"/>
        <v>132.47999999999999</v>
      </c>
      <c r="K28" s="135">
        <f t="shared" si="4"/>
        <v>1589.7599999999998</v>
      </c>
    </row>
    <row r="29" spans="2:11" s="136" customFormat="1" ht="15" customHeight="1" x14ac:dyDescent="0.35">
      <c r="B29" s="122">
        <v>19</v>
      </c>
      <c r="C29" s="154" t="s">
        <v>245</v>
      </c>
      <c r="D29" s="155"/>
      <c r="E29" s="155"/>
      <c r="F29" s="156"/>
      <c r="G29" s="123" t="s">
        <v>235</v>
      </c>
      <c r="H29" s="124">
        <v>4</v>
      </c>
      <c r="I29" s="134">
        <v>7.84</v>
      </c>
      <c r="J29" s="127">
        <f t="shared" si="3"/>
        <v>31.36</v>
      </c>
      <c r="K29" s="135">
        <f t="shared" si="4"/>
        <v>376.32</v>
      </c>
    </row>
    <row r="30" spans="2:11" s="136" customFormat="1" ht="23.25" customHeight="1" x14ac:dyDescent="0.35">
      <c r="B30" s="128">
        <v>20</v>
      </c>
      <c r="C30" s="154" t="s">
        <v>274</v>
      </c>
      <c r="D30" s="155"/>
      <c r="E30" s="155"/>
      <c r="F30" s="156"/>
      <c r="G30" s="123" t="s">
        <v>235</v>
      </c>
      <c r="H30" s="124">
        <v>120</v>
      </c>
      <c r="I30" s="134">
        <v>19.649999999999999</v>
      </c>
      <c r="J30" s="127">
        <f t="shared" si="3"/>
        <v>2358</v>
      </c>
      <c r="K30" s="135">
        <f t="shared" si="4"/>
        <v>28296</v>
      </c>
    </row>
    <row r="31" spans="2:11" s="136" customFormat="1" ht="24" customHeight="1" x14ac:dyDescent="0.35">
      <c r="B31" s="122">
        <v>21</v>
      </c>
      <c r="C31" s="154" t="s">
        <v>275</v>
      </c>
      <c r="D31" s="155"/>
      <c r="E31" s="155"/>
      <c r="F31" s="156"/>
      <c r="G31" s="123" t="s">
        <v>235</v>
      </c>
      <c r="H31" s="140">
        <v>0.25</v>
      </c>
      <c r="I31" s="134">
        <v>86.59</v>
      </c>
      <c r="J31" s="127">
        <f t="shared" si="3"/>
        <v>21.647500000000001</v>
      </c>
      <c r="K31" s="135">
        <f t="shared" si="4"/>
        <v>259.77</v>
      </c>
    </row>
    <row r="32" spans="2:11" s="136" customFormat="1" ht="26.25" customHeight="1" x14ac:dyDescent="0.35">
      <c r="B32" s="128">
        <v>22</v>
      </c>
      <c r="C32" s="154" t="s">
        <v>276</v>
      </c>
      <c r="D32" s="155"/>
      <c r="E32" s="155"/>
      <c r="F32" s="156"/>
      <c r="G32" s="123" t="s">
        <v>235</v>
      </c>
      <c r="H32" s="124">
        <v>3</v>
      </c>
      <c r="I32" s="134">
        <v>48.51</v>
      </c>
      <c r="J32" s="127">
        <f t="shared" si="3"/>
        <v>145.53</v>
      </c>
      <c r="K32" s="135">
        <f t="shared" si="4"/>
        <v>1746.3600000000001</v>
      </c>
    </row>
    <row r="33" spans="2:11" s="136" customFormat="1" ht="28.5" customHeight="1" x14ac:dyDescent="0.35">
      <c r="B33" s="122">
        <v>23</v>
      </c>
      <c r="C33" s="154" t="s">
        <v>277</v>
      </c>
      <c r="D33" s="155"/>
      <c r="E33" s="155"/>
      <c r="F33" s="156"/>
      <c r="G33" s="123" t="s">
        <v>235</v>
      </c>
      <c r="H33" s="124">
        <v>3</v>
      </c>
      <c r="I33" s="134">
        <v>38.880000000000003</v>
      </c>
      <c r="J33" s="127">
        <f t="shared" si="3"/>
        <v>116.64000000000001</v>
      </c>
      <c r="K33" s="135">
        <f t="shared" si="4"/>
        <v>1399.6800000000003</v>
      </c>
    </row>
    <row r="34" spans="2:11" s="136" customFormat="1" ht="21.75" customHeight="1" x14ac:dyDescent="0.35">
      <c r="B34" s="128">
        <v>24</v>
      </c>
      <c r="C34" s="154" t="s">
        <v>278</v>
      </c>
      <c r="D34" s="155"/>
      <c r="E34" s="155"/>
      <c r="F34" s="156"/>
      <c r="G34" s="123" t="s">
        <v>235</v>
      </c>
      <c r="H34" s="140">
        <v>0.25</v>
      </c>
      <c r="I34" s="134">
        <v>146.56</v>
      </c>
      <c r="J34" s="127">
        <f t="shared" si="3"/>
        <v>36.64</v>
      </c>
      <c r="K34" s="135">
        <f t="shared" si="4"/>
        <v>439.68</v>
      </c>
    </row>
    <row r="35" spans="2:11" s="119" customFormat="1" ht="27" customHeight="1" x14ac:dyDescent="0.35">
      <c r="B35" s="122">
        <v>25</v>
      </c>
      <c r="C35" s="154" t="s">
        <v>279</v>
      </c>
      <c r="D35" s="155"/>
      <c r="E35" s="155"/>
      <c r="F35" s="156"/>
      <c r="G35" s="123" t="s">
        <v>262</v>
      </c>
      <c r="H35" s="124">
        <v>6</v>
      </c>
      <c r="I35" s="134">
        <v>15.2</v>
      </c>
      <c r="J35" s="127">
        <f t="shared" si="3"/>
        <v>91.199999999999989</v>
      </c>
      <c r="K35" s="135">
        <f t="shared" si="4"/>
        <v>1094.3999999999999</v>
      </c>
    </row>
    <row r="36" spans="2:11" ht="27" customHeight="1" x14ac:dyDescent="0.35">
      <c r="B36" s="128">
        <v>26</v>
      </c>
      <c r="C36" s="154" t="s">
        <v>280</v>
      </c>
      <c r="D36" s="155"/>
      <c r="E36" s="155"/>
      <c r="F36" s="156"/>
      <c r="G36" s="123" t="s">
        <v>237</v>
      </c>
      <c r="H36" s="124">
        <v>132</v>
      </c>
      <c r="I36" s="134">
        <v>0.47</v>
      </c>
      <c r="J36" s="127">
        <f t="shared" si="3"/>
        <v>62.04</v>
      </c>
      <c r="K36" s="135">
        <f t="shared" si="4"/>
        <v>744.48</v>
      </c>
    </row>
    <row r="37" spans="2:11" ht="27" customHeight="1" x14ac:dyDescent="0.35">
      <c r="B37" s="122">
        <v>27</v>
      </c>
      <c r="C37" s="154" t="s">
        <v>281</v>
      </c>
      <c r="D37" s="155"/>
      <c r="E37" s="155"/>
      <c r="F37" s="156"/>
      <c r="G37" s="123" t="s">
        <v>235</v>
      </c>
      <c r="H37" s="124">
        <v>120</v>
      </c>
      <c r="I37" s="134">
        <v>8.11</v>
      </c>
      <c r="J37" s="127">
        <f t="shared" si="3"/>
        <v>973.19999999999993</v>
      </c>
      <c r="K37" s="135">
        <f t="shared" si="4"/>
        <v>11678.4</v>
      </c>
    </row>
    <row r="38" spans="2:11" ht="37.5" customHeight="1" x14ac:dyDescent="0.35">
      <c r="B38" s="128">
        <v>28</v>
      </c>
      <c r="C38" s="154" t="s">
        <v>282</v>
      </c>
      <c r="D38" s="155"/>
      <c r="E38" s="155"/>
      <c r="F38" s="156"/>
      <c r="G38" s="123" t="s">
        <v>262</v>
      </c>
      <c r="H38" s="124">
        <v>14</v>
      </c>
      <c r="I38" s="134">
        <v>13.14</v>
      </c>
      <c r="J38" s="127">
        <f t="shared" si="3"/>
        <v>183.96</v>
      </c>
      <c r="K38" s="135">
        <f t="shared" si="4"/>
        <v>2207.52</v>
      </c>
    </row>
    <row r="39" spans="2:11" ht="27" customHeight="1" x14ac:dyDescent="0.35">
      <c r="B39" s="122">
        <v>29</v>
      </c>
      <c r="C39" s="154" t="s">
        <v>283</v>
      </c>
      <c r="D39" s="155"/>
      <c r="E39" s="155"/>
      <c r="F39" s="156"/>
      <c r="G39" s="115" t="s">
        <v>235</v>
      </c>
      <c r="H39" s="124">
        <v>5</v>
      </c>
      <c r="I39" s="134">
        <v>8.26</v>
      </c>
      <c r="J39" s="127">
        <f t="shared" si="3"/>
        <v>41.3</v>
      </c>
      <c r="K39" s="135">
        <f t="shared" si="4"/>
        <v>495.59999999999997</v>
      </c>
    </row>
    <row r="40" spans="2:11" ht="27" customHeight="1" x14ac:dyDescent="0.35">
      <c r="B40" s="128">
        <v>30</v>
      </c>
      <c r="C40" s="154" t="s">
        <v>284</v>
      </c>
      <c r="D40" s="155"/>
      <c r="E40" s="155"/>
      <c r="F40" s="156"/>
      <c r="G40" s="123" t="s">
        <v>262</v>
      </c>
      <c r="H40" s="124">
        <v>6</v>
      </c>
      <c r="I40" s="134">
        <v>8.31</v>
      </c>
      <c r="J40" s="127">
        <f t="shared" si="3"/>
        <v>49.86</v>
      </c>
      <c r="K40" s="135">
        <f t="shared" si="4"/>
        <v>598.31999999999994</v>
      </c>
    </row>
    <row r="41" spans="2:11" ht="37.5" customHeight="1" x14ac:dyDescent="0.35">
      <c r="B41" s="122">
        <v>31</v>
      </c>
      <c r="C41" s="154" t="s">
        <v>285</v>
      </c>
      <c r="D41" s="155"/>
      <c r="E41" s="155"/>
      <c r="F41" s="156"/>
      <c r="G41" s="137" t="s">
        <v>263</v>
      </c>
      <c r="H41" s="140">
        <v>0.25</v>
      </c>
      <c r="I41" s="134">
        <v>172.72</v>
      </c>
      <c r="J41" s="127">
        <f t="shared" si="3"/>
        <v>43.18</v>
      </c>
      <c r="K41" s="135">
        <f t="shared" si="4"/>
        <v>518.16</v>
      </c>
    </row>
    <row r="42" spans="2:11" ht="27" customHeight="1" x14ac:dyDescent="0.35">
      <c r="B42" s="128">
        <v>32</v>
      </c>
      <c r="C42" s="154" t="s">
        <v>286</v>
      </c>
      <c r="D42" s="155"/>
      <c r="E42" s="155"/>
      <c r="F42" s="156"/>
      <c r="G42" s="115" t="s">
        <v>235</v>
      </c>
      <c r="H42" s="140">
        <v>0.25</v>
      </c>
      <c r="I42" s="134">
        <v>31</v>
      </c>
      <c r="J42" s="127">
        <f>IF(I42="","",H42*I42)</f>
        <v>7.75</v>
      </c>
      <c r="K42" s="135">
        <f t="shared" si="4"/>
        <v>93</v>
      </c>
    </row>
    <row r="43" spans="2:11" ht="37.5" customHeight="1" x14ac:dyDescent="0.35">
      <c r="B43" s="122">
        <v>33</v>
      </c>
      <c r="C43" s="154" t="s">
        <v>287</v>
      </c>
      <c r="D43" s="155"/>
      <c r="E43" s="155"/>
      <c r="F43" s="156"/>
      <c r="G43" s="115" t="s">
        <v>235</v>
      </c>
      <c r="H43" s="140">
        <v>0.25</v>
      </c>
      <c r="I43" s="134">
        <v>40.729999999999997</v>
      </c>
      <c r="J43" s="127">
        <f t="shared" si="3"/>
        <v>10.182499999999999</v>
      </c>
      <c r="K43" s="135">
        <f t="shared" si="4"/>
        <v>122.19</v>
      </c>
    </row>
    <row r="44" spans="2:11" ht="37.5" customHeight="1" x14ac:dyDescent="0.35">
      <c r="B44" s="128">
        <v>34</v>
      </c>
      <c r="C44" s="154" t="s">
        <v>288</v>
      </c>
      <c r="D44" s="155"/>
      <c r="E44" s="155"/>
      <c r="F44" s="156"/>
      <c r="G44" s="115" t="s">
        <v>235</v>
      </c>
      <c r="H44" s="140">
        <v>0.25</v>
      </c>
      <c r="I44" s="134">
        <v>24.33</v>
      </c>
      <c r="J44" s="127">
        <f t="shared" si="3"/>
        <v>6.0824999999999996</v>
      </c>
      <c r="K44" s="135">
        <f t="shared" si="4"/>
        <v>72.989999999999995</v>
      </c>
    </row>
    <row r="45" spans="2:11" ht="27" customHeight="1" x14ac:dyDescent="0.35">
      <c r="B45" s="122">
        <v>35</v>
      </c>
      <c r="C45" s="154" t="s">
        <v>289</v>
      </c>
      <c r="D45" s="155"/>
      <c r="E45" s="155"/>
      <c r="F45" s="156"/>
      <c r="G45" s="115" t="s">
        <v>235</v>
      </c>
      <c r="H45" s="140">
        <v>0.25</v>
      </c>
      <c r="I45" s="134">
        <v>12</v>
      </c>
      <c r="J45" s="127">
        <f t="shared" si="3"/>
        <v>3</v>
      </c>
      <c r="K45" s="135">
        <f t="shared" si="4"/>
        <v>36</v>
      </c>
    </row>
    <row r="46" spans="2:11" ht="27" customHeight="1" x14ac:dyDescent="0.35">
      <c r="B46" s="122">
        <v>36</v>
      </c>
      <c r="C46" s="154" t="s">
        <v>304</v>
      </c>
      <c r="D46" s="155"/>
      <c r="E46" s="155"/>
      <c r="F46" s="156"/>
      <c r="G46" s="115" t="s">
        <v>235</v>
      </c>
      <c r="H46" s="140">
        <v>2</v>
      </c>
      <c r="I46" s="134">
        <v>49.28</v>
      </c>
      <c r="J46" s="127">
        <f t="shared" ref="J46" si="5">IF(I46="","",H46*I46)</f>
        <v>98.56</v>
      </c>
      <c r="K46" s="135">
        <f t="shared" ref="K46" si="6">IF(J46="","",J46*12)</f>
        <v>1182.72</v>
      </c>
    </row>
    <row r="47" spans="2:11" ht="4.5" customHeight="1" x14ac:dyDescent="0.35"/>
    <row r="48" spans="2:11" ht="23.25" customHeight="1" x14ac:dyDescent="0.35">
      <c r="C48" s="157" t="s">
        <v>256</v>
      </c>
      <c r="D48" s="158"/>
      <c r="E48" s="158"/>
      <c r="F48" s="158"/>
      <c r="G48" s="158"/>
      <c r="H48" s="158"/>
      <c r="I48" s="158"/>
      <c r="J48" s="131">
        <f>SUM(J20:J46)</f>
        <v>6260.2525000000005</v>
      </c>
      <c r="K48" s="131">
        <f>SUM(K20:K46)</f>
        <v>75123.030000000028</v>
      </c>
    </row>
    <row r="49" spans="3:11" ht="6.75" customHeight="1" x14ac:dyDescent="0.35"/>
    <row r="50" spans="3:11" ht="21" customHeight="1" x14ac:dyDescent="0.35">
      <c r="C50" s="151" t="s">
        <v>303</v>
      </c>
      <c r="D50" s="152"/>
      <c r="E50" s="152"/>
      <c r="F50" s="152"/>
      <c r="G50" s="152"/>
      <c r="H50" s="152"/>
      <c r="I50" s="153"/>
      <c r="J50" s="138">
        <f>SUM(J16,J48)</f>
        <v>6403.7825000000003</v>
      </c>
      <c r="K50" s="138">
        <f>SUM(K16,K48)</f>
        <v>76845.390000000029</v>
      </c>
    </row>
    <row r="52" spans="3:11" x14ac:dyDescent="0.35">
      <c r="J52" s="139"/>
    </row>
  </sheetData>
  <mergeCells count="44">
    <mergeCell ref="C14:D14"/>
    <mergeCell ref="D2:K2"/>
    <mergeCell ref="B4:K4"/>
    <mergeCell ref="C5:D5"/>
    <mergeCell ref="C6:D6"/>
    <mergeCell ref="C7:D7"/>
    <mergeCell ref="C8:D8"/>
    <mergeCell ref="C9:D9"/>
    <mergeCell ref="C10:D10"/>
    <mergeCell ref="C11:D11"/>
    <mergeCell ref="C12:D12"/>
    <mergeCell ref="C13:D13"/>
    <mergeCell ref="C28:F28"/>
    <mergeCell ref="C16:I16"/>
    <mergeCell ref="B18:K18"/>
    <mergeCell ref="C19:F19"/>
    <mergeCell ref="C20:F20"/>
    <mergeCell ref="C21:F21"/>
    <mergeCell ref="C22:F22"/>
    <mergeCell ref="C23:F23"/>
    <mergeCell ref="C24:F24"/>
    <mergeCell ref="C25:F25"/>
    <mergeCell ref="C26:F26"/>
    <mergeCell ref="C27:F27"/>
    <mergeCell ref="C40:F40"/>
    <mergeCell ref="C29:F29"/>
    <mergeCell ref="C30:F30"/>
    <mergeCell ref="C31:F31"/>
    <mergeCell ref="C32:F32"/>
    <mergeCell ref="C33:F33"/>
    <mergeCell ref="C34:F34"/>
    <mergeCell ref="C35:F35"/>
    <mergeCell ref="C36:F36"/>
    <mergeCell ref="C37:F37"/>
    <mergeCell ref="C38:F38"/>
    <mergeCell ref="C39:F39"/>
    <mergeCell ref="C50:I50"/>
    <mergeCell ref="C41:F41"/>
    <mergeCell ref="C42:F42"/>
    <mergeCell ref="C43:F43"/>
    <mergeCell ref="C44:F44"/>
    <mergeCell ref="C45:F45"/>
    <mergeCell ref="C48:I48"/>
    <mergeCell ref="C46:F46"/>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323B-78E5-46DE-817A-82A0AAB1A502}">
  <dimension ref="B1:M139"/>
  <sheetViews>
    <sheetView showGridLines="0" zoomScale="80" zoomScaleNormal="80" workbookViewId="0">
      <selection activeCell="I12" sqref="I12:J12"/>
    </sheetView>
  </sheetViews>
  <sheetFormatPr defaultRowHeight="14.5" x14ac:dyDescent="0.35"/>
  <cols>
    <col min="2" max="2" width="10.453125" customWidth="1"/>
    <col min="3" max="3" width="49.54296875" bestFit="1" customWidth="1"/>
    <col min="8" max="8" width="9" bestFit="1" customWidth="1"/>
    <col min="9" max="9" width="9.26953125" bestFit="1" customWidth="1"/>
    <col min="10" max="10" width="23.7265625" customWidth="1"/>
    <col min="11" max="11" width="11.81640625" bestFit="1" customWidth="1"/>
    <col min="12" max="12" width="25.81640625" style="62" customWidth="1"/>
    <col min="13" max="13" width="63.453125" style="62" customWidth="1"/>
  </cols>
  <sheetData>
    <row r="1" spans="2:10" x14ac:dyDescent="0.35">
      <c r="B1" s="202" t="s">
        <v>305</v>
      </c>
      <c r="C1" s="202"/>
      <c r="D1" s="202"/>
      <c r="E1" s="202"/>
      <c r="F1" s="202"/>
      <c r="G1" s="202"/>
      <c r="H1" s="202"/>
      <c r="I1" s="202"/>
      <c r="J1" s="202"/>
    </row>
    <row r="2" spans="2:10" x14ac:dyDescent="0.35">
      <c r="B2" s="203" t="s">
        <v>26</v>
      </c>
      <c r="C2" s="203"/>
      <c r="D2" s="203"/>
      <c r="E2" s="203"/>
      <c r="F2" s="203"/>
      <c r="G2" s="203"/>
      <c r="H2" s="203"/>
      <c r="I2" s="203"/>
      <c r="J2" s="203"/>
    </row>
    <row r="3" spans="2:10" x14ac:dyDescent="0.35">
      <c r="B3" s="203" t="s">
        <v>0</v>
      </c>
      <c r="C3" s="203"/>
      <c r="D3" s="203"/>
      <c r="E3" s="203"/>
      <c r="F3" s="203"/>
      <c r="G3" s="203"/>
      <c r="H3" s="203"/>
      <c r="I3" s="203"/>
      <c r="J3" s="203"/>
    </row>
    <row r="4" spans="2:10" x14ac:dyDescent="0.35">
      <c r="B4" s="204" t="s">
        <v>307</v>
      </c>
      <c r="C4" s="204"/>
      <c r="D4" s="204"/>
      <c r="E4" s="204"/>
      <c r="F4" s="204"/>
      <c r="G4" s="204"/>
      <c r="H4" s="204"/>
      <c r="I4" s="204"/>
      <c r="J4" s="204"/>
    </row>
    <row r="5" spans="2:10" x14ac:dyDescent="0.35">
      <c r="B5" s="205"/>
      <c r="C5" s="205"/>
      <c r="D5" s="205"/>
      <c r="E5" s="205"/>
      <c r="F5" s="205"/>
      <c r="G5" s="205"/>
      <c r="H5" s="205"/>
      <c r="I5" s="205"/>
      <c r="J5" s="205"/>
    </row>
    <row r="6" spans="2:10" x14ac:dyDescent="0.35">
      <c r="B6" s="206" t="s">
        <v>139</v>
      </c>
      <c r="C6" s="206"/>
      <c r="D6" s="206"/>
      <c r="E6" s="206"/>
      <c r="F6" s="206"/>
      <c r="G6" s="206"/>
      <c r="H6" s="206"/>
      <c r="I6" s="206"/>
      <c r="J6" s="206"/>
    </row>
    <row r="7" spans="2:10" x14ac:dyDescent="0.35">
      <c r="B7" s="201"/>
      <c r="C7" s="201"/>
      <c r="D7" s="201"/>
      <c r="E7" s="201"/>
      <c r="F7" s="201"/>
      <c r="G7" s="201"/>
      <c r="H7" s="201"/>
      <c r="I7" s="201"/>
      <c r="J7" s="201"/>
    </row>
    <row r="8" spans="2:10" x14ac:dyDescent="0.35">
      <c r="B8" s="171" t="s">
        <v>27</v>
      </c>
      <c r="C8" s="171"/>
      <c r="D8" s="171"/>
      <c r="E8" s="171"/>
      <c r="F8" s="171"/>
      <c r="G8" s="171"/>
      <c r="H8" s="171"/>
      <c r="I8" s="171"/>
      <c r="J8" s="171"/>
    </row>
    <row r="9" spans="2:10" x14ac:dyDescent="0.35">
      <c r="B9" s="1" t="s">
        <v>1</v>
      </c>
      <c r="C9" s="167" t="s">
        <v>28</v>
      </c>
      <c r="D9" s="167"/>
      <c r="E9" s="167"/>
      <c r="F9" s="167"/>
      <c r="G9" s="167"/>
      <c r="H9" s="167"/>
      <c r="I9" s="197"/>
      <c r="J9" s="198"/>
    </row>
    <row r="10" spans="2:10" x14ac:dyDescent="0.35">
      <c r="B10" s="1" t="s">
        <v>2</v>
      </c>
      <c r="C10" s="167" t="s">
        <v>29</v>
      </c>
      <c r="D10" s="167"/>
      <c r="E10" s="167"/>
      <c r="F10" s="167"/>
      <c r="G10" s="167"/>
      <c r="H10" s="167"/>
      <c r="I10" s="198" t="s">
        <v>264</v>
      </c>
      <c r="J10" s="198"/>
    </row>
    <row r="11" spans="2:10" x14ac:dyDescent="0.35">
      <c r="B11" s="1" t="s">
        <v>3</v>
      </c>
      <c r="C11" s="167" t="s">
        <v>30</v>
      </c>
      <c r="D11" s="167"/>
      <c r="E11" s="167"/>
      <c r="F11" s="167"/>
      <c r="G11" s="167"/>
      <c r="H11" s="167"/>
      <c r="I11" s="207" t="s">
        <v>308</v>
      </c>
      <c r="J11" s="198"/>
    </row>
    <row r="12" spans="2:10" x14ac:dyDescent="0.35">
      <c r="B12" s="1" t="s">
        <v>4</v>
      </c>
      <c r="C12" s="167" t="s">
        <v>31</v>
      </c>
      <c r="D12" s="167"/>
      <c r="E12" s="167"/>
      <c r="F12" s="167"/>
      <c r="G12" s="167"/>
      <c r="H12" s="167"/>
      <c r="I12" s="198">
        <v>12</v>
      </c>
      <c r="J12" s="198"/>
    </row>
    <row r="13" spans="2:10" x14ac:dyDescent="0.35">
      <c r="B13" s="2"/>
      <c r="C13" s="3"/>
      <c r="D13" s="3"/>
      <c r="E13" s="3"/>
      <c r="F13" s="3"/>
      <c r="G13" s="3"/>
      <c r="H13" s="3"/>
      <c r="I13" s="2"/>
      <c r="J13" s="2"/>
    </row>
    <row r="14" spans="2:10" x14ac:dyDescent="0.35">
      <c r="B14" s="171" t="s">
        <v>5</v>
      </c>
      <c r="C14" s="171"/>
      <c r="D14" s="171"/>
      <c r="E14" s="171"/>
      <c r="F14" s="171"/>
      <c r="G14" s="171"/>
      <c r="H14" s="171"/>
      <c r="I14" s="171"/>
      <c r="J14" s="171"/>
    </row>
    <row r="15" spans="2:10" x14ac:dyDescent="0.35">
      <c r="B15" s="198" t="s">
        <v>6</v>
      </c>
      <c r="C15" s="198"/>
      <c r="D15" s="198" t="s">
        <v>7</v>
      </c>
      <c r="E15" s="198"/>
      <c r="F15" s="198" t="s">
        <v>32</v>
      </c>
      <c r="G15" s="198"/>
      <c r="H15" s="198"/>
      <c r="I15" s="198"/>
      <c r="J15" s="198"/>
    </row>
    <row r="16" spans="2:10" x14ac:dyDescent="0.35">
      <c r="B16" s="198" t="s">
        <v>136</v>
      </c>
      <c r="C16" s="198"/>
      <c r="D16" s="198" t="s">
        <v>22</v>
      </c>
      <c r="E16" s="198"/>
      <c r="F16" s="198"/>
      <c r="G16" s="198"/>
      <c r="H16" s="198"/>
      <c r="I16" s="198"/>
      <c r="J16" s="198"/>
    </row>
    <row r="17" spans="2:13" x14ac:dyDescent="0.35">
      <c r="B17" s="2"/>
      <c r="C17" s="3"/>
      <c r="D17" s="3"/>
      <c r="E17" s="3"/>
      <c r="F17" s="3"/>
      <c r="G17" s="3"/>
      <c r="H17" s="3"/>
      <c r="I17" s="2"/>
      <c r="J17" s="2"/>
    </row>
    <row r="18" spans="2:13" x14ac:dyDescent="0.35">
      <c r="B18" s="171" t="s">
        <v>33</v>
      </c>
      <c r="C18" s="171"/>
      <c r="D18" s="171"/>
      <c r="E18" s="171"/>
      <c r="F18" s="171"/>
      <c r="G18" s="171"/>
      <c r="H18" s="171"/>
      <c r="I18" s="171"/>
      <c r="J18" s="171"/>
    </row>
    <row r="19" spans="2:13" x14ac:dyDescent="0.35">
      <c r="B19" s="1">
        <v>1</v>
      </c>
      <c r="C19" s="167" t="s">
        <v>9</v>
      </c>
      <c r="D19" s="167"/>
      <c r="E19" s="167"/>
      <c r="F19" s="167"/>
      <c r="G19" s="167"/>
      <c r="H19" s="167"/>
      <c r="I19" s="198" t="s">
        <v>137</v>
      </c>
      <c r="J19" s="198"/>
    </row>
    <row r="20" spans="2:13" x14ac:dyDescent="0.35">
      <c r="B20" s="1">
        <v>2</v>
      </c>
      <c r="C20" s="167" t="s">
        <v>34</v>
      </c>
      <c r="D20" s="167"/>
      <c r="E20" s="167"/>
      <c r="F20" s="167"/>
      <c r="G20" s="167"/>
      <c r="H20" s="167"/>
      <c r="I20" s="198" t="s">
        <v>123</v>
      </c>
      <c r="J20" s="198"/>
    </row>
    <row r="21" spans="2:13" x14ac:dyDescent="0.35">
      <c r="B21" s="1">
        <v>3</v>
      </c>
      <c r="C21" s="167" t="s">
        <v>35</v>
      </c>
      <c r="D21" s="167"/>
      <c r="E21" s="167"/>
      <c r="F21" s="167"/>
      <c r="G21" s="167"/>
      <c r="H21" s="167"/>
      <c r="I21" s="200">
        <v>1384.64</v>
      </c>
      <c r="J21" s="198"/>
    </row>
    <row r="22" spans="2:13" x14ac:dyDescent="0.35">
      <c r="B22" s="1">
        <v>4</v>
      </c>
      <c r="C22" s="167" t="s">
        <v>10</v>
      </c>
      <c r="D22" s="167"/>
      <c r="E22" s="167"/>
      <c r="F22" s="167"/>
      <c r="G22" s="167"/>
      <c r="H22" s="167"/>
      <c r="I22" s="168" t="s">
        <v>8</v>
      </c>
      <c r="J22" s="168"/>
    </row>
    <row r="23" spans="2:13" x14ac:dyDescent="0.35">
      <c r="B23" s="1">
        <v>5</v>
      </c>
      <c r="C23" s="167" t="s">
        <v>11</v>
      </c>
      <c r="D23" s="167"/>
      <c r="E23" s="167"/>
      <c r="F23" s="167"/>
      <c r="G23" s="167"/>
      <c r="H23" s="167"/>
      <c r="I23" s="197">
        <v>43831</v>
      </c>
      <c r="J23" s="198"/>
    </row>
    <row r="24" spans="2:13" x14ac:dyDescent="0.35">
      <c r="B24" s="199"/>
      <c r="C24" s="199"/>
      <c r="D24" s="199"/>
      <c r="E24" s="199"/>
      <c r="F24" s="199"/>
      <c r="G24" s="199"/>
      <c r="H24" s="199"/>
      <c r="I24" s="199"/>
      <c r="J24" s="199"/>
    </row>
    <row r="25" spans="2:13" x14ac:dyDescent="0.35">
      <c r="B25" s="180" t="s">
        <v>36</v>
      </c>
      <c r="C25" s="180"/>
      <c r="D25" s="180"/>
      <c r="E25" s="180"/>
      <c r="F25" s="180"/>
      <c r="G25" s="180"/>
      <c r="H25" s="180"/>
      <c r="I25" s="180"/>
      <c r="J25" s="180"/>
    </row>
    <row r="26" spans="2:13" x14ac:dyDescent="0.35">
      <c r="B26" s="4">
        <v>1</v>
      </c>
      <c r="C26" s="168" t="s">
        <v>37</v>
      </c>
      <c r="D26" s="168"/>
      <c r="E26" s="168"/>
      <c r="F26" s="168"/>
      <c r="G26" s="168"/>
      <c r="H26" s="168"/>
      <c r="I26" s="4" t="s">
        <v>20</v>
      </c>
      <c r="J26" s="4" t="s">
        <v>38</v>
      </c>
      <c r="L26" s="63" t="s">
        <v>140</v>
      </c>
      <c r="M26" s="63" t="s">
        <v>141</v>
      </c>
    </row>
    <row r="27" spans="2:13" x14ac:dyDescent="0.35">
      <c r="B27" s="4" t="s">
        <v>1</v>
      </c>
      <c r="C27" s="167" t="s">
        <v>12</v>
      </c>
      <c r="D27" s="167"/>
      <c r="E27" s="167"/>
      <c r="F27" s="167"/>
      <c r="G27" s="167"/>
      <c r="H27" s="167"/>
      <c r="I27" s="5"/>
      <c r="J27" s="6">
        <f>I21</f>
        <v>1384.64</v>
      </c>
      <c r="L27" s="64"/>
      <c r="M27" s="65" t="s">
        <v>300</v>
      </c>
    </row>
    <row r="28" spans="2:13" x14ac:dyDescent="0.35">
      <c r="B28" s="4" t="s">
        <v>2</v>
      </c>
      <c r="C28" s="167" t="s">
        <v>39</v>
      </c>
      <c r="D28" s="167"/>
      <c r="E28" s="167"/>
      <c r="F28" s="167"/>
      <c r="G28" s="167"/>
      <c r="H28" s="167"/>
      <c r="I28" s="7"/>
      <c r="J28" s="6">
        <v>0</v>
      </c>
    </row>
    <row r="29" spans="2:13" x14ac:dyDescent="0.35">
      <c r="B29" s="4" t="s">
        <v>3</v>
      </c>
      <c r="C29" s="167" t="s">
        <v>40</v>
      </c>
      <c r="D29" s="167"/>
      <c r="E29" s="167"/>
      <c r="F29" s="167"/>
      <c r="G29" s="167"/>
      <c r="H29" s="167"/>
      <c r="I29" s="7"/>
      <c r="J29" s="6">
        <v>0</v>
      </c>
    </row>
    <row r="30" spans="2:13" x14ac:dyDescent="0.35">
      <c r="B30" s="4" t="s">
        <v>4</v>
      </c>
      <c r="C30" s="167" t="s">
        <v>41</v>
      </c>
      <c r="D30" s="167"/>
      <c r="E30" s="167"/>
      <c r="F30" s="167"/>
      <c r="G30" s="167"/>
      <c r="H30" s="167"/>
      <c r="I30" s="7"/>
      <c r="J30" s="6">
        <v>0</v>
      </c>
      <c r="K30" s="62"/>
    </row>
    <row r="31" spans="2:13" x14ac:dyDescent="0.35">
      <c r="B31" s="8" t="s">
        <v>13</v>
      </c>
      <c r="C31" s="167" t="s">
        <v>42</v>
      </c>
      <c r="D31" s="167"/>
      <c r="E31" s="167"/>
      <c r="F31" s="167"/>
      <c r="G31" s="167"/>
      <c r="H31" s="167"/>
      <c r="I31" s="9"/>
      <c r="J31" s="6">
        <v>0</v>
      </c>
    </row>
    <row r="32" spans="2:13" x14ac:dyDescent="0.35">
      <c r="B32" s="8" t="s">
        <v>14</v>
      </c>
      <c r="C32" s="167" t="s">
        <v>17</v>
      </c>
      <c r="D32" s="167"/>
      <c r="E32" s="167"/>
      <c r="F32" s="167"/>
      <c r="G32" s="167"/>
      <c r="H32" s="167"/>
      <c r="I32" s="7"/>
      <c r="J32" s="6">
        <v>0</v>
      </c>
    </row>
    <row r="33" spans="2:13" x14ac:dyDescent="0.35">
      <c r="B33" s="168" t="s">
        <v>43</v>
      </c>
      <c r="C33" s="168"/>
      <c r="D33" s="168"/>
      <c r="E33" s="168"/>
      <c r="F33" s="168"/>
      <c r="G33" s="168"/>
      <c r="H33" s="168"/>
      <c r="I33" s="168"/>
      <c r="J33" s="10">
        <f>SUM(J27:J32)</f>
        <v>1384.64</v>
      </c>
    </row>
    <row r="34" spans="2:13" x14ac:dyDescent="0.35">
      <c r="B34" s="11"/>
      <c r="C34" s="11"/>
      <c r="D34" s="11"/>
      <c r="E34" s="11"/>
      <c r="F34" s="11"/>
      <c r="G34" s="11"/>
      <c r="H34" s="11"/>
      <c r="I34" s="11"/>
      <c r="J34" s="12"/>
    </row>
    <row r="35" spans="2:13" x14ac:dyDescent="0.35">
      <c r="B35" s="180" t="s">
        <v>44</v>
      </c>
      <c r="C35" s="180"/>
      <c r="D35" s="180"/>
      <c r="E35" s="180"/>
      <c r="F35" s="180"/>
      <c r="G35" s="180"/>
      <c r="H35" s="180"/>
      <c r="I35" s="180"/>
      <c r="J35" s="180"/>
    </row>
    <row r="36" spans="2:13" x14ac:dyDescent="0.35">
      <c r="B36" s="194" t="s">
        <v>45</v>
      </c>
      <c r="C36" s="194"/>
      <c r="D36" s="194"/>
      <c r="E36" s="194"/>
      <c r="F36" s="194"/>
      <c r="G36" s="194"/>
      <c r="H36" s="194"/>
      <c r="I36" s="43" t="s">
        <v>20</v>
      </c>
      <c r="J36" s="43" t="s">
        <v>38</v>
      </c>
      <c r="L36" s="63" t="s">
        <v>140</v>
      </c>
      <c r="M36" s="63" t="s">
        <v>141</v>
      </c>
    </row>
    <row r="37" spans="2:13" ht="26" x14ac:dyDescent="0.35">
      <c r="B37" s="4" t="s">
        <v>1</v>
      </c>
      <c r="C37" s="167" t="s">
        <v>46</v>
      </c>
      <c r="D37" s="167"/>
      <c r="E37" s="167"/>
      <c r="F37" s="167"/>
      <c r="G37" s="167"/>
      <c r="H37" s="167"/>
      <c r="I37" s="13">
        <v>8.3333000000000004E-2</v>
      </c>
      <c r="J37" s="6">
        <f>TRUNC($J$33*I37,2)</f>
        <v>115.38</v>
      </c>
      <c r="K37" s="52"/>
      <c r="L37" s="64"/>
      <c r="M37" s="66" t="s">
        <v>142</v>
      </c>
    </row>
    <row r="38" spans="2:13" ht="26" x14ac:dyDescent="0.35">
      <c r="B38" s="4" t="s">
        <v>2</v>
      </c>
      <c r="C38" s="167" t="s">
        <v>47</v>
      </c>
      <c r="D38" s="167"/>
      <c r="E38" s="167"/>
      <c r="F38" s="167"/>
      <c r="G38" s="167"/>
      <c r="H38" s="167"/>
      <c r="I38" s="14">
        <v>0.121</v>
      </c>
      <c r="J38" s="6">
        <f>TRUNC($J$33*I38,2)</f>
        <v>167.54</v>
      </c>
      <c r="K38" s="52"/>
      <c r="L38" s="67" t="s">
        <v>143</v>
      </c>
      <c r="M38" s="66" t="s">
        <v>144</v>
      </c>
    </row>
    <row r="39" spans="2:13" x14ac:dyDescent="0.35">
      <c r="B39" s="168" t="s">
        <v>48</v>
      </c>
      <c r="C39" s="168"/>
      <c r="D39" s="168"/>
      <c r="E39" s="168"/>
      <c r="F39" s="168"/>
      <c r="G39" s="168"/>
      <c r="H39" s="168"/>
      <c r="I39" s="15">
        <f>SUM(I37:I38)</f>
        <v>0.20433299999999999</v>
      </c>
      <c r="J39" s="10">
        <f>SUM(J37:J38)</f>
        <v>282.91999999999996</v>
      </c>
      <c r="K39" s="53"/>
    </row>
    <row r="40" spans="2:13" x14ac:dyDescent="0.35">
      <c r="B40" s="195"/>
      <c r="C40" s="196"/>
      <c r="D40" s="196"/>
      <c r="E40" s="196"/>
      <c r="F40" s="196"/>
      <c r="G40" s="196"/>
      <c r="H40" s="196"/>
      <c r="I40" s="196"/>
      <c r="J40" s="196"/>
    </row>
    <row r="41" spans="2:13" x14ac:dyDescent="0.35">
      <c r="B41" s="194" t="s">
        <v>49</v>
      </c>
      <c r="C41" s="194"/>
      <c r="D41" s="194"/>
      <c r="E41" s="194"/>
      <c r="F41" s="194"/>
      <c r="G41" s="194"/>
      <c r="H41" s="194"/>
      <c r="I41" s="43" t="s">
        <v>20</v>
      </c>
      <c r="J41" s="43" t="s">
        <v>38</v>
      </c>
      <c r="L41" s="63" t="s">
        <v>140</v>
      </c>
      <c r="M41" s="63" t="s">
        <v>141</v>
      </c>
    </row>
    <row r="42" spans="2:13" x14ac:dyDescent="0.35">
      <c r="B42" s="4" t="s">
        <v>1</v>
      </c>
      <c r="C42" s="167" t="s">
        <v>50</v>
      </c>
      <c r="D42" s="167"/>
      <c r="E42" s="167"/>
      <c r="F42" s="167"/>
      <c r="G42" s="167"/>
      <c r="H42" s="167"/>
      <c r="I42" s="13">
        <v>0.2</v>
      </c>
      <c r="J42" s="6">
        <f>TRUNC(($J$33+$J$39)*$I$42,2)</f>
        <v>333.51</v>
      </c>
      <c r="L42" s="64"/>
      <c r="M42" s="68" t="s">
        <v>145</v>
      </c>
    </row>
    <row r="43" spans="2:13" x14ac:dyDescent="0.35">
      <c r="B43" s="4" t="s">
        <v>2</v>
      </c>
      <c r="C43" s="167" t="s">
        <v>51</v>
      </c>
      <c r="D43" s="167"/>
      <c r="E43" s="167"/>
      <c r="F43" s="167"/>
      <c r="G43" s="167"/>
      <c r="H43" s="167"/>
      <c r="I43" s="13">
        <v>2.5000000000000001E-2</v>
      </c>
      <c r="J43" s="6">
        <f>TRUNC(($J$33+$J$39)*$I$43,2)</f>
        <v>41.68</v>
      </c>
      <c r="L43" s="64"/>
      <c r="M43" s="68" t="s">
        <v>146</v>
      </c>
    </row>
    <row r="44" spans="2:13" x14ac:dyDescent="0.35">
      <c r="B44" s="4" t="s">
        <v>3</v>
      </c>
      <c r="C44" s="167" t="s">
        <v>52</v>
      </c>
      <c r="D44" s="167"/>
      <c r="E44" s="167"/>
      <c r="F44" s="167"/>
      <c r="G44" s="167"/>
      <c r="H44" s="167"/>
      <c r="I44" s="19">
        <v>0.03</v>
      </c>
      <c r="J44" s="6">
        <f>TRUNC(($J$33+$J$39)*$I$44,2)</f>
        <v>50.02</v>
      </c>
      <c r="L44" s="67" t="s">
        <v>147</v>
      </c>
      <c r="M44" s="68" t="s">
        <v>148</v>
      </c>
    </row>
    <row r="45" spans="2:13" x14ac:dyDescent="0.35">
      <c r="B45" s="4" t="s">
        <v>4</v>
      </c>
      <c r="C45" s="167" t="s">
        <v>53</v>
      </c>
      <c r="D45" s="167"/>
      <c r="E45" s="167"/>
      <c r="F45" s="167"/>
      <c r="G45" s="167"/>
      <c r="H45" s="167"/>
      <c r="I45" s="13">
        <v>1.4999999999999999E-2</v>
      </c>
      <c r="J45" s="6">
        <f>TRUNC(($J$33+$J$39)*$I$45,2)</f>
        <v>25.01</v>
      </c>
      <c r="L45" s="64"/>
      <c r="M45" s="68" t="s">
        <v>149</v>
      </c>
    </row>
    <row r="46" spans="2:13" x14ac:dyDescent="0.35">
      <c r="B46" s="4" t="s">
        <v>13</v>
      </c>
      <c r="C46" s="167" t="s">
        <v>54</v>
      </c>
      <c r="D46" s="167"/>
      <c r="E46" s="167"/>
      <c r="F46" s="167"/>
      <c r="G46" s="167"/>
      <c r="H46" s="167"/>
      <c r="I46" s="13">
        <v>0.01</v>
      </c>
      <c r="J46" s="6">
        <f>TRUNC(($J$33+$J$39)*$I$46,2)</f>
        <v>16.670000000000002</v>
      </c>
      <c r="L46" s="64"/>
      <c r="M46" s="68" t="s">
        <v>150</v>
      </c>
    </row>
    <row r="47" spans="2:13" x14ac:dyDescent="0.35">
      <c r="B47" s="4" t="s">
        <v>14</v>
      </c>
      <c r="C47" s="167" t="s">
        <v>55</v>
      </c>
      <c r="D47" s="167"/>
      <c r="E47" s="167"/>
      <c r="F47" s="167"/>
      <c r="G47" s="167"/>
      <c r="H47" s="167"/>
      <c r="I47" s="13">
        <v>6.0000000000000001E-3</v>
      </c>
      <c r="J47" s="6">
        <f>TRUNC(($J$33+$J$39)*$I$47,2)</f>
        <v>10</v>
      </c>
      <c r="L47" s="64"/>
      <c r="M47" s="69" t="s">
        <v>151</v>
      </c>
    </row>
    <row r="48" spans="2:13" x14ac:dyDescent="0.35">
      <c r="B48" s="4" t="s">
        <v>15</v>
      </c>
      <c r="C48" s="167" t="s">
        <v>56</v>
      </c>
      <c r="D48" s="167"/>
      <c r="E48" s="167"/>
      <c r="F48" s="167"/>
      <c r="G48" s="167"/>
      <c r="H48" s="167"/>
      <c r="I48" s="13">
        <v>2E-3</v>
      </c>
      <c r="J48" s="6">
        <f>TRUNC(($J$33+$J$39)*$I$48,2)</f>
        <v>3.33</v>
      </c>
      <c r="L48" s="64"/>
      <c r="M48" s="68" t="s">
        <v>150</v>
      </c>
    </row>
    <row r="49" spans="2:13" x14ac:dyDescent="0.35">
      <c r="B49" s="4" t="s">
        <v>16</v>
      </c>
      <c r="C49" s="167" t="s">
        <v>57</v>
      </c>
      <c r="D49" s="167"/>
      <c r="E49" s="167"/>
      <c r="F49" s="167"/>
      <c r="G49" s="167"/>
      <c r="H49" s="167"/>
      <c r="I49" s="13">
        <v>0.08</v>
      </c>
      <c r="J49" s="6">
        <f>TRUNC(($J$33+$J$39)*$I$49,2)</f>
        <v>133.4</v>
      </c>
      <c r="L49" s="64"/>
      <c r="M49" s="68" t="s">
        <v>152</v>
      </c>
    </row>
    <row r="50" spans="2:13" x14ac:dyDescent="0.35">
      <c r="B50" s="168" t="s">
        <v>58</v>
      </c>
      <c r="C50" s="168"/>
      <c r="D50" s="168"/>
      <c r="E50" s="168"/>
      <c r="F50" s="168"/>
      <c r="G50" s="168"/>
      <c r="H50" s="168"/>
      <c r="I50" s="15">
        <f>SUM(I42:I49)</f>
        <v>0.36800000000000005</v>
      </c>
      <c r="J50" s="10">
        <f>SUM(J42:J49)</f>
        <v>613.62</v>
      </c>
    </row>
    <row r="51" spans="2:13" x14ac:dyDescent="0.35">
      <c r="B51" s="189"/>
      <c r="C51" s="189"/>
      <c r="D51" s="189"/>
      <c r="E51" s="189"/>
      <c r="F51" s="189"/>
      <c r="G51" s="189"/>
      <c r="H51" s="189"/>
      <c r="I51" s="189"/>
      <c r="J51" s="190"/>
    </row>
    <row r="52" spans="2:13" x14ac:dyDescent="0.35">
      <c r="B52" s="194" t="s">
        <v>59</v>
      </c>
      <c r="C52" s="194"/>
      <c r="D52" s="194"/>
      <c r="E52" s="194"/>
      <c r="F52" s="194"/>
      <c r="G52" s="194"/>
      <c r="H52" s="194"/>
      <c r="I52" s="44"/>
      <c r="J52" s="43" t="s">
        <v>38</v>
      </c>
      <c r="L52" s="63" t="s">
        <v>140</v>
      </c>
      <c r="M52" s="63" t="s">
        <v>141</v>
      </c>
    </row>
    <row r="53" spans="2:13" x14ac:dyDescent="0.35">
      <c r="B53" s="4" t="s">
        <v>1</v>
      </c>
      <c r="C53" s="177" t="s">
        <v>266</v>
      </c>
      <c r="D53" s="177"/>
      <c r="E53" s="177"/>
      <c r="F53" s="177"/>
      <c r="G53" s="177"/>
      <c r="H53" s="177"/>
      <c r="I53" s="1" t="s">
        <v>60</v>
      </c>
      <c r="J53" s="16">
        <f>TRUNC((5.2*2*22)-(6%*J27),2)</f>
        <v>145.72</v>
      </c>
      <c r="L53" s="70" t="s">
        <v>180</v>
      </c>
      <c r="M53" s="70" t="s">
        <v>179</v>
      </c>
    </row>
    <row r="54" spans="2:13" x14ac:dyDescent="0.35">
      <c r="B54" s="4" t="s">
        <v>2</v>
      </c>
      <c r="C54" s="177" t="s">
        <v>301</v>
      </c>
      <c r="D54" s="177"/>
      <c r="E54" s="177"/>
      <c r="F54" s="177"/>
      <c r="G54" s="177"/>
      <c r="H54" s="177"/>
      <c r="I54" s="1" t="s">
        <v>60</v>
      </c>
      <c r="J54" s="16">
        <f>TRUNC(((17.77-1.11)*22)+123.82,2)</f>
        <v>490.34</v>
      </c>
      <c r="L54" s="65" t="s">
        <v>181</v>
      </c>
      <c r="M54" s="65" t="s">
        <v>267</v>
      </c>
    </row>
    <row r="55" spans="2:13" x14ac:dyDescent="0.35">
      <c r="B55" s="4" t="s">
        <v>3</v>
      </c>
      <c r="C55" s="191" t="s">
        <v>61</v>
      </c>
      <c r="D55" s="192"/>
      <c r="E55" s="192"/>
      <c r="F55" s="192"/>
      <c r="G55" s="192"/>
      <c r="H55" s="193"/>
      <c r="I55" s="1" t="s">
        <v>60</v>
      </c>
      <c r="J55" s="16">
        <f>9.74+3.93</f>
        <v>13.67</v>
      </c>
      <c r="L55" s="71"/>
      <c r="M55" s="65" t="s">
        <v>268</v>
      </c>
    </row>
    <row r="56" spans="2:13" x14ac:dyDescent="0.35">
      <c r="B56" s="4" t="s">
        <v>4</v>
      </c>
      <c r="C56" s="177" t="s">
        <v>132</v>
      </c>
      <c r="D56" s="177"/>
      <c r="E56" s="177"/>
      <c r="F56" s="177"/>
      <c r="G56" s="177"/>
      <c r="H56" s="177"/>
      <c r="I56" s="1" t="s">
        <v>60</v>
      </c>
      <c r="J56" s="16">
        <v>28</v>
      </c>
      <c r="L56" s="64"/>
      <c r="M56" s="65" t="s">
        <v>183</v>
      </c>
    </row>
    <row r="57" spans="2:13" x14ac:dyDescent="0.35">
      <c r="B57" s="4" t="s">
        <v>13</v>
      </c>
      <c r="C57" s="191" t="s">
        <v>62</v>
      </c>
      <c r="D57" s="192"/>
      <c r="E57" s="192"/>
      <c r="F57" s="192"/>
      <c r="G57" s="192"/>
      <c r="H57" s="193"/>
      <c r="I57" s="1" t="s">
        <v>60</v>
      </c>
      <c r="J57" s="16">
        <v>0</v>
      </c>
    </row>
    <row r="58" spans="2:13" x14ac:dyDescent="0.35">
      <c r="B58" s="4" t="s">
        <v>14</v>
      </c>
      <c r="C58" s="177" t="s">
        <v>17</v>
      </c>
      <c r="D58" s="177"/>
      <c r="E58" s="177"/>
      <c r="F58" s="177"/>
      <c r="G58" s="177"/>
      <c r="H58" s="177"/>
      <c r="I58" s="1" t="s">
        <v>60</v>
      </c>
      <c r="J58" s="16">
        <v>0</v>
      </c>
    </row>
    <row r="59" spans="2:13" x14ac:dyDescent="0.35">
      <c r="B59" s="168" t="s">
        <v>63</v>
      </c>
      <c r="C59" s="168"/>
      <c r="D59" s="168"/>
      <c r="E59" s="168"/>
      <c r="F59" s="168"/>
      <c r="G59" s="168"/>
      <c r="H59" s="168"/>
      <c r="I59" s="168"/>
      <c r="J59" s="10">
        <f>SUM(J53:J58)</f>
        <v>677.7299999999999</v>
      </c>
    </row>
    <row r="60" spans="2:13" x14ac:dyDescent="0.35">
      <c r="B60" s="189"/>
      <c r="C60" s="189"/>
      <c r="D60" s="189"/>
      <c r="E60" s="189"/>
      <c r="F60" s="189"/>
      <c r="G60" s="189"/>
      <c r="H60" s="189"/>
      <c r="I60" s="189"/>
      <c r="J60" s="190"/>
    </row>
    <row r="61" spans="2:13" x14ac:dyDescent="0.35">
      <c r="B61" s="171" t="s">
        <v>64</v>
      </c>
      <c r="C61" s="171"/>
      <c r="D61" s="171"/>
      <c r="E61" s="171"/>
      <c r="F61" s="171"/>
      <c r="G61" s="171"/>
      <c r="H61" s="171"/>
      <c r="I61" s="171"/>
      <c r="J61" s="171"/>
    </row>
    <row r="62" spans="2:13" x14ac:dyDescent="0.35">
      <c r="B62" s="168" t="s">
        <v>65</v>
      </c>
      <c r="C62" s="168"/>
      <c r="D62" s="168"/>
      <c r="E62" s="168"/>
      <c r="F62" s="168"/>
      <c r="G62" s="168"/>
      <c r="H62" s="168"/>
      <c r="I62" s="168"/>
      <c r="J62" s="4" t="s">
        <v>38</v>
      </c>
    </row>
    <row r="63" spans="2:13" x14ac:dyDescent="0.35">
      <c r="B63" s="4" t="s">
        <v>66</v>
      </c>
      <c r="C63" s="167" t="s">
        <v>67</v>
      </c>
      <c r="D63" s="167"/>
      <c r="E63" s="167"/>
      <c r="F63" s="167"/>
      <c r="G63" s="167"/>
      <c r="H63" s="167"/>
      <c r="I63" s="167"/>
      <c r="J63" s="6">
        <f>J39</f>
        <v>282.91999999999996</v>
      </c>
    </row>
    <row r="64" spans="2:13" x14ac:dyDescent="0.35">
      <c r="B64" s="8" t="s">
        <v>68</v>
      </c>
      <c r="C64" s="167" t="s">
        <v>69</v>
      </c>
      <c r="D64" s="167"/>
      <c r="E64" s="167"/>
      <c r="F64" s="167"/>
      <c r="G64" s="167"/>
      <c r="H64" s="167"/>
      <c r="I64" s="167"/>
      <c r="J64" s="17">
        <f>J50</f>
        <v>613.62</v>
      </c>
    </row>
    <row r="65" spans="2:13" x14ac:dyDescent="0.35">
      <c r="B65" s="8" t="s">
        <v>70</v>
      </c>
      <c r="C65" s="167" t="s">
        <v>18</v>
      </c>
      <c r="D65" s="167"/>
      <c r="E65" s="167"/>
      <c r="F65" s="167"/>
      <c r="G65" s="167"/>
      <c r="H65" s="167"/>
      <c r="I65" s="167"/>
      <c r="J65" s="17">
        <f>J59</f>
        <v>677.7299999999999</v>
      </c>
    </row>
    <row r="66" spans="2:13" x14ac:dyDescent="0.35">
      <c r="B66" s="168" t="s">
        <v>71</v>
      </c>
      <c r="C66" s="168"/>
      <c r="D66" s="168"/>
      <c r="E66" s="168"/>
      <c r="F66" s="168"/>
      <c r="G66" s="168"/>
      <c r="H66" s="168"/>
      <c r="I66" s="168"/>
      <c r="J66" s="18">
        <f>SUM(J63:J65)</f>
        <v>1574.27</v>
      </c>
    </row>
    <row r="67" spans="2:13" x14ac:dyDescent="0.35">
      <c r="B67" s="178"/>
      <c r="C67" s="179"/>
      <c r="D67" s="179"/>
      <c r="E67" s="179"/>
      <c r="F67" s="179"/>
      <c r="G67" s="179"/>
      <c r="H67" s="179"/>
      <c r="I67" s="179"/>
      <c r="J67" s="179"/>
    </row>
    <row r="68" spans="2:13" x14ac:dyDescent="0.35">
      <c r="B68" s="180" t="s">
        <v>72</v>
      </c>
      <c r="C68" s="180"/>
      <c r="D68" s="180"/>
      <c r="E68" s="180"/>
      <c r="F68" s="180"/>
      <c r="G68" s="180"/>
      <c r="H68" s="180"/>
      <c r="I68" s="180"/>
      <c r="J68" s="180"/>
    </row>
    <row r="69" spans="2:13" x14ac:dyDescent="0.35">
      <c r="B69" s="4">
        <v>3</v>
      </c>
      <c r="C69" s="168" t="s">
        <v>73</v>
      </c>
      <c r="D69" s="168"/>
      <c r="E69" s="168"/>
      <c r="F69" s="168"/>
      <c r="G69" s="168"/>
      <c r="H69" s="168"/>
      <c r="I69" s="4" t="s">
        <v>20</v>
      </c>
      <c r="J69" s="4" t="s">
        <v>38</v>
      </c>
      <c r="L69" s="63" t="s">
        <v>140</v>
      </c>
      <c r="M69" s="63" t="s">
        <v>141</v>
      </c>
    </row>
    <row r="70" spans="2:13" ht="26" x14ac:dyDescent="0.35">
      <c r="B70" s="4" t="s">
        <v>1</v>
      </c>
      <c r="C70" s="183" t="s">
        <v>74</v>
      </c>
      <c r="D70" s="183"/>
      <c r="E70" s="183"/>
      <c r="F70" s="183"/>
      <c r="G70" s="183"/>
      <c r="H70" s="183"/>
      <c r="I70" s="19">
        <f>(1/12)*5%</f>
        <v>4.1666666666666666E-3</v>
      </c>
      <c r="J70" s="17">
        <f>TRUNC(I70*$J$33,2)</f>
        <v>5.76</v>
      </c>
      <c r="L70" s="72" t="s">
        <v>153</v>
      </c>
      <c r="M70" s="72" t="s">
        <v>154</v>
      </c>
    </row>
    <row r="71" spans="2:13" x14ac:dyDescent="0.35">
      <c r="B71" s="4" t="s">
        <v>2</v>
      </c>
      <c r="C71" s="167" t="s">
        <v>75</v>
      </c>
      <c r="D71" s="167"/>
      <c r="E71" s="167"/>
      <c r="F71" s="167"/>
      <c r="G71" s="167"/>
      <c r="H71" s="167"/>
      <c r="I71" s="19">
        <f>I49*I70</f>
        <v>3.3333333333333332E-4</v>
      </c>
      <c r="J71" s="17">
        <f>TRUNC(I71*$J$33,2)</f>
        <v>0.46</v>
      </c>
      <c r="L71" s="72" t="s">
        <v>155</v>
      </c>
      <c r="M71" s="72" t="s">
        <v>156</v>
      </c>
    </row>
    <row r="72" spans="2:13" x14ac:dyDescent="0.35">
      <c r="B72" s="4" t="s">
        <v>3</v>
      </c>
      <c r="C72" s="167" t="s">
        <v>76</v>
      </c>
      <c r="D72" s="167"/>
      <c r="E72" s="167"/>
      <c r="F72" s="167"/>
      <c r="G72" s="167"/>
      <c r="H72" s="167"/>
      <c r="I72" s="13">
        <f>((7/30)/12)</f>
        <v>1.9444444444444445E-2</v>
      </c>
      <c r="J72" s="17">
        <f t="shared" ref="J72:J73" si="0">TRUNC(I72*$J$33,2)</f>
        <v>26.92</v>
      </c>
      <c r="L72" s="72" t="s">
        <v>157</v>
      </c>
      <c r="M72" s="72" t="s">
        <v>158</v>
      </c>
    </row>
    <row r="73" spans="2:13" ht="26" x14ac:dyDescent="0.35">
      <c r="B73" s="4" t="s">
        <v>4</v>
      </c>
      <c r="C73" s="167" t="s">
        <v>77</v>
      </c>
      <c r="D73" s="167"/>
      <c r="E73" s="167"/>
      <c r="F73" s="167"/>
      <c r="G73" s="167"/>
      <c r="H73" s="167"/>
      <c r="I73" s="14">
        <f>I50*I72</f>
        <v>7.1555555555555565E-3</v>
      </c>
      <c r="J73" s="17">
        <f t="shared" si="0"/>
        <v>9.9</v>
      </c>
      <c r="L73" s="72" t="s">
        <v>159</v>
      </c>
    </row>
    <row r="74" spans="2:13" ht="26" x14ac:dyDescent="0.35">
      <c r="B74" s="4" t="s">
        <v>13</v>
      </c>
      <c r="C74" s="183" t="s">
        <v>130</v>
      </c>
      <c r="D74" s="183"/>
      <c r="E74" s="183"/>
      <c r="F74" s="183"/>
      <c r="G74" s="183"/>
      <c r="H74" s="183"/>
      <c r="I74" s="19">
        <v>0.04</v>
      </c>
      <c r="J74" s="17">
        <f>TRUNC(I74*$J$33,2)</f>
        <v>55.38</v>
      </c>
      <c r="L74" s="73" t="s">
        <v>160</v>
      </c>
      <c r="M74" s="74" t="s">
        <v>161</v>
      </c>
    </row>
    <row r="75" spans="2:13" x14ac:dyDescent="0.35">
      <c r="B75" s="168" t="s">
        <v>78</v>
      </c>
      <c r="C75" s="168"/>
      <c r="D75" s="168"/>
      <c r="E75" s="168"/>
      <c r="F75" s="168"/>
      <c r="G75" s="168"/>
      <c r="H75" s="168"/>
      <c r="I75" s="15">
        <f>SUM(I70:I74)</f>
        <v>7.1099999999999997E-2</v>
      </c>
      <c r="J75" s="10">
        <f>SUM(J70:J74)</f>
        <v>98.42</v>
      </c>
    </row>
    <row r="76" spans="2:13" x14ac:dyDescent="0.35">
      <c r="B76" s="187"/>
      <c r="C76" s="188"/>
      <c r="D76" s="188"/>
      <c r="E76" s="188"/>
      <c r="F76" s="188"/>
      <c r="G76" s="188"/>
      <c r="H76" s="188"/>
      <c r="I76" s="188"/>
      <c r="J76" s="188"/>
    </row>
    <row r="77" spans="2:13" x14ac:dyDescent="0.35">
      <c r="B77" s="180" t="s">
        <v>79</v>
      </c>
      <c r="C77" s="180"/>
      <c r="D77" s="180"/>
      <c r="E77" s="180"/>
      <c r="F77" s="180"/>
      <c r="G77" s="180"/>
      <c r="H77" s="180"/>
      <c r="I77" s="180"/>
      <c r="J77" s="180"/>
    </row>
    <row r="78" spans="2:13" x14ac:dyDescent="0.35">
      <c r="B78" s="168" t="s">
        <v>80</v>
      </c>
      <c r="C78" s="168"/>
      <c r="D78" s="168"/>
      <c r="E78" s="168"/>
      <c r="F78" s="168"/>
      <c r="G78" s="168"/>
      <c r="H78" s="168"/>
      <c r="I78" s="4" t="s">
        <v>20</v>
      </c>
      <c r="J78" s="4" t="s">
        <v>38</v>
      </c>
      <c r="L78" s="63" t="s">
        <v>140</v>
      </c>
      <c r="M78" s="63" t="s">
        <v>141</v>
      </c>
    </row>
    <row r="79" spans="2:13" ht="26" x14ac:dyDescent="0.35">
      <c r="B79" s="4" t="s">
        <v>1</v>
      </c>
      <c r="C79" s="183" t="s">
        <v>81</v>
      </c>
      <c r="D79" s="183"/>
      <c r="E79" s="183"/>
      <c r="F79" s="183"/>
      <c r="G79" s="183"/>
      <c r="H79" s="183"/>
      <c r="I79" s="13">
        <f>(1/12/12)+(1/12/12)+(1/12/12/3)</f>
        <v>1.6203703703703703E-2</v>
      </c>
      <c r="J79" s="6">
        <f>TRUNC(($J$33)*I79,2)</f>
        <v>22.43</v>
      </c>
      <c r="L79" s="72" t="s">
        <v>162</v>
      </c>
      <c r="M79" s="72" t="s">
        <v>163</v>
      </c>
    </row>
    <row r="80" spans="2:13" x14ac:dyDescent="0.35">
      <c r="B80" s="8" t="s">
        <v>2</v>
      </c>
      <c r="C80" s="183" t="s">
        <v>82</v>
      </c>
      <c r="D80" s="183"/>
      <c r="E80" s="183"/>
      <c r="F80" s="183"/>
      <c r="G80" s="183"/>
      <c r="H80" s="183"/>
      <c r="I80" s="13">
        <f>((1/30))/12</f>
        <v>2.7777777777777779E-3</v>
      </c>
      <c r="J80" s="6">
        <f t="shared" ref="J80:J84" si="1">TRUNC(($J$33)*I80,2)</f>
        <v>3.84</v>
      </c>
      <c r="L80" s="72" t="s">
        <v>164</v>
      </c>
      <c r="M80" s="72" t="s">
        <v>165</v>
      </c>
    </row>
    <row r="81" spans="2:13" ht="26" x14ac:dyDescent="0.35">
      <c r="B81" s="8" t="s">
        <v>3</v>
      </c>
      <c r="C81" s="183" t="s">
        <v>83</v>
      </c>
      <c r="D81" s="183"/>
      <c r="E81" s="183"/>
      <c r="F81" s="183"/>
      <c r="G81" s="183"/>
      <c r="H81" s="183"/>
      <c r="I81" s="13">
        <f>((5/30)/12)*1.5%</f>
        <v>2.0833333333333332E-4</v>
      </c>
      <c r="J81" s="6">
        <f t="shared" si="1"/>
        <v>0.28000000000000003</v>
      </c>
      <c r="L81" s="72" t="s">
        <v>166</v>
      </c>
      <c r="M81" s="66" t="s">
        <v>167</v>
      </c>
    </row>
    <row r="82" spans="2:13" ht="26" x14ac:dyDescent="0.35">
      <c r="B82" s="8" t="s">
        <v>4</v>
      </c>
      <c r="C82" s="183" t="s">
        <v>84</v>
      </c>
      <c r="D82" s="183"/>
      <c r="E82" s="183"/>
      <c r="F82" s="183"/>
      <c r="G82" s="183"/>
      <c r="H82" s="183"/>
      <c r="I82" s="13">
        <f>((15/30)/12)*8%</f>
        <v>3.3333333333333331E-3</v>
      </c>
      <c r="J82" s="6">
        <f t="shared" si="1"/>
        <v>4.6100000000000003</v>
      </c>
      <c r="L82" s="72" t="s">
        <v>168</v>
      </c>
      <c r="M82" s="66" t="s">
        <v>169</v>
      </c>
    </row>
    <row r="83" spans="2:13" ht="26" x14ac:dyDescent="0.35">
      <c r="B83" s="8" t="s">
        <v>13</v>
      </c>
      <c r="C83" s="183" t="s">
        <v>85</v>
      </c>
      <c r="D83" s="183"/>
      <c r="E83" s="183"/>
      <c r="F83" s="183"/>
      <c r="G83" s="183"/>
      <c r="H83" s="183"/>
      <c r="I83" s="13">
        <f>(((4*8.33%)+(4*2.78%))/12)*2%</f>
        <v>7.4066666666666671E-4</v>
      </c>
      <c r="J83" s="6">
        <f t="shared" si="1"/>
        <v>1.02</v>
      </c>
      <c r="L83" s="72" t="s">
        <v>170</v>
      </c>
      <c r="M83" s="66" t="s">
        <v>171</v>
      </c>
    </row>
    <row r="84" spans="2:13" x14ac:dyDescent="0.35">
      <c r="B84" s="4" t="s">
        <v>14</v>
      </c>
      <c r="C84" s="183" t="s">
        <v>86</v>
      </c>
      <c r="D84" s="183"/>
      <c r="E84" s="183"/>
      <c r="F84" s="183"/>
      <c r="G84" s="183"/>
      <c r="H84" s="183"/>
      <c r="I84" s="13">
        <v>0</v>
      </c>
      <c r="J84" s="6">
        <f t="shared" si="1"/>
        <v>0</v>
      </c>
    </row>
    <row r="85" spans="2:13" x14ac:dyDescent="0.35">
      <c r="B85" s="168" t="s">
        <v>87</v>
      </c>
      <c r="C85" s="168"/>
      <c r="D85" s="168"/>
      <c r="E85" s="168"/>
      <c r="F85" s="168"/>
      <c r="G85" s="168"/>
      <c r="H85" s="168"/>
      <c r="I85" s="15">
        <f>SUM(I79:I84)</f>
        <v>2.3263814814814817E-2</v>
      </c>
      <c r="J85" s="10">
        <f>SUM(J79:J84)</f>
        <v>32.18</v>
      </c>
    </row>
    <row r="86" spans="2:13" x14ac:dyDescent="0.35">
      <c r="B86" s="184"/>
      <c r="C86" s="185"/>
      <c r="D86" s="185"/>
      <c r="E86" s="185"/>
      <c r="F86" s="185"/>
      <c r="G86" s="185"/>
      <c r="H86" s="185"/>
      <c r="I86" s="185"/>
      <c r="J86" s="185"/>
    </row>
    <row r="87" spans="2:13" x14ac:dyDescent="0.35">
      <c r="B87" s="168" t="s">
        <v>88</v>
      </c>
      <c r="C87" s="168"/>
      <c r="D87" s="168"/>
      <c r="E87" s="168"/>
      <c r="F87" s="168"/>
      <c r="G87" s="168"/>
      <c r="H87" s="168"/>
      <c r="I87" s="4" t="s">
        <v>20</v>
      </c>
      <c r="J87" s="4" t="s">
        <v>38</v>
      </c>
    </row>
    <row r="88" spans="2:13" x14ac:dyDescent="0.35">
      <c r="B88" s="4" t="s">
        <v>1</v>
      </c>
      <c r="C88" s="186" t="s">
        <v>89</v>
      </c>
      <c r="D88" s="167"/>
      <c r="E88" s="167"/>
      <c r="F88" s="167"/>
      <c r="G88" s="167"/>
      <c r="H88" s="167"/>
      <c r="I88" s="13">
        <v>0</v>
      </c>
      <c r="J88" s="6">
        <v>0</v>
      </c>
    </row>
    <row r="89" spans="2:13" x14ac:dyDescent="0.35">
      <c r="B89" s="168" t="s">
        <v>90</v>
      </c>
      <c r="C89" s="168"/>
      <c r="D89" s="168"/>
      <c r="E89" s="168"/>
      <c r="F89" s="168"/>
      <c r="G89" s="168"/>
      <c r="H89" s="168"/>
      <c r="I89" s="15">
        <v>0</v>
      </c>
      <c r="J89" s="10">
        <v>0</v>
      </c>
    </row>
    <row r="90" spans="2:13" x14ac:dyDescent="0.35">
      <c r="B90" s="181"/>
      <c r="C90" s="182"/>
      <c r="D90" s="182"/>
      <c r="E90" s="182"/>
      <c r="F90" s="182"/>
      <c r="G90" s="182"/>
      <c r="H90" s="182"/>
      <c r="I90" s="182"/>
      <c r="J90" s="182"/>
    </row>
    <row r="91" spans="2:13" x14ac:dyDescent="0.35">
      <c r="B91" s="171" t="s">
        <v>91</v>
      </c>
      <c r="C91" s="171"/>
      <c r="D91" s="171"/>
      <c r="E91" s="171"/>
      <c r="F91" s="171"/>
      <c r="G91" s="171"/>
      <c r="H91" s="171"/>
      <c r="I91" s="171"/>
      <c r="J91" s="171"/>
    </row>
    <row r="92" spans="2:13" x14ac:dyDescent="0.35">
      <c r="B92" s="168" t="s">
        <v>92</v>
      </c>
      <c r="C92" s="168"/>
      <c r="D92" s="168"/>
      <c r="E92" s="168"/>
      <c r="F92" s="168"/>
      <c r="G92" s="168"/>
      <c r="H92" s="168"/>
      <c r="I92" s="168"/>
      <c r="J92" s="4" t="s">
        <v>38</v>
      </c>
    </row>
    <row r="93" spans="2:13" x14ac:dyDescent="0.35">
      <c r="B93" s="4" t="s">
        <v>19</v>
      </c>
      <c r="C93" s="167" t="s">
        <v>93</v>
      </c>
      <c r="D93" s="167"/>
      <c r="E93" s="167"/>
      <c r="F93" s="167"/>
      <c r="G93" s="167"/>
      <c r="H93" s="167"/>
      <c r="I93" s="167"/>
      <c r="J93" s="6">
        <f>J85</f>
        <v>32.18</v>
      </c>
    </row>
    <row r="94" spans="2:13" x14ac:dyDescent="0.35">
      <c r="B94" s="8" t="s">
        <v>21</v>
      </c>
      <c r="C94" s="167" t="s">
        <v>94</v>
      </c>
      <c r="D94" s="167"/>
      <c r="E94" s="167"/>
      <c r="F94" s="167"/>
      <c r="G94" s="167"/>
      <c r="H94" s="167"/>
      <c r="I94" s="167"/>
      <c r="J94" s="17">
        <f>J89</f>
        <v>0</v>
      </c>
    </row>
    <row r="95" spans="2:13" x14ac:dyDescent="0.35">
      <c r="B95" s="168" t="s">
        <v>95</v>
      </c>
      <c r="C95" s="168"/>
      <c r="D95" s="168"/>
      <c r="E95" s="168"/>
      <c r="F95" s="168"/>
      <c r="G95" s="168"/>
      <c r="H95" s="168"/>
      <c r="I95" s="168"/>
      <c r="J95" s="18">
        <f>SUM(J93:J94)</f>
        <v>32.18</v>
      </c>
    </row>
    <row r="96" spans="2:13" x14ac:dyDescent="0.35">
      <c r="B96" s="178"/>
      <c r="C96" s="179"/>
      <c r="D96" s="179"/>
      <c r="E96" s="179"/>
      <c r="F96" s="179"/>
      <c r="G96" s="179"/>
      <c r="H96" s="179"/>
      <c r="I96" s="179"/>
      <c r="J96" s="179"/>
    </row>
    <row r="97" spans="2:13" x14ac:dyDescent="0.35">
      <c r="B97" s="180" t="s">
        <v>96</v>
      </c>
      <c r="C97" s="180"/>
      <c r="D97" s="180"/>
      <c r="E97" s="180"/>
      <c r="F97" s="180"/>
      <c r="G97" s="180"/>
      <c r="H97" s="180"/>
      <c r="I97" s="180"/>
      <c r="J97" s="180"/>
    </row>
    <row r="98" spans="2:13" x14ac:dyDescent="0.35">
      <c r="B98" s="4">
        <v>5</v>
      </c>
      <c r="C98" s="168" t="s">
        <v>97</v>
      </c>
      <c r="D98" s="168"/>
      <c r="E98" s="168"/>
      <c r="F98" s="168"/>
      <c r="G98" s="168"/>
      <c r="H98" s="168"/>
      <c r="I98" s="4"/>
      <c r="J98" s="4" t="s">
        <v>38</v>
      </c>
      <c r="L98" s="63" t="s">
        <v>140</v>
      </c>
      <c r="M98" s="63" t="s">
        <v>141</v>
      </c>
    </row>
    <row r="99" spans="2:13" x14ac:dyDescent="0.35">
      <c r="B99" s="4" t="s">
        <v>1</v>
      </c>
      <c r="C99" s="177" t="s">
        <v>124</v>
      </c>
      <c r="D99" s="177"/>
      <c r="E99" s="177"/>
      <c r="F99" s="177"/>
      <c r="G99" s="177"/>
      <c r="H99" s="177"/>
      <c r="I99" s="13">
        <v>1.4500000000000001E-2</v>
      </c>
      <c r="J99" s="6">
        <f>($J$33+$J$66+$J$75+$J$95)*I99</f>
        <v>44.797894999999997</v>
      </c>
      <c r="L99" s="71" t="s">
        <v>185</v>
      </c>
      <c r="M99" s="64"/>
    </row>
    <row r="100" spans="2:13" x14ac:dyDescent="0.35">
      <c r="B100" s="4" t="s">
        <v>2</v>
      </c>
      <c r="C100" s="177" t="s">
        <v>125</v>
      </c>
      <c r="D100" s="177"/>
      <c r="E100" s="177"/>
      <c r="F100" s="177"/>
      <c r="G100" s="177"/>
      <c r="H100" s="177"/>
      <c r="I100" s="13">
        <v>0.12</v>
      </c>
      <c r="J100" s="6">
        <f>(($J$33+$J$66+$J$75+$J$95+J99)*I100)*(1-9.25%)</f>
        <v>341.32612976549996</v>
      </c>
      <c r="L100" s="71" t="s">
        <v>185</v>
      </c>
      <c r="M100" s="64"/>
    </row>
    <row r="101" spans="2:13" x14ac:dyDescent="0.35">
      <c r="B101" s="20" t="s">
        <v>3</v>
      </c>
      <c r="C101" s="177" t="s">
        <v>98</v>
      </c>
      <c r="D101" s="177"/>
      <c r="E101" s="177"/>
      <c r="F101" s="177"/>
      <c r="G101" s="177"/>
      <c r="H101" s="177"/>
      <c r="I101" s="1" t="s">
        <v>60</v>
      </c>
      <c r="J101" s="6">
        <v>0</v>
      </c>
    </row>
    <row r="102" spans="2:13" x14ac:dyDescent="0.35">
      <c r="B102" s="20" t="s">
        <v>4</v>
      </c>
      <c r="C102" s="177" t="s">
        <v>17</v>
      </c>
      <c r="D102" s="177"/>
      <c r="E102" s="177"/>
      <c r="F102" s="177"/>
      <c r="G102" s="177"/>
      <c r="H102" s="177"/>
      <c r="I102" s="1" t="s">
        <v>60</v>
      </c>
      <c r="J102" s="6">
        <v>0</v>
      </c>
    </row>
    <row r="103" spans="2:13" x14ac:dyDescent="0.35">
      <c r="B103" s="168" t="s">
        <v>99</v>
      </c>
      <c r="C103" s="168"/>
      <c r="D103" s="168"/>
      <c r="E103" s="168"/>
      <c r="F103" s="168"/>
      <c r="G103" s="168"/>
      <c r="H103" s="168"/>
      <c r="I103" s="15" t="s">
        <v>60</v>
      </c>
      <c r="J103" s="10">
        <f>SUM(J99:J102)</f>
        <v>386.12402476549994</v>
      </c>
    </row>
    <row r="104" spans="2:13" x14ac:dyDescent="0.35">
      <c r="B104" s="178"/>
      <c r="C104" s="179"/>
      <c r="D104" s="179"/>
      <c r="E104" s="179"/>
      <c r="F104" s="179"/>
      <c r="G104" s="179"/>
      <c r="H104" s="179"/>
      <c r="I104" s="179"/>
      <c r="J104" s="179"/>
    </row>
    <row r="105" spans="2:13" x14ac:dyDescent="0.35">
      <c r="B105" s="180" t="s">
        <v>100</v>
      </c>
      <c r="C105" s="180"/>
      <c r="D105" s="180"/>
      <c r="E105" s="180"/>
      <c r="F105" s="180"/>
      <c r="G105" s="180"/>
      <c r="H105" s="180"/>
      <c r="I105" s="180"/>
      <c r="J105" s="180"/>
    </row>
    <row r="106" spans="2:13" x14ac:dyDescent="0.35">
      <c r="B106" s="4">
        <v>6</v>
      </c>
      <c r="C106" s="168" t="s">
        <v>101</v>
      </c>
      <c r="D106" s="168"/>
      <c r="E106" s="168"/>
      <c r="F106" s="168"/>
      <c r="G106" s="168"/>
      <c r="H106" s="168"/>
      <c r="I106" s="4" t="s">
        <v>20</v>
      </c>
      <c r="J106" s="4" t="s">
        <v>38</v>
      </c>
      <c r="L106" s="63" t="s">
        <v>140</v>
      </c>
      <c r="M106" s="63" t="s">
        <v>141</v>
      </c>
    </row>
    <row r="107" spans="2:13" x14ac:dyDescent="0.35">
      <c r="B107" s="4" t="s">
        <v>1</v>
      </c>
      <c r="C107" s="167" t="s">
        <v>102</v>
      </c>
      <c r="D107" s="167"/>
      <c r="E107" s="167"/>
      <c r="F107" s="167"/>
      <c r="G107" s="167"/>
      <c r="H107" s="167"/>
      <c r="I107" s="21">
        <v>0.03</v>
      </c>
      <c r="J107" s="6">
        <f>TRUNC(((J131)*I107),2)</f>
        <v>104.26</v>
      </c>
      <c r="L107" s="71"/>
      <c r="M107" s="71" t="s">
        <v>172</v>
      </c>
    </row>
    <row r="108" spans="2:13" x14ac:dyDescent="0.35">
      <c r="B108" s="8" t="s">
        <v>2</v>
      </c>
      <c r="C108" s="167" t="s">
        <v>103</v>
      </c>
      <c r="D108" s="167"/>
      <c r="E108" s="167"/>
      <c r="F108" s="167"/>
      <c r="G108" s="167"/>
      <c r="H108" s="167"/>
      <c r="I108" s="21">
        <v>0.06</v>
      </c>
      <c r="J108" s="6">
        <f>TRUNC(((J131+J107)*I108),2)</f>
        <v>214.79</v>
      </c>
      <c r="L108" s="71"/>
      <c r="M108" s="71" t="s">
        <v>173</v>
      </c>
    </row>
    <row r="109" spans="2:13" x14ac:dyDescent="0.35">
      <c r="B109" s="4" t="s">
        <v>3</v>
      </c>
      <c r="C109" s="176" t="s">
        <v>104</v>
      </c>
      <c r="D109" s="176"/>
      <c r="E109" s="176"/>
      <c r="F109" s="176"/>
      <c r="G109" s="176"/>
      <c r="H109" s="176"/>
      <c r="I109" s="7"/>
      <c r="J109" s="22"/>
      <c r="L109" s="75"/>
      <c r="M109" s="75"/>
    </row>
    <row r="110" spans="2:13" x14ac:dyDescent="0.35">
      <c r="B110" s="8" t="s">
        <v>105</v>
      </c>
      <c r="C110" s="167" t="s">
        <v>106</v>
      </c>
      <c r="D110" s="167"/>
      <c r="E110" s="167"/>
      <c r="F110" s="167"/>
      <c r="G110" s="167"/>
      <c r="H110" s="167"/>
      <c r="I110" s="23">
        <v>1.6500000000000001E-2</v>
      </c>
      <c r="J110" s="17">
        <f>TRUNC(I110*((J131+J107+J108)/(1-I115)),2)</f>
        <v>71.349999999999994</v>
      </c>
      <c r="L110" s="71"/>
      <c r="M110" s="71" t="s">
        <v>174</v>
      </c>
    </row>
    <row r="111" spans="2:13" x14ac:dyDescent="0.35">
      <c r="B111" s="8" t="s">
        <v>107</v>
      </c>
      <c r="C111" s="167" t="s">
        <v>108</v>
      </c>
      <c r="D111" s="167"/>
      <c r="E111" s="167"/>
      <c r="F111" s="167"/>
      <c r="G111" s="167"/>
      <c r="H111" s="167"/>
      <c r="I111" s="23">
        <v>7.5999999999999998E-2</v>
      </c>
      <c r="J111" s="17">
        <f>TRUNC(I111*(J131+J107+J108)/(1-I115),2)</f>
        <v>328.65</v>
      </c>
      <c r="L111" s="71"/>
      <c r="M111" s="71" t="s">
        <v>175</v>
      </c>
    </row>
    <row r="112" spans="2:13" x14ac:dyDescent="0.35">
      <c r="B112" s="8" t="s">
        <v>109</v>
      </c>
      <c r="C112" s="167" t="s">
        <v>110</v>
      </c>
      <c r="D112" s="167"/>
      <c r="E112" s="167"/>
      <c r="F112" s="167"/>
      <c r="G112" s="167"/>
      <c r="H112" s="167"/>
      <c r="I112" s="148">
        <v>0.03</v>
      </c>
      <c r="J112" s="17">
        <f>TRUNC(I112*(J131+J107+J108)/(1-I115),2)</f>
        <v>129.72999999999999</v>
      </c>
      <c r="L112" s="76"/>
      <c r="M112" s="76" t="s">
        <v>176</v>
      </c>
    </row>
    <row r="113" spans="2:13" x14ac:dyDescent="0.35">
      <c r="B113" s="168" t="s">
        <v>111</v>
      </c>
      <c r="C113" s="168"/>
      <c r="D113" s="168"/>
      <c r="E113" s="168"/>
      <c r="F113" s="168"/>
      <c r="G113" s="168"/>
      <c r="H113" s="168"/>
      <c r="I113" s="23">
        <f>SUM(I107:I112)</f>
        <v>0.21249999999999999</v>
      </c>
      <c r="J113" s="18">
        <f>SUM(J107:J112)</f>
        <v>848.78</v>
      </c>
    </row>
    <row r="114" spans="2:13" x14ac:dyDescent="0.35">
      <c r="B114" s="2"/>
      <c r="C114" s="172"/>
      <c r="D114" s="172"/>
      <c r="E114" s="172"/>
      <c r="F114" s="172"/>
      <c r="G114" s="172"/>
      <c r="H114" s="172"/>
      <c r="I114" s="172"/>
      <c r="J114" s="172"/>
      <c r="L114" s="75"/>
      <c r="M114" s="75"/>
    </row>
    <row r="115" spans="2:13" x14ac:dyDescent="0.35">
      <c r="B115" s="24" t="s">
        <v>112</v>
      </c>
      <c r="C115" s="173" t="s">
        <v>113</v>
      </c>
      <c r="D115" s="173"/>
      <c r="E115" s="173"/>
      <c r="F115" s="173"/>
      <c r="G115" s="173"/>
      <c r="H115" s="173"/>
      <c r="I115" s="25">
        <f>I110+I111+I112</f>
        <v>0.1225</v>
      </c>
      <c r="J115" s="26"/>
    </row>
    <row r="116" spans="2:13" x14ac:dyDescent="0.35">
      <c r="B116" s="27"/>
      <c r="C116" s="174">
        <v>100</v>
      </c>
      <c r="D116" s="175"/>
      <c r="E116" s="175"/>
      <c r="F116" s="175"/>
      <c r="G116" s="175"/>
      <c r="H116" s="175"/>
      <c r="I116" s="28"/>
      <c r="J116" s="29"/>
    </row>
    <row r="117" spans="2:13" x14ac:dyDescent="0.35">
      <c r="B117" s="30"/>
      <c r="C117" s="31"/>
      <c r="D117" s="31"/>
      <c r="E117" s="31"/>
      <c r="F117" s="31"/>
      <c r="G117" s="31"/>
      <c r="H117" s="31"/>
      <c r="I117" s="28"/>
      <c r="J117" s="29"/>
    </row>
    <row r="118" spans="2:13" x14ac:dyDescent="0.35">
      <c r="B118" s="27" t="s">
        <v>114</v>
      </c>
      <c r="C118" s="175" t="s">
        <v>115</v>
      </c>
      <c r="D118" s="175"/>
      <c r="E118" s="175"/>
      <c r="F118" s="175"/>
      <c r="G118" s="175"/>
      <c r="H118" s="175"/>
      <c r="I118" s="28"/>
      <c r="J118" s="29">
        <f>J33+J66+J75+J95+J103+J107+J108</f>
        <v>3794.6840247655</v>
      </c>
    </row>
    <row r="119" spans="2:13" x14ac:dyDescent="0.35">
      <c r="B119" s="27"/>
      <c r="C119" s="31"/>
      <c r="D119" s="31"/>
      <c r="E119" s="31"/>
      <c r="F119" s="31"/>
      <c r="G119" s="31"/>
      <c r="H119" s="31"/>
      <c r="I119" s="28"/>
      <c r="J119" s="29"/>
    </row>
    <row r="120" spans="2:13" x14ac:dyDescent="0.35">
      <c r="B120" s="27" t="s">
        <v>116</v>
      </c>
      <c r="C120" s="175" t="s">
        <v>117</v>
      </c>
      <c r="D120" s="175"/>
      <c r="E120" s="175"/>
      <c r="F120" s="175"/>
      <c r="G120" s="175"/>
      <c r="H120" s="175"/>
      <c r="I120" s="28"/>
      <c r="J120" s="29">
        <f>TRUNC(J118/(1-I115),2)</f>
        <v>4324.42</v>
      </c>
    </row>
    <row r="121" spans="2:13" x14ac:dyDescent="0.35">
      <c r="B121" s="27"/>
      <c r="C121" s="31"/>
      <c r="D121" s="31"/>
      <c r="E121" s="31"/>
      <c r="F121" s="31"/>
      <c r="G121" s="31"/>
      <c r="H121" s="31"/>
      <c r="I121" s="28"/>
      <c r="J121" s="29"/>
    </row>
    <row r="122" spans="2:13" x14ac:dyDescent="0.35">
      <c r="B122" s="32"/>
      <c r="C122" s="170" t="s">
        <v>118</v>
      </c>
      <c r="D122" s="170"/>
      <c r="E122" s="170"/>
      <c r="F122" s="170"/>
      <c r="G122" s="170"/>
      <c r="H122" s="170"/>
      <c r="I122" s="33"/>
      <c r="J122" s="34">
        <f>J120-J118</f>
        <v>529.73597523450007</v>
      </c>
    </row>
    <row r="123" spans="2:13" x14ac:dyDescent="0.35">
      <c r="B123" s="2"/>
      <c r="C123" s="2"/>
      <c r="D123" s="2"/>
      <c r="E123" s="2"/>
      <c r="F123" s="2"/>
      <c r="G123" s="2"/>
      <c r="H123" s="2"/>
      <c r="I123" s="2"/>
      <c r="J123" s="35"/>
    </row>
    <row r="124" spans="2:13" x14ac:dyDescent="0.35">
      <c r="B124" s="171" t="s">
        <v>119</v>
      </c>
      <c r="C124" s="171"/>
      <c r="D124" s="171"/>
      <c r="E124" s="171"/>
      <c r="F124" s="171"/>
      <c r="G124" s="171"/>
      <c r="H124" s="171"/>
      <c r="I124" s="171"/>
      <c r="J124" s="171"/>
    </row>
    <row r="125" spans="2:13" x14ac:dyDescent="0.35">
      <c r="B125" s="168" t="s">
        <v>120</v>
      </c>
      <c r="C125" s="168"/>
      <c r="D125" s="168"/>
      <c r="E125" s="168"/>
      <c r="F125" s="168"/>
      <c r="G125" s="168"/>
      <c r="H125" s="168"/>
      <c r="I125" s="168"/>
      <c r="J125" s="4" t="s">
        <v>38</v>
      </c>
    </row>
    <row r="126" spans="2:13" x14ac:dyDescent="0.35">
      <c r="B126" s="1" t="s">
        <v>1</v>
      </c>
      <c r="C126" s="167" t="s">
        <v>36</v>
      </c>
      <c r="D126" s="167"/>
      <c r="E126" s="167"/>
      <c r="F126" s="167"/>
      <c r="G126" s="167"/>
      <c r="H126" s="167"/>
      <c r="I126" s="167"/>
      <c r="J126" s="6">
        <f>J33</f>
        <v>1384.64</v>
      </c>
    </row>
    <row r="127" spans="2:13" x14ac:dyDescent="0.35">
      <c r="B127" s="36" t="s">
        <v>2</v>
      </c>
      <c r="C127" s="167" t="s">
        <v>44</v>
      </c>
      <c r="D127" s="167"/>
      <c r="E127" s="167"/>
      <c r="F127" s="167"/>
      <c r="G127" s="167"/>
      <c r="H127" s="167"/>
      <c r="I127" s="167"/>
      <c r="J127" s="17">
        <f>J66</f>
        <v>1574.27</v>
      </c>
    </row>
    <row r="128" spans="2:13" x14ac:dyDescent="0.35">
      <c r="B128" s="36" t="s">
        <v>3</v>
      </c>
      <c r="C128" s="167" t="s">
        <v>72</v>
      </c>
      <c r="D128" s="167"/>
      <c r="E128" s="167"/>
      <c r="F128" s="167"/>
      <c r="G128" s="167"/>
      <c r="H128" s="167"/>
      <c r="I128" s="167"/>
      <c r="J128" s="17">
        <f>J75</f>
        <v>98.42</v>
      </c>
    </row>
    <row r="129" spans="2:10" x14ac:dyDescent="0.35">
      <c r="B129" s="1" t="s">
        <v>4</v>
      </c>
      <c r="C129" s="167" t="s">
        <v>79</v>
      </c>
      <c r="D129" s="167"/>
      <c r="E129" s="167"/>
      <c r="F129" s="167"/>
      <c r="G129" s="167"/>
      <c r="H129" s="167"/>
      <c r="I129" s="167"/>
      <c r="J129" s="17">
        <f>J95</f>
        <v>32.18</v>
      </c>
    </row>
    <row r="130" spans="2:10" x14ac:dyDescent="0.35">
      <c r="B130" s="36" t="s">
        <v>13</v>
      </c>
      <c r="C130" s="167" t="s">
        <v>96</v>
      </c>
      <c r="D130" s="167"/>
      <c r="E130" s="167"/>
      <c r="F130" s="167"/>
      <c r="G130" s="167"/>
      <c r="H130" s="167"/>
      <c r="I130" s="167"/>
      <c r="J130" s="17">
        <f>J103</f>
        <v>386.12402476549994</v>
      </c>
    </row>
    <row r="131" spans="2:10" x14ac:dyDescent="0.35">
      <c r="B131" s="8"/>
      <c r="C131" s="168" t="s">
        <v>121</v>
      </c>
      <c r="D131" s="168"/>
      <c r="E131" s="168"/>
      <c r="F131" s="168"/>
      <c r="G131" s="168"/>
      <c r="H131" s="168"/>
      <c r="I131" s="168"/>
      <c r="J131" s="18">
        <f>SUM(J126:J130)</f>
        <v>3475.6340247654998</v>
      </c>
    </row>
    <row r="132" spans="2:10" x14ac:dyDescent="0.35">
      <c r="B132" s="1" t="s">
        <v>14</v>
      </c>
      <c r="C132" s="167" t="s">
        <v>100</v>
      </c>
      <c r="D132" s="167"/>
      <c r="E132" s="167"/>
      <c r="F132" s="167"/>
      <c r="G132" s="167"/>
      <c r="H132" s="167"/>
      <c r="I132" s="167"/>
      <c r="J132" s="6">
        <f>J113</f>
        <v>848.78</v>
      </c>
    </row>
    <row r="133" spans="2:10" ht="18" x14ac:dyDescent="0.35">
      <c r="B133" s="169" t="s">
        <v>122</v>
      </c>
      <c r="C133" s="169"/>
      <c r="D133" s="169"/>
      <c r="E133" s="169"/>
      <c r="F133" s="169"/>
      <c r="G133" s="169"/>
      <c r="H133" s="169"/>
      <c r="I133" s="169"/>
      <c r="J133" s="37">
        <f>TRUNC(J131+J132,2)</f>
        <v>4324.41</v>
      </c>
    </row>
    <row r="134" spans="2:10" x14ac:dyDescent="0.35">
      <c r="B134" s="38"/>
      <c r="C134" s="38"/>
      <c r="D134" s="38"/>
      <c r="E134" s="38"/>
      <c r="F134" s="38"/>
      <c r="G134" s="38"/>
      <c r="H134" s="38"/>
      <c r="I134" s="38"/>
      <c r="J134" s="39"/>
    </row>
    <row r="135" spans="2:10" x14ac:dyDescent="0.35">
      <c r="B135" s="38"/>
      <c r="C135" s="38"/>
      <c r="D135" s="38"/>
      <c r="E135" s="38"/>
      <c r="F135" s="38"/>
      <c r="G135" s="38"/>
      <c r="H135" s="38"/>
      <c r="I135" s="38"/>
      <c r="J135" s="38"/>
    </row>
    <row r="136" spans="2:10" x14ac:dyDescent="0.35">
      <c r="B136" s="47" t="s">
        <v>129</v>
      </c>
      <c r="C136" s="48">
        <f>J133/J33</f>
        <v>3.123129477698174</v>
      </c>
      <c r="D136" s="38"/>
      <c r="E136" s="38"/>
      <c r="F136" s="38"/>
      <c r="G136" s="38"/>
      <c r="H136" s="38"/>
      <c r="I136" s="38"/>
      <c r="J136" s="38"/>
    </row>
    <row r="137" spans="2:10" x14ac:dyDescent="0.35">
      <c r="B137" s="40"/>
      <c r="C137" s="40"/>
      <c r="D137" s="41"/>
    </row>
    <row r="138" spans="2:10" x14ac:dyDescent="0.35">
      <c r="B138" s="42"/>
      <c r="C138" s="38"/>
      <c r="D138" s="38"/>
    </row>
    <row r="139" spans="2:10" x14ac:dyDescent="0.35">
      <c r="B139" s="42"/>
      <c r="C139" s="38"/>
      <c r="D139" s="38"/>
    </row>
  </sheetData>
  <mergeCells count="139">
    <mergeCell ref="B1:J1"/>
    <mergeCell ref="B2:J2"/>
    <mergeCell ref="B3:J3"/>
    <mergeCell ref="B4:J4"/>
    <mergeCell ref="B5:J5"/>
    <mergeCell ref="B6:J6"/>
    <mergeCell ref="C11:H11"/>
    <mergeCell ref="I11:J11"/>
    <mergeCell ref="C12:H12"/>
    <mergeCell ref="I12:J12"/>
    <mergeCell ref="B14:J14"/>
    <mergeCell ref="B15:C15"/>
    <mergeCell ref="D15:E15"/>
    <mergeCell ref="F15:J15"/>
    <mergeCell ref="B7:J7"/>
    <mergeCell ref="B8:J8"/>
    <mergeCell ref="C9:H9"/>
    <mergeCell ref="I9:J9"/>
    <mergeCell ref="C10:H10"/>
    <mergeCell ref="I10:J10"/>
    <mergeCell ref="C20:H20"/>
    <mergeCell ref="I20:J20"/>
    <mergeCell ref="C21:H21"/>
    <mergeCell ref="I21:J21"/>
    <mergeCell ref="C22:H22"/>
    <mergeCell ref="I22:J22"/>
    <mergeCell ref="B16:C16"/>
    <mergeCell ref="D16:E16"/>
    <mergeCell ref="F16:J16"/>
    <mergeCell ref="B18:J18"/>
    <mergeCell ref="C19:H19"/>
    <mergeCell ref="I19:J19"/>
    <mergeCell ref="C28:H28"/>
    <mergeCell ref="C29:H29"/>
    <mergeCell ref="C30:H30"/>
    <mergeCell ref="C31:H31"/>
    <mergeCell ref="C32:H32"/>
    <mergeCell ref="B33:I33"/>
    <mergeCell ref="C23:H23"/>
    <mergeCell ref="I23:J23"/>
    <mergeCell ref="B24:J24"/>
    <mergeCell ref="B25:J25"/>
    <mergeCell ref="C26:H26"/>
    <mergeCell ref="C27:H27"/>
    <mergeCell ref="B41:H41"/>
    <mergeCell ref="C42:H42"/>
    <mergeCell ref="C43:H43"/>
    <mergeCell ref="C44:H44"/>
    <mergeCell ref="C45:H45"/>
    <mergeCell ref="C46:H46"/>
    <mergeCell ref="B35:J35"/>
    <mergeCell ref="B36:H36"/>
    <mergeCell ref="C37:H37"/>
    <mergeCell ref="C38:H38"/>
    <mergeCell ref="B39:H39"/>
    <mergeCell ref="B40:J40"/>
    <mergeCell ref="C53:H53"/>
    <mergeCell ref="C54:H54"/>
    <mergeCell ref="C55:H55"/>
    <mergeCell ref="C56:H56"/>
    <mergeCell ref="C57:H57"/>
    <mergeCell ref="C58:H58"/>
    <mergeCell ref="C47:H47"/>
    <mergeCell ref="C48:H48"/>
    <mergeCell ref="C49:H49"/>
    <mergeCell ref="B50:H50"/>
    <mergeCell ref="B51:J51"/>
    <mergeCell ref="B52:H52"/>
    <mergeCell ref="C65:I65"/>
    <mergeCell ref="B66:I66"/>
    <mergeCell ref="B67:J67"/>
    <mergeCell ref="B68:J68"/>
    <mergeCell ref="C69:H69"/>
    <mergeCell ref="C70:H70"/>
    <mergeCell ref="B59:I59"/>
    <mergeCell ref="B60:J60"/>
    <mergeCell ref="B61:J61"/>
    <mergeCell ref="B62:I62"/>
    <mergeCell ref="C63:I63"/>
    <mergeCell ref="C64:I64"/>
    <mergeCell ref="B77:J77"/>
    <mergeCell ref="B78:H78"/>
    <mergeCell ref="C79:H79"/>
    <mergeCell ref="C80:H80"/>
    <mergeCell ref="C81:H81"/>
    <mergeCell ref="C82:H82"/>
    <mergeCell ref="C71:H71"/>
    <mergeCell ref="C72:H72"/>
    <mergeCell ref="C73:H73"/>
    <mergeCell ref="C74:H74"/>
    <mergeCell ref="B75:H75"/>
    <mergeCell ref="B76:J76"/>
    <mergeCell ref="B89:H89"/>
    <mergeCell ref="B90:J90"/>
    <mergeCell ref="B91:J91"/>
    <mergeCell ref="B92:I92"/>
    <mergeCell ref="C93:I93"/>
    <mergeCell ref="C94:I94"/>
    <mergeCell ref="C83:H83"/>
    <mergeCell ref="C84:H84"/>
    <mergeCell ref="B85:H85"/>
    <mergeCell ref="B86:J86"/>
    <mergeCell ref="B87:H87"/>
    <mergeCell ref="C88:H88"/>
    <mergeCell ref="C101:H101"/>
    <mergeCell ref="C102:H102"/>
    <mergeCell ref="B103:H103"/>
    <mergeCell ref="B104:J104"/>
    <mergeCell ref="B105:J105"/>
    <mergeCell ref="C106:H106"/>
    <mergeCell ref="B95:I95"/>
    <mergeCell ref="B96:J96"/>
    <mergeCell ref="B97:J97"/>
    <mergeCell ref="C98:H98"/>
    <mergeCell ref="C99:H99"/>
    <mergeCell ref="C100:H100"/>
    <mergeCell ref="B113:H113"/>
    <mergeCell ref="C114:J114"/>
    <mergeCell ref="C115:H115"/>
    <mergeCell ref="C116:H116"/>
    <mergeCell ref="C118:H118"/>
    <mergeCell ref="C120:H120"/>
    <mergeCell ref="C107:H107"/>
    <mergeCell ref="C108:H108"/>
    <mergeCell ref="C109:H109"/>
    <mergeCell ref="C110:H110"/>
    <mergeCell ref="C111:H111"/>
    <mergeCell ref="C112:H112"/>
    <mergeCell ref="C129:I129"/>
    <mergeCell ref="C130:I130"/>
    <mergeCell ref="C131:I131"/>
    <mergeCell ref="C132:I132"/>
    <mergeCell ref="B133:I133"/>
    <mergeCell ref="C122:H122"/>
    <mergeCell ref="B124:J124"/>
    <mergeCell ref="B125:I125"/>
    <mergeCell ref="C126:I126"/>
    <mergeCell ref="C127:I127"/>
    <mergeCell ref="C128:I12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2A49-8999-4F35-A1FD-3A3DC91D8D03}">
  <dimension ref="B1:M139"/>
  <sheetViews>
    <sheetView showGridLines="0" zoomScale="80" zoomScaleNormal="80" workbookViewId="0">
      <selection activeCell="J134" sqref="J134"/>
    </sheetView>
  </sheetViews>
  <sheetFormatPr defaultRowHeight="14.5" x14ac:dyDescent="0.35"/>
  <cols>
    <col min="2" max="2" width="10.453125" customWidth="1"/>
    <col min="3" max="3" width="49.54296875" bestFit="1" customWidth="1"/>
    <col min="8" max="8" width="9" bestFit="1" customWidth="1"/>
    <col min="9" max="9" width="9.26953125" bestFit="1" customWidth="1"/>
    <col min="10" max="10" width="23.7265625" customWidth="1"/>
    <col min="11" max="11" width="11.81640625" bestFit="1" customWidth="1"/>
    <col min="12" max="12" width="25.81640625" style="62" customWidth="1"/>
    <col min="13" max="13" width="63.453125" style="62" customWidth="1"/>
  </cols>
  <sheetData>
    <row r="1" spans="2:10" x14ac:dyDescent="0.35">
      <c r="B1" s="202" t="s">
        <v>133</v>
      </c>
      <c r="C1" s="202"/>
      <c r="D1" s="202"/>
      <c r="E1" s="202"/>
      <c r="F1" s="202"/>
      <c r="G1" s="202"/>
      <c r="H1" s="202"/>
      <c r="I1" s="202"/>
      <c r="J1" s="202"/>
    </row>
    <row r="2" spans="2:10" x14ac:dyDescent="0.35">
      <c r="B2" s="203" t="s">
        <v>26</v>
      </c>
      <c r="C2" s="203"/>
      <c r="D2" s="203"/>
      <c r="E2" s="203"/>
      <c r="F2" s="203"/>
      <c r="G2" s="203"/>
      <c r="H2" s="203"/>
      <c r="I2" s="203"/>
      <c r="J2" s="203"/>
    </row>
    <row r="3" spans="2:10" x14ac:dyDescent="0.35">
      <c r="B3" s="203" t="s">
        <v>0</v>
      </c>
      <c r="C3" s="203"/>
      <c r="D3" s="203"/>
      <c r="E3" s="203"/>
      <c r="F3" s="203"/>
      <c r="G3" s="203"/>
      <c r="H3" s="203"/>
      <c r="I3" s="203"/>
      <c r="J3" s="203"/>
    </row>
    <row r="4" spans="2:10" x14ac:dyDescent="0.35">
      <c r="B4" s="204" t="s">
        <v>134</v>
      </c>
      <c r="C4" s="204"/>
      <c r="D4" s="204"/>
      <c r="E4" s="204"/>
      <c r="F4" s="204"/>
      <c r="G4" s="204"/>
      <c r="H4" s="204"/>
      <c r="I4" s="204"/>
      <c r="J4" s="204"/>
    </row>
    <row r="5" spans="2:10" x14ac:dyDescent="0.35">
      <c r="B5" s="205"/>
      <c r="C5" s="205"/>
      <c r="D5" s="205"/>
      <c r="E5" s="205"/>
      <c r="F5" s="205"/>
      <c r="G5" s="205"/>
      <c r="H5" s="205"/>
      <c r="I5" s="205"/>
      <c r="J5" s="205"/>
    </row>
    <row r="6" spans="2:10" x14ac:dyDescent="0.35">
      <c r="B6" s="206" t="s">
        <v>198</v>
      </c>
      <c r="C6" s="206"/>
      <c r="D6" s="206"/>
      <c r="E6" s="206"/>
      <c r="F6" s="206"/>
      <c r="G6" s="206"/>
      <c r="H6" s="206"/>
      <c r="I6" s="206"/>
      <c r="J6" s="206"/>
    </row>
    <row r="7" spans="2:10" x14ac:dyDescent="0.35">
      <c r="B7" s="201"/>
      <c r="C7" s="201"/>
      <c r="D7" s="201"/>
      <c r="E7" s="201"/>
      <c r="F7" s="201"/>
      <c r="G7" s="201"/>
      <c r="H7" s="201"/>
      <c r="I7" s="201"/>
      <c r="J7" s="201"/>
    </row>
    <row r="8" spans="2:10" x14ac:dyDescent="0.35">
      <c r="B8" s="171" t="s">
        <v>27</v>
      </c>
      <c r="C8" s="171"/>
      <c r="D8" s="171"/>
      <c r="E8" s="171"/>
      <c r="F8" s="171"/>
      <c r="G8" s="171"/>
      <c r="H8" s="171"/>
      <c r="I8" s="171"/>
      <c r="J8" s="171"/>
    </row>
    <row r="9" spans="2:10" x14ac:dyDescent="0.35">
      <c r="B9" s="60" t="s">
        <v>1</v>
      </c>
      <c r="C9" s="167" t="s">
        <v>28</v>
      </c>
      <c r="D9" s="167"/>
      <c r="E9" s="167"/>
      <c r="F9" s="167"/>
      <c r="G9" s="167"/>
      <c r="H9" s="167"/>
      <c r="I9" s="197"/>
      <c r="J9" s="198"/>
    </row>
    <row r="10" spans="2:10" x14ac:dyDescent="0.35">
      <c r="B10" s="60" t="s">
        <v>2</v>
      </c>
      <c r="C10" s="167" t="s">
        <v>29</v>
      </c>
      <c r="D10" s="167"/>
      <c r="E10" s="167"/>
      <c r="F10" s="167"/>
      <c r="G10" s="167"/>
      <c r="H10" s="167"/>
      <c r="I10" s="198" t="s">
        <v>135</v>
      </c>
      <c r="J10" s="198"/>
    </row>
    <row r="11" spans="2:10" x14ac:dyDescent="0.35">
      <c r="B11" s="60" t="s">
        <v>3</v>
      </c>
      <c r="C11" s="167" t="s">
        <v>30</v>
      </c>
      <c r="D11" s="167"/>
      <c r="E11" s="167"/>
      <c r="F11" s="167"/>
      <c r="G11" s="167"/>
      <c r="H11" s="167"/>
      <c r="I11" s="207" t="s">
        <v>177</v>
      </c>
      <c r="J11" s="198"/>
    </row>
    <row r="12" spans="2:10" x14ac:dyDescent="0.35">
      <c r="B12" s="60" t="s">
        <v>4</v>
      </c>
      <c r="C12" s="167" t="s">
        <v>31</v>
      </c>
      <c r="D12" s="167"/>
      <c r="E12" s="167"/>
      <c r="F12" s="167"/>
      <c r="G12" s="167"/>
      <c r="H12" s="167"/>
      <c r="I12" s="198">
        <v>12</v>
      </c>
      <c r="J12" s="198"/>
    </row>
    <row r="13" spans="2:10" x14ac:dyDescent="0.35">
      <c r="B13" s="61"/>
      <c r="C13" s="55"/>
      <c r="D13" s="55"/>
      <c r="E13" s="55"/>
      <c r="F13" s="55"/>
      <c r="G13" s="55"/>
      <c r="H13" s="55"/>
      <c r="I13" s="61"/>
      <c r="J13" s="61"/>
    </row>
    <row r="14" spans="2:10" x14ac:dyDescent="0.35">
      <c r="B14" s="171" t="s">
        <v>5</v>
      </c>
      <c r="C14" s="171"/>
      <c r="D14" s="171"/>
      <c r="E14" s="171"/>
      <c r="F14" s="171"/>
      <c r="G14" s="171"/>
      <c r="H14" s="171"/>
      <c r="I14" s="171"/>
      <c r="J14" s="171"/>
    </row>
    <row r="15" spans="2:10" x14ac:dyDescent="0.35">
      <c r="B15" s="198" t="s">
        <v>6</v>
      </c>
      <c r="C15" s="198"/>
      <c r="D15" s="198" t="s">
        <v>7</v>
      </c>
      <c r="E15" s="198"/>
      <c r="F15" s="198" t="s">
        <v>32</v>
      </c>
      <c r="G15" s="198"/>
      <c r="H15" s="198"/>
      <c r="I15" s="198"/>
      <c r="J15" s="198"/>
    </row>
    <row r="16" spans="2:10" x14ac:dyDescent="0.35">
      <c r="B16" s="198" t="s">
        <v>136</v>
      </c>
      <c r="C16" s="198"/>
      <c r="D16" s="198" t="s">
        <v>22</v>
      </c>
      <c r="E16" s="198"/>
      <c r="F16" s="198"/>
      <c r="G16" s="198"/>
      <c r="H16" s="198"/>
      <c r="I16" s="198"/>
      <c r="J16" s="198"/>
    </row>
    <row r="17" spans="2:13" x14ac:dyDescent="0.35">
      <c r="B17" s="61"/>
      <c r="C17" s="55"/>
      <c r="D17" s="55"/>
      <c r="E17" s="55"/>
      <c r="F17" s="55"/>
      <c r="G17" s="55"/>
      <c r="H17" s="55"/>
      <c r="I17" s="61"/>
      <c r="J17" s="61"/>
    </row>
    <row r="18" spans="2:13" x14ac:dyDescent="0.35">
      <c r="B18" s="171" t="s">
        <v>33</v>
      </c>
      <c r="C18" s="171"/>
      <c r="D18" s="171"/>
      <c r="E18" s="171"/>
      <c r="F18" s="171"/>
      <c r="G18" s="171"/>
      <c r="H18" s="171"/>
      <c r="I18" s="171"/>
      <c r="J18" s="171"/>
    </row>
    <row r="19" spans="2:13" x14ac:dyDescent="0.35">
      <c r="B19" s="60">
        <v>1</v>
      </c>
      <c r="C19" s="167" t="s">
        <v>9</v>
      </c>
      <c r="D19" s="167"/>
      <c r="E19" s="167"/>
      <c r="F19" s="167"/>
      <c r="G19" s="167"/>
      <c r="H19" s="167"/>
      <c r="I19" s="198" t="s">
        <v>137</v>
      </c>
      <c r="J19" s="198"/>
    </row>
    <row r="20" spans="2:13" x14ac:dyDescent="0.35">
      <c r="B20" s="60">
        <v>2</v>
      </c>
      <c r="C20" s="167" t="s">
        <v>34</v>
      </c>
      <c r="D20" s="167"/>
      <c r="E20" s="167"/>
      <c r="F20" s="167"/>
      <c r="G20" s="167"/>
      <c r="H20" s="167"/>
      <c r="I20" s="198" t="s">
        <v>123</v>
      </c>
      <c r="J20" s="198"/>
    </row>
    <row r="21" spans="2:13" x14ac:dyDescent="0.35">
      <c r="B21" s="60">
        <v>3</v>
      </c>
      <c r="C21" s="167" t="s">
        <v>35</v>
      </c>
      <c r="D21" s="167"/>
      <c r="E21" s="167"/>
      <c r="F21" s="167"/>
      <c r="G21" s="167"/>
      <c r="H21" s="167"/>
      <c r="I21" s="200">
        <v>1201.3</v>
      </c>
      <c r="J21" s="198"/>
    </row>
    <row r="22" spans="2:13" x14ac:dyDescent="0.35">
      <c r="B22" s="60">
        <v>4</v>
      </c>
      <c r="C22" s="167" t="s">
        <v>10</v>
      </c>
      <c r="D22" s="167"/>
      <c r="E22" s="167"/>
      <c r="F22" s="167"/>
      <c r="G22" s="167"/>
      <c r="H22" s="167"/>
      <c r="I22" s="168" t="s">
        <v>200</v>
      </c>
      <c r="J22" s="168"/>
    </row>
    <row r="23" spans="2:13" x14ac:dyDescent="0.35">
      <c r="B23" s="60">
        <v>5</v>
      </c>
      <c r="C23" s="167" t="s">
        <v>11</v>
      </c>
      <c r="D23" s="167"/>
      <c r="E23" s="167"/>
      <c r="F23" s="167"/>
      <c r="G23" s="167"/>
      <c r="H23" s="167"/>
      <c r="I23" s="197">
        <v>43831</v>
      </c>
      <c r="J23" s="198"/>
    </row>
    <row r="24" spans="2:13" x14ac:dyDescent="0.35">
      <c r="B24" s="199"/>
      <c r="C24" s="199"/>
      <c r="D24" s="199"/>
      <c r="E24" s="199"/>
      <c r="F24" s="199"/>
      <c r="G24" s="199"/>
      <c r="H24" s="199"/>
      <c r="I24" s="199"/>
      <c r="J24" s="199"/>
    </row>
    <row r="25" spans="2:13" x14ac:dyDescent="0.35">
      <c r="B25" s="180" t="s">
        <v>36</v>
      </c>
      <c r="C25" s="180"/>
      <c r="D25" s="180"/>
      <c r="E25" s="180"/>
      <c r="F25" s="180"/>
      <c r="G25" s="180"/>
      <c r="H25" s="180"/>
      <c r="I25" s="180"/>
      <c r="J25" s="180"/>
    </row>
    <row r="26" spans="2:13" x14ac:dyDescent="0.35">
      <c r="B26" s="54">
        <v>1</v>
      </c>
      <c r="C26" s="168" t="s">
        <v>37</v>
      </c>
      <c r="D26" s="168"/>
      <c r="E26" s="168"/>
      <c r="F26" s="168"/>
      <c r="G26" s="168"/>
      <c r="H26" s="168"/>
      <c r="I26" s="54" t="s">
        <v>20</v>
      </c>
      <c r="J26" s="54" t="s">
        <v>38</v>
      </c>
      <c r="L26" s="63" t="s">
        <v>140</v>
      </c>
      <c r="M26" s="63" t="s">
        <v>141</v>
      </c>
    </row>
    <row r="27" spans="2:13" x14ac:dyDescent="0.35">
      <c r="B27" s="54" t="s">
        <v>1</v>
      </c>
      <c r="C27" s="167" t="s">
        <v>12</v>
      </c>
      <c r="D27" s="167"/>
      <c r="E27" s="167"/>
      <c r="F27" s="167"/>
      <c r="G27" s="167"/>
      <c r="H27" s="167"/>
      <c r="I27" s="57"/>
      <c r="J27" s="6">
        <v>1351.97</v>
      </c>
      <c r="L27" s="64"/>
      <c r="M27" s="65" t="s">
        <v>178</v>
      </c>
    </row>
    <row r="28" spans="2:13" x14ac:dyDescent="0.35">
      <c r="B28" s="54" t="s">
        <v>2</v>
      </c>
      <c r="C28" s="167" t="s">
        <v>39</v>
      </c>
      <c r="D28" s="167"/>
      <c r="E28" s="167"/>
      <c r="F28" s="167"/>
      <c r="G28" s="167"/>
      <c r="H28" s="167"/>
      <c r="I28" s="7"/>
      <c r="J28" s="6">
        <v>0</v>
      </c>
    </row>
    <row r="29" spans="2:13" x14ac:dyDescent="0.35">
      <c r="B29" s="54" t="s">
        <v>3</v>
      </c>
      <c r="C29" s="167" t="s">
        <v>40</v>
      </c>
      <c r="D29" s="167"/>
      <c r="E29" s="167"/>
      <c r="F29" s="167"/>
      <c r="G29" s="167"/>
      <c r="H29" s="167"/>
      <c r="I29" s="7"/>
      <c r="J29" s="6">
        <v>0</v>
      </c>
    </row>
    <row r="30" spans="2:13" x14ac:dyDescent="0.35">
      <c r="B30" s="54" t="s">
        <v>4</v>
      </c>
      <c r="C30" s="167" t="s">
        <v>41</v>
      </c>
      <c r="D30" s="167"/>
      <c r="E30" s="167"/>
      <c r="F30" s="167"/>
      <c r="G30" s="167"/>
      <c r="H30" s="167"/>
      <c r="I30" s="7"/>
      <c r="J30" s="6">
        <v>0</v>
      </c>
      <c r="K30" s="62"/>
    </row>
    <row r="31" spans="2:13" x14ac:dyDescent="0.35">
      <c r="B31" s="8" t="s">
        <v>13</v>
      </c>
      <c r="C31" s="167" t="s">
        <v>42</v>
      </c>
      <c r="D31" s="167"/>
      <c r="E31" s="167"/>
      <c r="F31" s="167"/>
      <c r="G31" s="167"/>
      <c r="H31" s="167"/>
      <c r="I31" s="9"/>
      <c r="J31" s="6">
        <v>0</v>
      </c>
    </row>
    <row r="32" spans="2:13" x14ac:dyDescent="0.35">
      <c r="B32" s="8" t="s">
        <v>14</v>
      </c>
      <c r="C32" s="167" t="s">
        <v>186</v>
      </c>
      <c r="D32" s="167"/>
      <c r="E32" s="167"/>
      <c r="F32" s="167"/>
      <c r="G32" s="167"/>
      <c r="H32" s="167"/>
      <c r="I32" s="7">
        <v>0.2</v>
      </c>
      <c r="J32" s="6">
        <f>J27*I32</f>
        <v>270.39400000000001</v>
      </c>
    </row>
    <row r="33" spans="2:13" x14ac:dyDescent="0.35">
      <c r="B33" s="168" t="s">
        <v>43</v>
      </c>
      <c r="C33" s="168"/>
      <c r="D33" s="168"/>
      <c r="E33" s="168"/>
      <c r="F33" s="168"/>
      <c r="G33" s="168"/>
      <c r="H33" s="168"/>
      <c r="I33" s="168"/>
      <c r="J33" s="10">
        <f>SUM(J27:J32)</f>
        <v>1622.364</v>
      </c>
    </row>
    <row r="34" spans="2:13" x14ac:dyDescent="0.35">
      <c r="B34" s="11"/>
      <c r="C34" s="11"/>
      <c r="D34" s="11"/>
      <c r="E34" s="11"/>
      <c r="F34" s="11"/>
      <c r="G34" s="11"/>
      <c r="H34" s="11"/>
      <c r="I34" s="11"/>
      <c r="J34" s="12"/>
    </row>
    <row r="35" spans="2:13" x14ac:dyDescent="0.35">
      <c r="B35" s="180" t="s">
        <v>44</v>
      </c>
      <c r="C35" s="180"/>
      <c r="D35" s="180"/>
      <c r="E35" s="180"/>
      <c r="F35" s="180"/>
      <c r="G35" s="180"/>
      <c r="H35" s="180"/>
      <c r="I35" s="180"/>
      <c r="J35" s="180"/>
    </row>
    <row r="36" spans="2:13" x14ac:dyDescent="0.35">
      <c r="B36" s="194" t="s">
        <v>45</v>
      </c>
      <c r="C36" s="194"/>
      <c r="D36" s="194"/>
      <c r="E36" s="194"/>
      <c r="F36" s="194"/>
      <c r="G36" s="194"/>
      <c r="H36" s="194"/>
      <c r="I36" s="59" t="s">
        <v>20</v>
      </c>
      <c r="J36" s="59" t="s">
        <v>38</v>
      </c>
      <c r="L36" s="63" t="s">
        <v>140</v>
      </c>
      <c r="M36" s="63" t="s">
        <v>141</v>
      </c>
    </row>
    <row r="37" spans="2:13" ht="26" x14ac:dyDescent="0.35">
      <c r="B37" s="54" t="s">
        <v>1</v>
      </c>
      <c r="C37" s="167" t="s">
        <v>46</v>
      </c>
      <c r="D37" s="167"/>
      <c r="E37" s="167"/>
      <c r="F37" s="167"/>
      <c r="G37" s="167"/>
      <c r="H37" s="167"/>
      <c r="I37" s="13">
        <v>8.3333000000000004E-2</v>
      </c>
      <c r="J37" s="6">
        <f>TRUNC($J$33*I37,2)</f>
        <v>135.19</v>
      </c>
      <c r="K37" s="52"/>
      <c r="L37" s="64"/>
      <c r="M37" s="66" t="s">
        <v>142</v>
      </c>
    </row>
    <row r="38" spans="2:13" ht="26" x14ac:dyDescent="0.35">
      <c r="B38" s="54" t="s">
        <v>2</v>
      </c>
      <c r="C38" s="167" t="s">
        <v>47</v>
      </c>
      <c r="D38" s="167"/>
      <c r="E38" s="167"/>
      <c r="F38" s="167"/>
      <c r="G38" s="167"/>
      <c r="H38" s="167"/>
      <c r="I38" s="14">
        <v>0.121</v>
      </c>
      <c r="J38" s="6">
        <f>TRUNC($J$33*I38,2)</f>
        <v>196.3</v>
      </c>
      <c r="K38" s="52"/>
      <c r="L38" s="67" t="s">
        <v>143</v>
      </c>
      <c r="M38" s="66" t="s">
        <v>144</v>
      </c>
    </row>
    <row r="39" spans="2:13" x14ac:dyDescent="0.35">
      <c r="B39" s="168" t="s">
        <v>48</v>
      </c>
      <c r="C39" s="168"/>
      <c r="D39" s="168"/>
      <c r="E39" s="168"/>
      <c r="F39" s="168"/>
      <c r="G39" s="168"/>
      <c r="H39" s="168"/>
      <c r="I39" s="15">
        <f>SUM(I37:I38)</f>
        <v>0.20433299999999999</v>
      </c>
      <c r="J39" s="10">
        <f>SUM(J37:J38)</f>
        <v>331.49</v>
      </c>
      <c r="K39" s="53"/>
    </row>
    <row r="40" spans="2:13" x14ac:dyDescent="0.35">
      <c r="B40" s="195"/>
      <c r="C40" s="196"/>
      <c r="D40" s="196"/>
      <c r="E40" s="196"/>
      <c r="F40" s="196"/>
      <c r="G40" s="196"/>
      <c r="H40" s="196"/>
      <c r="I40" s="196"/>
      <c r="J40" s="196"/>
    </row>
    <row r="41" spans="2:13" x14ac:dyDescent="0.35">
      <c r="B41" s="194" t="s">
        <v>49</v>
      </c>
      <c r="C41" s="194"/>
      <c r="D41" s="194"/>
      <c r="E41" s="194"/>
      <c r="F41" s="194"/>
      <c r="G41" s="194"/>
      <c r="H41" s="194"/>
      <c r="I41" s="59" t="s">
        <v>20</v>
      </c>
      <c r="J41" s="59" t="s">
        <v>38</v>
      </c>
      <c r="L41" s="63" t="s">
        <v>140</v>
      </c>
      <c r="M41" s="63" t="s">
        <v>141</v>
      </c>
    </row>
    <row r="42" spans="2:13" x14ac:dyDescent="0.35">
      <c r="B42" s="54" t="s">
        <v>1</v>
      </c>
      <c r="C42" s="167" t="s">
        <v>50</v>
      </c>
      <c r="D42" s="167"/>
      <c r="E42" s="167"/>
      <c r="F42" s="167"/>
      <c r="G42" s="167"/>
      <c r="H42" s="167"/>
      <c r="I42" s="13">
        <v>0.2</v>
      </c>
      <c r="J42" s="6">
        <f>TRUNC(($J$33+$J$39)*$I$42,2)</f>
        <v>390.77</v>
      </c>
      <c r="L42" s="64"/>
      <c r="M42" s="68" t="s">
        <v>145</v>
      </c>
    </row>
    <row r="43" spans="2:13" x14ac:dyDescent="0.35">
      <c r="B43" s="54" t="s">
        <v>2</v>
      </c>
      <c r="C43" s="167" t="s">
        <v>51</v>
      </c>
      <c r="D43" s="167"/>
      <c r="E43" s="167"/>
      <c r="F43" s="167"/>
      <c r="G43" s="167"/>
      <c r="H43" s="167"/>
      <c r="I43" s="13">
        <v>2.5000000000000001E-2</v>
      </c>
      <c r="J43" s="6">
        <f>TRUNC(($J$33+$J$39)*$I$43,2)</f>
        <v>48.84</v>
      </c>
      <c r="L43" s="64"/>
      <c r="M43" s="68" t="s">
        <v>146</v>
      </c>
    </row>
    <row r="44" spans="2:13" x14ac:dyDescent="0.35">
      <c r="B44" s="54" t="s">
        <v>3</v>
      </c>
      <c r="C44" s="167" t="s">
        <v>52</v>
      </c>
      <c r="D44" s="167"/>
      <c r="E44" s="167"/>
      <c r="F44" s="167"/>
      <c r="G44" s="167"/>
      <c r="H44" s="167"/>
      <c r="I44" s="19">
        <v>0.03</v>
      </c>
      <c r="J44" s="6">
        <f>TRUNC(($J$33+$J$39)*$I$44,2)</f>
        <v>58.61</v>
      </c>
      <c r="L44" s="67" t="s">
        <v>147</v>
      </c>
      <c r="M44" s="68" t="s">
        <v>148</v>
      </c>
    </row>
    <row r="45" spans="2:13" x14ac:dyDescent="0.35">
      <c r="B45" s="54" t="s">
        <v>4</v>
      </c>
      <c r="C45" s="167" t="s">
        <v>53</v>
      </c>
      <c r="D45" s="167"/>
      <c r="E45" s="167"/>
      <c r="F45" s="167"/>
      <c r="G45" s="167"/>
      <c r="H45" s="167"/>
      <c r="I45" s="13">
        <v>1.4999999999999999E-2</v>
      </c>
      <c r="J45" s="6">
        <f>TRUNC(($J$33+$J$39)*$I$45,2)</f>
        <v>29.3</v>
      </c>
      <c r="L45" s="64"/>
      <c r="M45" s="68" t="s">
        <v>149</v>
      </c>
    </row>
    <row r="46" spans="2:13" x14ac:dyDescent="0.35">
      <c r="B46" s="54" t="s">
        <v>13</v>
      </c>
      <c r="C46" s="167" t="s">
        <v>54</v>
      </c>
      <c r="D46" s="167"/>
      <c r="E46" s="167"/>
      <c r="F46" s="167"/>
      <c r="G46" s="167"/>
      <c r="H46" s="167"/>
      <c r="I46" s="13">
        <v>0.01</v>
      </c>
      <c r="J46" s="6">
        <f>TRUNC(($J$33+$J$39)*$I$46,2)</f>
        <v>19.53</v>
      </c>
      <c r="L46" s="64"/>
      <c r="M46" s="68" t="s">
        <v>150</v>
      </c>
    </row>
    <row r="47" spans="2:13" x14ac:dyDescent="0.35">
      <c r="B47" s="54" t="s">
        <v>14</v>
      </c>
      <c r="C47" s="167" t="s">
        <v>55</v>
      </c>
      <c r="D47" s="167"/>
      <c r="E47" s="167"/>
      <c r="F47" s="167"/>
      <c r="G47" s="167"/>
      <c r="H47" s="167"/>
      <c r="I47" s="13">
        <v>6.0000000000000001E-3</v>
      </c>
      <c r="J47" s="6">
        <f>TRUNC(($J$33+$J$39)*$I$47,2)</f>
        <v>11.72</v>
      </c>
      <c r="L47" s="64"/>
      <c r="M47" s="69" t="s">
        <v>151</v>
      </c>
    </row>
    <row r="48" spans="2:13" x14ac:dyDescent="0.35">
      <c r="B48" s="54" t="s">
        <v>15</v>
      </c>
      <c r="C48" s="167" t="s">
        <v>56</v>
      </c>
      <c r="D48" s="167"/>
      <c r="E48" s="167"/>
      <c r="F48" s="167"/>
      <c r="G48" s="167"/>
      <c r="H48" s="167"/>
      <c r="I48" s="13">
        <v>2E-3</v>
      </c>
      <c r="J48" s="6">
        <f>TRUNC(($J$33+$J$39)*$I$48,2)</f>
        <v>3.9</v>
      </c>
      <c r="L48" s="64"/>
      <c r="M48" s="68" t="s">
        <v>150</v>
      </c>
    </row>
    <row r="49" spans="2:13" x14ac:dyDescent="0.35">
      <c r="B49" s="54" t="s">
        <v>16</v>
      </c>
      <c r="C49" s="167" t="s">
        <v>57</v>
      </c>
      <c r="D49" s="167"/>
      <c r="E49" s="167"/>
      <c r="F49" s="167"/>
      <c r="G49" s="167"/>
      <c r="H49" s="167"/>
      <c r="I49" s="13">
        <v>0.08</v>
      </c>
      <c r="J49" s="6">
        <f>TRUNC(($J$33+$J$39)*$I$49,2)</f>
        <v>156.30000000000001</v>
      </c>
      <c r="L49" s="64"/>
      <c r="M49" s="68" t="s">
        <v>152</v>
      </c>
    </row>
    <row r="50" spans="2:13" x14ac:dyDescent="0.35">
      <c r="B50" s="168" t="s">
        <v>58</v>
      </c>
      <c r="C50" s="168"/>
      <c r="D50" s="168"/>
      <c r="E50" s="168"/>
      <c r="F50" s="168"/>
      <c r="G50" s="168"/>
      <c r="H50" s="168"/>
      <c r="I50" s="15">
        <f>SUM(I42:I49)</f>
        <v>0.36800000000000005</v>
      </c>
      <c r="J50" s="10">
        <f>SUM(J42:J49)</f>
        <v>718.97</v>
      </c>
    </row>
    <row r="51" spans="2:13" x14ac:dyDescent="0.35">
      <c r="B51" s="189"/>
      <c r="C51" s="189"/>
      <c r="D51" s="189"/>
      <c r="E51" s="189"/>
      <c r="F51" s="189"/>
      <c r="G51" s="189"/>
      <c r="H51" s="189"/>
      <c r="I51" s="189"/>
      <c r="J51" s="190"/>
    </row>
    <row r="52" spans="2:13" x14ac:dyDescent="0.35">
      <c r="B52" s="194" t="s">
        <v>59</v>
      </c>
      <c r="C52" s="194"/>
      <c r="D52" s="194"/>
      <c r="E52" s="194"/>
      <c r="F52" s="194"/>
      <c r="G52" s="194"/>
      <c r="H52" s="194"/>
      <c r="I52" s="44"/>
      <c r="J52" s="59" t="s">
        <v>38</v>
      </c>
      <c r="L52" s="63" t="s">
        <v>140</v>
      </c>
      <c r="M52" s="63" t="s">
        <v>141</v>
      </c>
    </row>
    <row r="53" spans="2:13" x14ac:dyDescent="0.35">
      <c r="B53" s="54" t="s">
        <v>1</v>
      </c>
      <c r="C53" s="177" t="s">
        <v>138</v>
      </c>
      <c r="D53" s="177"/>
      <c r="E53" s="177"/>
      <c r="F53" s="177"/>
      <c r="G53" s="177"/>
      <c r="H53" s="177"/>
      <c r="I53" s="60" t="s">
        <v>60</v>
      </c>
      <c r="J53" s="16">
        <f>TRUNC((4.83*2*22)-(6%*J27),2)</f>
        <v>131.4</v>
      </c>
      <c r="L53" s="70" t="s">
        <v>180</v>
      </c>
      <c r="M53" s="70" t="s">
        <v>179</v>
      </c>
    </row>
    <row r="54" spans="2:13" x14ac:dyDescent="0.35">
      <c r="B54" s="54" t="s">
        <v>2</v>
      </c>
      <c r="C54" s="177" t="s">
        <v>131</v>
      </c>
      <c r="D54" s="177"/>
      <c r="E54" s="177"/>
      <c r="F54" s="177"/>
      <c r="G54" s="177"/>
      <c r="H54" s="177"/>
      <c r="I54" s="60" t="s">
        <v>60</v>
      </c>
      <c r="J54" s="16">
        <f>TRUNC(((15.93-1.11)*22)+110.94,2)</f>
        <v>436.98</v>
      </c>
      <c r="L54" s="65" t="s">
        <v>181</v>
      </c>
      <c r="M54" s="65" t="s">
        <v>182</v>
      </c>
    </row>
    <row r="55" spans="2:13" x14ac:dyDescent="0.35">
      <c r="B55" s="54" t="s">
        <v>3</v>
      </c>
      <c r="C55" s="191" t="s">
        <v>61</v>
      </c>
      <c r="D55" s="192"/>
      <c r="E55" s="192"/>
      <c r="F55" s="192"/>
      <c r="G55" s="192"/>
      <c r="H55" s="193"/>
      <c r="I55" s="60" t="s">
        <v>60</v>
      </c>
      <c r="J55" s="16">
        <f>9.74+3.93</f>
        <v>13.67</v>
      </c>
      <c r="L55" s="71"/>
      <c r="M55" s="65" t="s">
        <v>184</v>
      </c>
    </row>
    <row r="56" spans="2:13" x14ac:dyDescent="0.35">
      <c r="B56" s="54" t="s">
        <v>4</v>
      </c>
      <c r="C56" s="177" t="s">
        <v>132</v>
      </c>
      <c r="D56" s="177"/>
      <c r="E56" s="177"/>
      <c r="F56" s="177"/>
      <c r="G56" s="177"/>
      <c r="H56" s="177"/>
      <c r="I56" s="60" t="s">
        <v>60</v>
      </c>
      <c r="J56" s="16">
        <v>28</v>
      </c>
      <c r="L56" s="64"/>
      <c r="M56" s="65" t="s">
        <v>183</v>
      </c>
    </row>
    <row r="57" spans="2:13" x14ac:dyDescent="0.35">
      <c r="B57" s="54" t="s">
        <v>13</v>
      </c>
      <c r="C57" s="191" t="s">
        <v>62</v>
      </c>
      <c r="D57" s="192"/>
      <c r="E57" s="192"/>
      <c r="F57" s="192"/>
      <c r="G57" s="192"/>
      <c r="H57" s="193"/>
      <c r="I57" s="60" t="s">
        <v>60</v>
      </c>
      <c r="J57" s="16">
        <v>0</v>
      </c>
    </row>
    <row r="58" spans="2:13" x14ac:dyDescent="0.35">
      <c r="B58" s="54" t="s">
        <v>14</v>
      </c>
      <c r="C58" s="177" t="s">
        <v>17</v>
      </c>
      <c r="D58" s="177"/>
      <c r="E58" s="177"/>
      <c r="F58" s="177"/>
      <c r="G58" s="177"/>
      <c r="H58" s="177"/>
      <c r="I58" s="60" t="s">
        <v>60</v>
      </c>
      <c r="J58" s="16">
        <v>0</v>
      </c>
    </row>
    <row r="59" spans="2:13" x14ac:dyDescent="0.35">
      <c r="B59" s="168" t="s">
        <v>63</v>
      </c>
      <c r="C59" s="168"/>
      <c r="D59" s="168"/>
      <c r="E59" s="168"/>
      <c r="F59" s="168"/>
      <c r="G59" s="168"/>
      <c r="H59" s="168"/>
      <c r="I59" s="168"/>
      <c r="J59" s="10">
        <f>SUM(J53:J58)</f>
        <v>610.04999999999995</v>
      </c>
    </row>
    <row r="60" spans="2:13" x14ac:dyDescent="0.35">
      <c r="B60" s="189"/>
      <c r="C60" s="189"/>
      <c r="D60" s="189"/>
      <c r="E60" s="189"/>
      <c r="F60" s="189"/>
      <c r="G60" s="189"/>
      <c r="H60" s="189"/>
      <c r="I60" s="189"/>
      <c r="J60" s="190"/>
    </row>
    <row r="61" spans="2:13" x14ac:dyDescent="0.35">
      <c r="B61" s="171" t="s">
        <v>64</v>
      </c>
      <c r="C61" s="171"/>
      <c r="D61" s="171"/>
      <c r="E61" s="171"/>
      <c r="F61" s="171"/>
      <c r="G61" s="171"/>
      <c r="H61" s="171"/>
      <c r="I61" s="171"/>
      <c r="J61" s="171"/>
    </row>
    <row r="62" spans="2:13" x14ac:dyDescent="0.35">
      <c r="B62" s="168" t="s">
        <v>65</v>
      </c>
      <c r="C62" s="168"/>
      <c r="D62" s="168"/>
      <c r="E62" s="168"/>
      <c r="F62" s="168"/>
      <c r="G62" s="168"/>
      <c r="H62" s="168"/>
      <c r="I62" s="168"/>
      <c r="J62" s="54" t="s">
        <v>38</v>
      </c>
    </row>
    <row r="63" spans="2:13" x14ac:dyDescent="0.35">
      <c r="B63" s="54" t="s">
        <v>66</v>
      </c>
      <c r="C63" s="167" t="s">
        <v>67</v>
      </c>
      <c r="D63" s="167"/>
      <c r="E63" s="167"/>
      <c r="F63" s="167"/>
      <c r="G63" s="167"/>
      <c r="H63" s="167"/>
      <c r="I63" s="167"/>
      <c r="J63" s="6">
        <f>J39</f>
        <v>331.49</v>
      </c>
    </row>
    <row r="64" spans="2:13" x14ac:dyDescent="0.35">
      <c r="B64" s="8" t="s">
        <v>68</v>
      </c>
      <c r="C64" s="167" t="s">
        <v>69</v>
      </c>
      <c r="D64" s="167"/>
      <c r="E64" s="167"/>
      <c r="F64" s="167"/>
      <c r="G64" s="167"/>
      <c r="H64" s="167"/>
      <c r="I64" s="167"/>
      <c r="J64" s="17">
        <f>J50</f>
        <v>718.97</v>
      </c>
    </row>
    <row r="65" spans="2:13" x14ac:dyDescent="0.35">
      <c r="B65" s="8" t="s">
        <v>70</v>
      </c>
      <c r="C65" s="167" t="s">
        <v>18</v>
      </c>
      <c r="D65" s="167"/>
      <c r="E65" s="167"/>
      <c r="F65" s="167"/>
      <c r="G65" s="167"/>
      <c r="H65" s="167"/>
      <c r="I65" s="167"/>
      <c r="J65" s="17">
        <f>J59</f>
        <v>610.04999999999995</v>
      </c>
    </row>
    <row r="66" spans="2:13" x14ac:dyDescent="0.35">
      <c r="B66" s="168" t="s">
        <v>71</v>
      </c>
      <c r="C66" s="168"/>
      <c r="D66" s="168"/>
      <c r="E66" s="168"/>
      <c r="F66" s="168"/>
      <c r="G66" s="168"/>
      <c r="H66" s="168"/>
      <c r="I66" s="168"/>
      <c r="J66" s="18">
        <f>SUM(J63:J65)</f>
        <v>1660.51</v>
      </c>
    </row>
    <row r="67" spans="2:13" x14ac:dyDescent="0.35">
      <c r="B67" s="178"/>
      <c r="C67" s="179"/>
      <c r="D67" s="179"/>
      <c r="E67" s="179"/>
      <c r="F67" s="179"/>
      <c r="G67" s="179"/>
      <c r="H67" s="179"/>
      <c r="I67" s="179"/>
      <c r="J67" s="179"/>
    </row>
    <row r="68" spans="2:13" x14ac:dyDescent="0.35">
      <c r="B68" s="180" t="s">
        <v>72</v>
      </c>
      <c r="C68" s="180"/>
      <c r="D68" s="180"/>
      <c r="E68" s="180"/>
      <c r="F68" s="180"/>
      <c r="G68" s="180"/>
      <c r="H68" s="180"/>
      <c r="I68" s="180"/>
      <c r="J68" s="180"/>
    </row>
    <row r="69" spans="2:13" x14ac:dyDescent="0.35">
      <c r="B69" s="54">
        <v>3</v>
      </c>
      <c r="C69" s="168" t="s">
        <v>73</v>
      </c>
      <c r="D69" s="168"/>
      <c r="E69" s="168"/>
      <c r="F69" s="168"/>
      <c r="G69" s="168"/>
      <c r="H69" s="168"/>
      <c r="I69" s="54" t="s">
        <v>20</v>
      </c>
      <c r="J69" s="54" t="s">
        <v>38</v>
      </c>
      <c r="L69" s="63" t="s">
        <v>140</v>
      </c>
      <c r="M69" s="63" t="s">
        <v>141</v>
      </c>
    </row>
    <row r="70" spans="2:13" ht="26" x14ac:dyDescent="0.35">
      <c r="B70" s="54" t="s">
        <v>1</v>
      </c>
      <c r="C70" s="183" t="s">
        <v>74</v>
      </c>
      <c r="D70" s="183"/>
      <c r="E70" s="183"/>
      <c r="F70" s="183"/>
      <c r="G70" s="183"/>
      <c r="H70" s="183"/>
      <c r="I70" s="19">
        <f>(1/12)*5%</f>
        <v>4.1666666666666666E-3</v>
      </c>
      <c r="J70" s="17">
        <f>TRUNC(I70*$J$33,2)</f>
        <v>6.75</v>
      </c>
      <c r="L70" s="72" t="s">
        <v>153</v>
      </c>
      <c r="M70" s="72" t="s">
        <v>154</v>
      </c>
    </row>
    <row r="71" spans="2:13" x14ac:dyDescent="0.35">
      <c r="B71" s="54" t="s">
        <v>2</v>
      </c>
      <c r="C71" s="167" t="s">
        <v>75</v>
      </c>
      <c r="D71" s="167"/>
      <c r="E71" s="167"/>
      <c r="F71" s="167"/>
      <c r="G71" s="167"/>
      <c r="H71" s="167"/>
      <c r="I71" s="19">
        <f>I49*I70</f>
        <v>3.3333333333333332E-4</v>
      </c>
      <c r="J71" s="17">
        <f>TRUNC(I71*$J$33,2)</f>
        <v>0.54</v>
      </c>
      <c r="L71" s="72" t="s">
        <v>155</v>
      </c>
      <c r="M71" s="72" t="s">
        <v>156</v>
      </c>
    </row>
    <row r="72" spans="2:13" x14ac:dyDescent="0.35">
      <c r="B72" s="54" t="s">
        <v>3</v>
      </c>
      <c r="C72" s="167" t="s">
        <v>76</v>
      </c>
      <c r="D72" s="167"/>
      <c r="E72" s="167"/>
      <c r="F72" s="167"/>
      <c r="G72" s="167"/>
      <c r="H72" s="167"/>
      <c r="I72" s="13">
        <f>((7/30)/12)</f>
        <v>1.9444444444444445E-2</v>
      </c>
      <c r="J72" s="17">
        <f t="shared" ref="J72:J73" si="0">TRUNC(I72*$J$33,2)</f>
        <v>31.54</v>
      </c>
      <c r="L72" s="72" t="s">
        <v>157</v>
      </c>
      <c r="M72" s="72" t="s">
        <v>158</v>
      </c>
    </row>
    <row r="73" spans="2:13" ht="26" x14ac:dyDescent="0.35">
      <c r="B73" s="54" t="s">
        <v>4</v>
      </c>
      <c r="C73" s="167" t="s">
        <v>77</v>
      </c>
      <c r="D73" s="167"/>
      <c r="E73" s="167"/>
      <c r="F73" s="167"/>
      <c r="G73" s="167"/>
      <c r="H73" s="167"/>
      <c r="I73" s="14">
        <f>I50*I72</f>
        <v>7.1555555555555565E-3</v>
      </c>
      <c r="J73" s="17">
        <f t="shared" si="0"/>
        <v>11.6</v>
      </c>
      <c r="L73" s="72" t="s">
        <v>159</v>
      </c>
    </row>
    <row r="74" spans="2:13" ht="26" x14ac:dyDescent="0.35">
      <c r="B74" s="54" t="s">
        <v>13</v>
      </c>
      <c r="C74" s="183" t="s">
        <v>130</v>
      </c>
      <c r="D74" s="183"/>
      <c r="E74" s="183"/>
      <c r="F74" s="183"/>
      <c r="G74" s="183"/>
      <c r="H74" s="183"/>
      <c r="I74" s="19">
        <v>0.04</v>
      </c>
      <c r="J74" s="17">
        <f>TRUNC(I74*$J$33,2)</f>
        <v>64.89</v>
      </c>
      <c r="L74" s="73" t="s">
        <v>160</v>
      </c>
      <c r="M74" s="74" t="s">
        <v>161</v>
      </c>
    </row>
    <row r="75" spans="2:13" x14ac:dyDescent="0.35">
      <c r="B75" s="168" t="s">
        <v>78</v>
      </c>
      <c r="C75" s="168"/>
      <c r="D75" s="168"/>
      <c r="E75" s="168"/>
      <c r="F75" s="168"/>
      <c r="G75" s="168"/>
      <c r="H75" s="168"/>
      <c r="I75" s="15">
        <f>SUM(I70:I74)</f>
        <v>7.1099999999999997E-2</v>
      </c>
      <c r="J75" s="10">
        <f>SUM(J70:J74)</f>
        <v>115.32</v>
      </c>
    </row>
    <row r="76" spans="2:13" x14ac:dyDescent="0.35">
      <c r="B76" s="187"/>
      <c r="C76" s="188"/>
      <c r="D76" s="188"/>
      <c r="E76" s="188"/>
      <c r="F76" s="188"/>
      <c r="G76" s="188"/>
      <c r="H76" s="188"/>
      <c r="I76" s="188"/>
      <c r="J76" s="188"/>
    </row>
    <row r="77" spans="2:13" x14ac:dyDescent="0.35">
      <c r="B77" s="180" t="s">
        <v>79</v>
      </c>
      <c r="C77" s="180"/>
      <c r="D77" s="180"/>
      <c r="E77" s="180"/>
      <c r="F77" s="180"/>
      <c r="G77" s="180"/>
      <c r="H77" s="180"/>
      <c r="I77" s="180"/>
      <c r="J77" s="180"/>
    </row>
    <row r="78" spans="2:13" x14ac:dyDescent="0.35">
      <c r="B78" s="168" t="s">
        <v>80</v>
      </c>
      <c r="C78" s="168"/>
      <c r="D78" s="168"/>
      <c r="E78" s="168"/>
      <c r="F78" s="168"/>
      <c r="G78" s="168"/>
      <c r="H78" s="168"/>
      <c r="I78" s="54" t="s">
        <v>20</v>
      </c>
      <c r="J78" s="54" t="s">
        <v>38</v>
      </c>
      <c r="L78" s="63" t="s">
        <v>140</v>
      </c>
      <c r="M78" s="63" t="s">
        <v>141</v>
      </c>
    </row>
    <row r="79" spans="2:13" ht="26" x14ac:dyDescent="0.35">
      <c r="B79" s="54" t="s">
        <v>1</v>
      </c>
      <c r="C79" s="183" t="s">
        <v>81</v>
      </c>
      <c r="D79" s="183"/>
      <c r="E79" s="183"/>
      <c r="F79" s="183"/>
      <c r="G79" s="183"/>
      <c r="H79" s="183"/>
      <c r="I79" s="13">
        <f>(1/12/12)+(1/12/12)+(1/12/12/3)</f>
        <v>1.6203703703703703E-2</v>
      </c>
      <c r="J79" s="6">
        <f>TRUNC(($J$33)*I79,2)</f>
        <v>26.28</v>
      </c>
      <c r="L79" s="72" t="s">
        <v>162</v>
      </c>
      <c r="M79" s="72" t="s">
        <v>163</v>
      </c>
    </row>
    <row r="80" spans="2:13" x14ac:dyDescent="0.35">
      <c r="B80" s="8" t="s">
        <v>2</v>
      </c>
      <c r="C80" s="183" t="s">
        <v>82</v>
      </c>
      <c r="D80" s="183"/>
      <c r="E80" s="183"/>
      <c r="F80" s="183"/>
      <c r="G80" s="183"/>
      <c r="H80" s="183"/>
      <c r="I80" s="13">
        <f>((1/30))/12</f>
        <v>2.7777777777777779E-3</v>
      </c>
      <c r="J80" s="6">
        <f t="shared" ref="J80:J84" si="1">TRUNC(($J$33)*I80,2)</f>
        <v>4.5</v>
      </c>
      <c r="L80" s="72" t="s">
        <v>164</v>
      </c>
      <c r="M80" s="72" t="s">
        <v>165</v>
      </c>
    </row>
    <row r="81" spans="2:13" ht="26" x14ac:dyDescent="0.35">
      <c r="B81" s="8" t="s">
        <v>3</v>
      </c>
      <c r="C81" s="183" t="s">
        <v>83</v>
      </c>
      <c r="D81" s="183"/>
      <c r="E81" s="183"/>
      <c r="F81" s="183"/>
      <c r="G81" s="183"/>
      <c r="H81" s="183"/>
      <c r="I81" s="13">
        <f>((5/30)/12)*1.5%</f>
        <v>2.0833333333333332E-4</v>
      </c>
      <c r="J81" s="6">
        <f t="shared" si="1"/>
        <v>0.33</v>
      </c>
      <c r="L81" s="72" t="s">
        <v>166</v>
      </c>
      <c r="M81" s="66" t="s">
        <v>167</v>
      </c>
    </row>
    <row r="82" spans="2:13" ht="26" x14ac:dyDescent="0.35">
      <c r="B82" s="8" t="s">
        <v>4</v>
      </c>
      <c r="C82" s="183" t="s">
        <v>84</v>
      </c>
      <c r="D82" s="183"/>
      <c r="E82" s="183"/>
      <c r="F82" s="183"/>
      <c r="G82" s="183"/>
      <c r="H82" s="183"/>
      <c r="I82" s="13">
        <f>((15/30)/12)*8%</f>
        <v>3.3333333333333331E-3</v>
      </c>
      <c r="J82" s="6">
        <f t="shared" si="1"/>
        <v>5.4</v>
      </c>
      <c r="L82" s="72" t="s">
        <v>168</v>
      </c>
      <c r="M82" s="66" t="s">
        <v>169</v>
      </c>
    </row>
    <row r="83" spans="2:13" ht="26" x14ac:dyDescent="0.35">
      <c r="B83" s="8" t="s">
        <v>13</v>
      </c>
      <c r="C83" s="183" t="s">
        <v>85</v>
      </c>
      <c r="D83" s="183"/>
      <c r="E83" s="183"/>
      <c r="F83" s="183"/>
      <c r="G83" s="183"/>
      <c r="H83" s="183"/>
      <c r="I83" s="13">
        <f>(((4*8.33%)+(4*2.78%))/12)*2%</f>
        <v>7.4066666666666671E-4</v>
      </c>
      <c r="J83" s="6">
        <f t="shared" si="1"/>
        <v>1.2</v>
      </c>
      <c r="L83" s="72" t="s">
        <v>170</v>
      </c>
      <c r="M83" s="66" t="s">
        <v>171</v>
      </c>
    </row>
    <row r="84" spans="2:13" x14ac:dyDescent="0.35">
      <c r="B84" s="54" t="s">
        <v>14</v>
      </c>
      <c r="C84" s="183" t="s">
        <v>86</v>
      </c>
      <c r="D84" s="183"/>
      <c r="E84" s="183"/>
      <c r="F84" s="183"/>
      <c r="G84" s="183"/>
      <c r="H84" s="183"/>
      <c r="I84" s="13">
        <v>0</v>
      </c>
      <c r="J84" s="6">
        <f t="shared" si="1"/>
        <v>0</v>
      </c>
    </row>
    <row r="85" spans="2:13" x14ac:dyDescent="0.35">
      <c r="B85" s="168" t="s">
        <v>87</v>
      </c>
      <c r="C85" s="168"/>
      <c r="D85" s="168"/>
      <c r="E85" s="168"/>
      <c r="F85" s="168"/>
      <c r="G85" s="168"/>
      <c r="H85" s="168"/>
      <c r="I85" s="15">
        <f>SUM(I79:I84)</f>
        <v>2.3263814814814817E-2</v>
      </c>
      <c r="J85" s="10">
        <f>SUM(J79:J84)</f>
        <v>37.71</v>
      </c>
    </row>
    <row r="86" spans="2:13" x14ac:dyDescent="0.35">
      <c r="B86" s="184"/>
      <c r="C86" s="185"/>
      <c r="D86" s="185"/>
      <c r="E86" s="185"/>
      <c r="F86" s="185"/>
      <c r="G86" s="185"/>
      <c r="H86" s="185"/>
      <c r="I86" s="185"/>
      <c r="J86" s="185"/>
    </row>
    <row r="87" spans="2:13" x14ac:dyDescent="0.35">
      <c r="B87" s="168" t="s">
        <v>88</v>
      </c>
      <c r="C87" s="168"/>
      <c r="D87" s="168"/>
      <c r="E87" s="168"/>
      <c r="F87" s="168"/>
      <c r="G87" s="168"/>
      <c r="H87" s="168"/>
      <c r="I87" s="54" t="s">
        <v>20</v>
      </c>
      <c r="J87" s="54" t="s">
        <v>38</v>
      </c>
    </row>
    <row r="88" spans="2:13" x14ac:dyDescent="0.35">
      <c r="B88" s="54" t="s">
        <v>1</v>
      </c>
      <c r="C88" s="186" t="s">
        <v>89</v>
      </c>
      <c r="D88" s="167"/>
      <c r="E88" s="167"/>
      <c r="F88" s="167"/>
      <c r="G88" s="167"/>
      <c r="H88" s="167"/>
      <c r="I88" s="13">
        <v>0</v>
      </c>
      <c r="J88" s="6">
        <v>0</v>
      </c>
    </row>
    <row r="89" spans="2:13" x14ac:dyDescent="0.35">
      <c r="B89" s="168" t="s">
        <v>90</v>
      </c>
      <c r="C89" s="168"/>
      <c r="D89" s="168"/>
      <c r="E89" s="168"/>
      <c r="F89" s="168"/>
      <c r="G89" s="168"/>
      <c r="H89" s="168"/>
      <c r="I89" s="15">
        <v>0</v>
      </c>
      <c r="J89" s="10">
        <v>0</v>
      </c>
    </row>
    <row r="90" spans="2:13" x14ac:dyDescent="0.35">
      <c r="B90" s="181"/>
      <c r="C90" s="182"/>
      <c r="D90" s="182"/>
      <c r="E90" s="182"/>
      <c r="F90" s="182"/>
      <c r="G90" s="182"/>
      <c r="H90" s="182"/>
      <c r="I90" s="182"/>
      <c r="J90" s="182"/>
    </row>
    <row r="91" spans="2:13" x14ac:dyDescent="0.35">
      <c r="B91" s="171" t="s">
        <v>91</v>
      </c>
      <c r="C91" s="171"/>
      <c r="D91" s="171"/>
      <c r="E91" s="171"/>
      <c r="F91" s="171"/>
      <c r="G91" s="171"/>
      <c r="H91" s="171"/>
      <c r="I91" s="171"/>
      <c r="J91" s="171"/>
    </row>
    <row r="92" spans="2:13" x14ac:dyDescent="0.35">
      <c r="B92" s="168" t="s">
        <v>92</v>
      </c>
      <c r="C92" s="168"/>
      <c r="D92" s="168"/>
      <c r="E92" s="168"/>
      <c r="F92" s="168"/>
      <c r="G92" s="168"/>
      <c r="H92" s="168"/>
      <c r="I92" s="168"/>
      <c r="J92" s="54" t="s">
        <v>38</v>
      </c>
    </row>
    <row r="93" spans="2:13" x14ac:dyDescent="0.35">
      <c r="B93" s="54" t="s">
        <v>19</v>
      </c>
      <c r="C93" s="167" t="s">
        <v>93</v>
      </c>
      <c r="D93" s="167"/>
      <c r="E93" s="167"/>
      <c r="F93" s="167"/>
      <c r="G93" s="167"/>
      <c r="H93" s="167"/>
      <c r="I93" s="167"/>
      <c r="J93" s="6">
        <f>J85</f>
        <v>37.71</v>
      </c>
    </row>
    <row r="94" spans="2:13" x14ac:dyDescent="0.35">
      <c r="B94" s="8" t="s">
        <v>21</v>
      </c>
      <c r="C94" s="167" t="s">
        <v>94</v>
      </c>
      <c r="D94" s="167"/>
      <c r="E94" s="167"/>
      <c r="F94" s="167"/>
      <c r="G94" s="167"/>
      <c r="H94" s="167"/>
      <c r="I94" s="167"/>
      <c r="J94" s="17">
        <f>J89</f>
        <v>0</v>
      </c>
    </row>
    <row r="95" spans="2:13" x14ac:dyDescent="0.35">
      <c r="B95" s="168" t="s">
        <v>95</v>
      </c>
      <c r="C95" s="168"/>
      <c r="D95" s="168"/>
      <c r="E95" s="168"/>
      <c r="F95" s="168"/>
      <c r="G95" s="168"/>
      <c r="H95" s="168"/>
      <c r="I95" s="168"/>
      <c r="J95" s="18">
        <f>SUM(J93:J94)</f>
        <v>37.71</v>
      </c>
    </row>
    <row r="96" spans="2:13" x14ac:dyDescent="0.35">
      <c r="B96" s="178"/>
      <c r="C96" s="179"/>
      <c r="D96" s="179"/>
      <c r="E96" s="179"/>
      <c r="F96" s="179"/>
      <c r="G96" s="179"/>
      <c r="H96" s="179"/>
      <c r="I96" s="179"/>
      <c r="J96" s="179"/>
    </row>
    <row r="97" spans="2:13" x14ac:dyDescent="0.35">
      <c r="B97" s="180" t="s">
        <v>96</v>
      </c>
      <c r="C97" s="180"/>
      <c r="D97" s="180"/>
      <c r="E97" s="180"/>
      <c r="F97" s="180"/>
      <c r="G97" s="180"/>
      <c r="H97" s="180"/>
      <c r="I97" s="180"/>
      <c r="J97" s="180"/>
    </row>
    <row r="98" spans="2:13" x14ac:dyDescent="0.35">
      <c r="B98" s="54">
        <v>5</v>
      </c>
      <c r="C98" s="168" t="s">
        <v>97</v>
      </c>
      <c r="D98" s="168"/>
      <c r="E98" s="168"/>
      <c r="F98" s="168"/>
      <c r="G98" s="168"/>
      <c r="H98" s="168"/>
      <c r="I98" s="54"/>
      <c r="J98" s="54" t="s">
        <v>38</v>
      </c>
      <c r="L98" s="63" t="s">
        <v>140</v>
      </c>
      <c r="M98" s="63" t="s">
        <v>141</v>
      </c>
    </row>
    <row r="99" spans="2:13" x14ac:dyDescent="0.35">
      <c r="B99" s="54" t="s">
        <v>1</v>
      </c>
      <c r="C99" s="177" t="s">
        <v>124</v>
      </c>
      <c r="D99" s="177"/>
      <c r="E99" s="177"/>
      <c r="F99" s="177"/>
      <c r="G99" s="177"/>
      <c r="H99" s="177"/>
      <c r="I99" s="13">
        <v>1.4500000000000001E-2</v>
      </c>
      <c r="J99" s="6">
        <f>($J$33+$J$66+$J$75+$J$95)*I99</f>
        <v>49.820608</v>
      </c>
      <c r="L99" s="71" t="s">
        <v>185</v>
      </c>
      <c r="M99" s="64"/>
    </row>
    <row r="100" spans="2:13" x14ac:dyDescent="0.35">
      <c r="B100" s="54" t="s">
        <v>2</v>
      </c>
      <c r="C100" s="177" t="s">
        <v>125</v>
      </c>
      <c r="D100" s="177"/>
      <c r="E100" s="177"/>
      <c r="F100" s="177"/>
      <c r="G100" s="177"/>
      <c r="H100" s="177"/>
      <c r="I100" s="13">
        <v>0.12</v>
      </c>
      <c r="J100" s="6">
        <f>(($J$33+$J$66+$J$75+$J$95+J99)*I100)*(1-9.25%)</f>
        <v>379.5954098112</v>
      </c>
      <c r="L100" s="71" t="s">
        <v>185</v>
      </c>
      <c r="M100" s="64"/>
    </row>
    <row r="101" spans="2:13" x14ac:dyDescent="0.35">
      <c r="B101" s="58" t="s">
        <v>3</v>
      </c>
      <c r="C101" s="177" t="s">
        <v>98</v>
      </c>
      <c r="D101" s="177"/>
      <c r="E101" s="177"/>
      <c r="F101" s="177"/>
      <c r="G101" s="177"/>
      <c r="H101" s="177"/>
      <c r="I101" s="60" t="s">
        <v>60</v>
      </c>
      <c r="J101" s="6">
        <v>0</v>
      </c>
    </row>
    <row r="102" spans="2:13" x14ac:dyDescent="0.35">
      <c r="B102" s="58" t="s">
        <v>4</v>
      </c>
      <c r="C102" s="177" t="s">
        <v>17</v>
      </c>
      <c r="D102" s="177"/>
      <c r="E102" s="177"/>
      <c r="F102" s="177"/>
      <c r="G102" s="177"/>
      <c r="H102" s="177"/>
      <c r="I102" s="60" t="s">
        <v>60</v>
      </c>
      <c r="J102" s="6">
        <v>0</v>
      </c>
    </row>
    <row r="103" spans="2:13" x14ac:dyDescent="0.35">
      <c r="B103" s="168" t="s">
        <v>99</v>
      </c>
      <c r="C103" s="168"/>
      <c r="D103" s="168"/>
      <c r="E103" s="168"/>
      <c r="F103" s="168"/>
      <c r="G103" s="168"/>
      <c r="H103" s="168"/>
      <c r="I103" s="15" t="s">
        <v>60</v>
      </c>
      <c r="J103" s="10">
        <f>SUM(J99:J102)</f>
        <v>429.41601781119999</v>
      </c>
    </row>
    <row r="104" spans="2:13" x14ac:dyDescent="0.35">
      <c r="B104" s="178"/>
      <c r="C104" s="179"/>
      <c r="D104" s="179"/>
      <c r="E104" s="179"/>
      <c r="F104" s="179"/>
      <c r="G104" s="179"/>
      <c r="H104" s="179"/>
      <c r="I104" s="179"/>
      <c r="J104" s="179"/>
    </row>
    <row r="105" spans="2:13" x14ac:dyDescent="0.35">
      <c r="B105" s="180" t="s">
        <v>100</v>
      </c>
      <c r="C105" s="180"/>
      <c r="D105" s="180"/>
      <c r="E105" s="180"/>
      <c r="F105" s="180"/>
      <c r="G105" s="180"/>
      <c r="H105" s="180"/>
      <c r="I105" s="180"/>
      <c r="J105" s="180"/>
    </row>
    <row r="106" spans="2:13" x14ac:dyDescent="0.35">
      <c r="B106" s="54">
        <v>6</v>
      </c>
      <c r="C106" s="168" t="s">
        <v>101</v>
      </c>
      <c r="D106" s="168"/>
      <c r="E106" s="168"/>
      <c r="F106" s="168"/>
      <c r="G106" s="168"/>
      <c r="H106" s="168"/>
      <c r="I106" s="54" t="s">
        <v>20</v>
      </c>
      <c r="J106" s="54" t="s">
        <v>38</v>
      </c>
      <c r="L106" s="63" t="s">
        <v>140</v>
      </c>
      <c r="M106" s="63" t="s">
        <v>141</v>
      </c>
    </row>
    <row r="107" spans="2:13" x14ac:dyDescent="0.35">
      <c r="B107" s="54" t="s">
        <v>1</v>
      </c>
      <c r="C107" s="167" t="s">
        <v>102</v>
      </c>
      <c r="D107" s="167"/>
      <c r="E107" s="167"/>
      <c r="F107" s="167"/>
      <c r="G107" s="167"/>
      <c r="H107" s="167"/>
      <c r="I107" s="21">
        <v>0.03</v>
      </c>
      <c r="J107" s="6">
        <f>TRUNC(((J131)*I107),2)</f>
        <v>115.95</v>
      </c>
      <c r="L107" s="71"/>
      <c r="M107" s="71" t="s">
        <v>172</v>
      </c>
    </row>
    <row r="108" spans="2:13" x14ac:dyDescent="0.35">
      <c r="B108" s="8" t="s">
        <v>2</v>
      </c>
      <c r="C108" s="167" t="s">
        <v>103</v>
      </c>
      <c r="D108" s="167"/>
      <c r="E108" s="167"/>
      <c r="F108" s="167"/>
      <c r="G108" s="167"/>
      <c r="H108" s="167"/>
      <c r="I108" s="21">
        <v>0.06</v>
      </c>
      <c r="J108" s="6">
        <f>TRUNC(((J131+J107)*I108),2)</f>
        <v>238.87</v>
      </c>
      <c r="L108" s="71"/>
      <c r="M108" s="71" t="s">
        <v>173</v>
      </c>
    </row>
    <row r="109" spans="2:13" x14ac:dyDescent="0.35">
      <c r="B109" s="54" t="s">
        <v>3</v>
      </c>
      <c r="C109" s="176" t="s">
        <v>104</v>
      </c>
      <c r="D109" s="176"/>
      <c r="E109" s="176"/>
      <c r="F109" s="176"/>
      <c r="G109" s="176"/>
      <c r="H109" s="176"/>
      <c r="I109" s="7"/>
      <c r="J109" s="22"/>
      <c r="L109" s="75"/>
      <c r="M109" s="75"/>
    </row>
    <row r="110" spans="2:13" x14ac:dyDescent="0.35">
      <c r="B110" s="8" t="s">
        <v>105</v>
      </c>
      <c r="C110" s="167" t="s">
        <v>106</v>
      </c>
      <c r="D110" s="167"/>
      <c r="E110" s="167"/>
      <c r="F110" s="167"/>
      <c r="G110" s="167"/>
      <c r="H110" s="167"/>
      <c r="I110" s="23">
        <v>1.6500000000000001E-2</v>
      </c>
      <c r="J110" s="17">
        <f>TRUNC(I110*((J131+J107+J108)/(1-I115)),2)</f>
        <v>78.45</v>
      </c>
      <c r="L110" s="71"/>
      <c r="M110" s="71" t="s">
        <v>174</v>
      </c>
    </row>
    <row r="111" spans="2:13" x14ac:dyDescent="0.35">
      <c r="B111" s="8" t="s">
        <v>107</v>
      </c>
      <c r="C111" s="167" t="s">
        <v>108</v>
      </c>
      <c r="D111" s="167"/>
      <c r="E111" s="167"/>
      <c r="F111" s="167"/>
      <c r="G111" s="167"/>
      <c r="H111" s="167"/>
      <c r="I111" s="23">
        <v>7.5999999999999998E-2</v>
      </c>
      <c r="J111" s="17">
        <f>TRUNC(I111*(J131+J107+J108)/(1-I115),2)</f>
        <v>361.38</v>
      </c>
      <c r="L111" s="71"/>
      <c r="M111" s="71" t="s">
        <v>175</v>
      </c>
    </row>
    <row r="112" spans="2:13" x14ac:dyDescent="0.35">
      <c r="B112" s="8" t="s">
        <v>109</v>
      </c>
      <c r="C112" s="167" t="s">
        <v>110</v>
      </c>
      <c r="D112" s="167"/>
      <c r="E112" s="167"/>
      <c r="F112" s="167"/>
      <c r="G112" s="167"/>
      <c r="H112" s="167"/>
      <c r="I112" s="23">
        <v>0.02</v>
      </c>
      <c r="J112" s="17">
        <f>TRUNC(I112*(J131+J107+J108)/(1-I115),2)</f>
        <v>95.1</v>
      </c>
      <c r="L112" s="76"/>
      <c r="M112" s="76" t="s">
        <v>176</v>
      </c>
    </row>
    <row r="113" spans="2:13" x14ac:dyDescent="0.35">
      <c r="B113" s="168" t="s">
        <v>111</v>
      </c>
      <c r="C113" s="168"/>
      <c r="D113" s="168"/>
      <c r="E113" s="168"/>
      <c r="F113" s="168"/>
      <c r="G113" s="168"/>
      <c r="H113" s="168"/>
      <c r="I113" s="23">
        <f>SUM(I107:I112)</f>
        <v>0.20249999999999999</v>
      </c>
      <c r="J113" s="18">
        <f>SUM(J107:J112)</f>
        <v>889.75</v>
      </c>
    </row>
    <row r="114" spans="2:13" x14ac:dyDescent="0.35">
      <c r="B114" s="61"/>
      <c r="C114" s="172"/>
      <c r="D114" s="172"/>
      <c r="E114" s="172"/>
      <c r="F114" s="172"/>
      <c r="G114" s="172"/>
      <c r="H114" s="172"/>
      <c r="I114" s="172"/>
      <c r="J114" s="172"/>
      <c r="L114" s="75"/>
      <c r="M114" s="75"/>
    </row>
    <row r="115" spans="2:13" x14ac:dyDescent="0.35">
      <c r="B115" s="24" t="s">
        <v>112</v>
      </c>
      <c r="C115" s="173" t="s">
        <v>113</v>
      </c>
      <c r="D115" s="173"/>
      <c r="E115" s="173"/>
      <c r="F115" s="173"/>
      <c r="G115" s="173"/>
      <c r="H115" s="173"/>
      <c r="I115" s="25">
        <f>I110+I111+I112</f>
        <v>0.1125</v>
      </c>
      <c r="J115" s="26"/>
    </row>
    <row r="116" spans="2:13" x14ac:dyDescent="0.35">
      <c r="B116" s="27"/>
      <c r="C116" s="174">
        <v>100</v>
      </c>
      <c r="D116" s="175"/>
      <c r="E116" s="175"/>
      <c r="F116" s="175"/>
      <c r="G116" s="175"/>
      <c r="H116" s="175"/>
      <c r="I116" s="28"/>
      <c r="J116" s="29"/>
    </row>
    <row r="117" spans="2:13" x14ac:dyDescent="0.35">
      <c r="B117" s="30"/>
      <c r="C117" s="56"/>
      <c r="D117" s="56"/>
      <c r="E117" s="56"/>
      <c r="F117" s="56"/>
      <c r="G117" s="56"/>
      <c r="H117" s="56"/>
      <c r="I117" s="28"/>
      <c r="J117" s="29"/>
    </row>
    <row r="118" spans="2:13" x14ac:dyDescent="0.35">
      <c r="B118" s="27" t="s">
        <v>114</v>
      </c>
      <c r="C118" s="175" t="s">
        <v>115</v>
      </c>
      <c r="D118" s="175"/>
      <c r="E118" s="175"/>
      <c r="F118" s="175"/>
      <c r="G118" s="175"/>
      <c r="H118" s="175"/>
      <c r="I118" s="28"/>
      <c r="J118" s="29">
        <f>J33+J66+J75+J95+J103+J107+J108</f>
        <v>4220.1400178111999</v>
      </c>
    </row>
    <row r="119" spans="2:13" x14ac:dyDescent="0.35">
      <c r="B119" s="27"/>
      <c r="C119" s="56"/>
      <c r="D119" s="56"/>
      <c r="E119" s="56"/>
      <c r="F119" s="56"/>
      <c r="G119" s="56"/>
      <c r="H119" s="56"/>
      <c r="I119" s="28"/>
      <c r="J119" s="29"/>
    </row>
    <row r="120" spans="2:13" x14ac:dyDescent="0.35">
      <c r="B120" s="27" t="s">
        <v>116</v>
      </c>
      <c r="C120" s="175" t="s">
        <v>117</v>
      </c>
      <c r="D120" s="175"/>
      <c r="E120" s="175"/>
      <c r="F120" s="175"/>
      <c r="G120" s="175"/>
      <c r="H120" s="175"/>
      <c r="I120" s="28"/>
      <c r="J120" s="29">
        <f>TRUNC(J118/(1-I115),2)</f>
        <v>4755.08</v>
      </c>
    </row>
    <row r="121" spans="2:13" x14ac:dyDescent="0.35">
      <c r="B121" s="27"/>
      <c r="C121" s="56"/>
      <c r="D121" s="56"/>
      <c r="E121" s="56"/>
      <c r="F121" s="56"/>
      <c r="G121" s="56"/>
      <c r="H121" s="56"/>
      <c r="I121" s="28"/>
      <c r="J121" s="29"/>
    </row>
    <row r="122" spans="2:13" x14ac:dyDescent="0.35">
      <c r="B122" s="32"/>
      <c r="C122" s="170" t="s">
        <v>118</v>
      </c>
      <c r="D122" s="170"/>
      <c r="E122" s="170"/>
      <c r="F122" s="170"/>
      <c r="G122" s="170"/>
      <c r="H122" s="170"/>
      <c r="I122" s="33"/>
      <c r="J122" s="34">
        <f>J120-J118</f>
        <v>534.93998218880006</v>
      </c>
    </row>
    <row r="123" spans="2:13" x14ac:dyDescent="0.35">
      <c r="B123" s="61"/>
      <c r="C123" s="61"/>
      <c r="D123" s="61"/>
      <c r="E123" s="61"/>
      <c r="F123" s="61"/>
      <c r="G123" s="61"/>
      <c r="H123" s="61"/>
      <c r="I123" s="61"/>
      <c r="J123" s="35"/>
    </row>
    <row r="124" spans="2:13" x14ac:dyDescent="0.35">
      <c r="B124" s="171" t="s">
        <v>119</v>
      </c>
      <c r="C124" s="171"/>
      <c r="D124" s="171"/>
      <c r="E124" s="171"/>
      <c r="F124" s="171"/>
      <c r="G124" s="171"/>
      <c r="H124" s="171"/>
      <c r="I124" s="171"/>
      <c r="J124" s="171"/>
    </row>
    <row r="125" spans="2:13" x14ac:dyDescent="0.35">
      <c r="B125" s="168" t="s">
        <v>120</v>
      </c>
      <c r="C125" s="168"/>
      <c r="D125" s="168"/>
      <c r="E125" s="168"/>
      <c r="F125" s="168"/>
      <c r="G125" s="168"/>
      <c r="H125" s="168"/>
      <c r="I125" s="168"/>
      <c r="J125" s="54" t="s">
        <v>38</v>
      </c>
    </row>
    <row r="126" spans="2:13" x14ac:dyDescent="0.35">
      <c r="B126" s="60" t="s">
        <v>1</v>
      </c>
      <c r="C126" s="167" t="s">
        <v>36</v>
      </c>
      <c r="D126" s="167"/>
      <c r="E126" s="167"/>
      <c r="F126" s="167"/>
      <c r="G126" s="167"/>
      <c r="H126" s="167"/>
      <c r="I126" s="167"/>
      <c r="J126" s="6">
        <f>J33</f>
        <v>1622.364</v>
      </c>
    </row>
    <row r="127" spans="2:13" x14ac:dyDescent="0.35">
      <c r="B127" s="36" t="s">
        <v>2</v>
      </c>
      <c r="C127" s="167" t="s">
        <v>44</v>
      </c>
      <c r="D127" s="167"/>
      <c r="E127" s="167"/>
      <c r="F127" s="167"/>
      <c r="G127" s="167"/>
      <c r="H127" s="167"/>
      <c r="I127" s="167"/>
      <c r="J127" s="17">
        <f>J66</f>
        <v>1660.51</v>
      </c>
    </row>
    <row r="128" spans="2:13" x14ac:dyDescent="0.35">
      <c r="B128" s="36" t="s">
        <v>3</v>
      </c>
      <c r="C128" s="167" t="s">
        <v>72</v>
      </c>
      <c r="D128" s="167"/>
      <c r="E128" s="167"/>
      <c r="F128" s="167"/>
      <c r="G128" s="167"/>
      <c r="H128" s="167"/>
      <c r="I128" s="167"/>
      <c r="J128" s="17">
        <f>J75</f>
        <v>115.32</v>
      </c>
    </row>
    <row r="129" spans="2:10" x14ac:dyDescent="0.35">
      <c r="B129" s="60" t="s">
        <v>4</v>
      </c>
      <c r="C129" s="167" t="s">
        <v>79</v>
      </c>
      <c r="D129" s="167"/>
      <c r="E129" s="167"/>
      <c r="F129" s="167"/>
      <c r="G129" s="167"/>
      <c r="H129" s="167"/>
      <c r="I129" s="167"/>
      <c r="J129" s="17">
        <f>J95</f>
        <v>37.71</v>
      </c>
    </row>
    <row r="130" spans="2:10" x14ac:dyDescent="0.35">
      <c r="B130" s="36" t="s">
        <v>13</v>
      </c>
      <c r="C130" s="167" t="s">
        <v>96</v>
      </c>
      <c r="D130" s="167"/>
      <c r="E130" s="167"/>
      <c r="F130" s="167"/>
      <c r="G130" s="167"/>
      <c r="H130" s="167"/>
      <c r="I130" s="167"/>
      <c r="J130" s="17">
        <f>J103</f>
        <v>429.41601781119999</v>
      </c>
    </row>
    <row r="131" spans="2:10" x14ac:dyDescent="0.35">
      <c r="B131" s="8"/>
      <c r="C131" s="168" t="s">
        <v>121</v>
      </c>
      <c r="D131" s="168"/>
      <c r="E131" s="168"/>
      <c r="F131" s="168"/>
      <c r="G131" s="168"/>
      <c r="H131" s="168"/>
      <c r="I131" s="168"/>
      <c r="J131" s="18">
        <f>SUM(J126:J130)</f>
        <v>3865.3200178112002</v>
      </c>
    </row>
    <row r="132" spans="2:10" x14ac:dyDescent="0.35">
      <c r="B132" s="60" t="s">
        <v>14</v>
      </c>
      <c r="C132" s="167" t="s">
        <v>100</v>
      </c>
      <c r="D132" s="167"/>
      <c r="E132" s="167"/>
      <c r="F132" s="167"/>
      <c r="G132" s="167"/>
      <c r="H132" s="167"/>
      <c r="I132" s="167"/>
      <c r="J132" s="6">
        <f>J113</f>
        <v>889.75</v>
      </c>
    </row>
    <row r="133" spans="2:10" ht="18" x14ac:dyDescent="0.35">
      <c r="B133" s="169" t="s">
        <v>122</v>
      </c>
      <c r="C133" s="169"/>
      <c r="D133" s="169"/>
      <c r="E133" s="169"/>
      <c r="F133" s="169"/>
      <c r="G133" s="169"/>
      <c r="H133" s="169"/>
      <c r="I133" s="169"/>
      <c r="J133" s="37">
        <f>TRUNC(J131+J132,2)</f>
        <v>4755.07</v>
      </c>
    </row>
    <row r="134" spans="2:10" x14ac:dyDescent="0.35">
      <c r="B134" s="38"/>
      <c r="C134" s="38"/>
      <c r="D134" s="38"/>
      <c r="E134" s="38"/>
      <c r="F134" s="38"/>
      <c r="G134" s="38"/>
      <c r="H134" s="38"/>
      <c r="I134" s="38"/>
      <c r="J134" s="39"/>
    </row>
    <row r="135" spans="2:10" x14ac:dyDescent="0.35">
      <c r="B135" s="38"/>
      <c r="C135" s="38"/>
      <c r="D135" s="38"/>
      <c r="E135" s="38"/>
      <c r="F135" s="38"/>
      <c r="G135" s="38"/>
      <c r="H135" s="38"/>
      <c r="I135" s="38"/>
      <c r="J135" s="38"/>
    </row>
    <row r="136" spans="2:10" x14ac:dyDescent="0.35">
      <c r="B136" s="47" t="s">
        <v>129</v>
      </c>
      <c r="C136" s="48">
        <f>J133/J33</f>
        <v>2.9309513771262181</v>
      </c>
      <c r="D136" s="38"/>
      <c r="E136" s="38"/>
      <c r="F136" s="38"/>
      <c r="G136" s="38"/>
      <c r="H136" s="38"/>
      <c r="I136" s="38"/>
      <c r="J136" s="38"/>
    </row>
    <row r="137" spans="2:10" x14ac:dyDescent="0.35">
      <c r="B137" s="40"/>
      <c r="C137" s="40"/>
      <c r="D137" s="41"/>
    </row>
    <row r="138" spans="2:10" x14ac:dyDescent="0.35">
      <c r="B138" s="42"/>
      <c r="C138" s="38"/>
      <c r="D138" s="38"/>
    </row>
    <row r="139" spans="2:10" x14ac:dyDescent="0.35">
      <c r="B139" s="42"/>
      <c r="C139" s="38"/>
      <c r="D139" s="38"/>
    </row>
  </sheetData>
  <mergeCells count="139">
    <mergeCell ref="B1:J1"/>
    <mergeCell ref="B2:J2"/>
    <mergeCell ref="B3:J3"/>
    <mergeCell ref="B4:J4"/>
    <mergeCell ref="B5:J5"/>
    <mergeCell ref="B6:J6"/>
    <mergeCell ref="C11:H11"/>
    <mergeCell ref="I11:J11"/>
    <mergeCell ref="C12:H12"/>
    <mergeCell ref="I12:J12"/>
    <mergeCell ref="B14:J14"/>
    <mergeCell ref="B15:C15"/>
    <mergeCell ref="D15:E15"/>
    <mergeCell ref="F15:J15"/>
    <mergeCell ref="B7:J7"/>
    <mergeCell ref="B8:J8"/>
    <mergeCell ref="C9:H9"/>
    <mergeCell ref="I9:J9"/>
    <mergeCell ref="C10:H10"/>
    <mergeCell ref="I10:J10"/>
    <mergeCell ref="C20:H20"/>
    <mergeCell ref="I20:J20"/>
    <mergeCell ref="C21:H21"/>
    <mergeCell ref="I21:J21"/>
    <mergeCell ref="C22:H22"/>
    <mergeCell ref="I22:J22"/>
    <mergeCell ref="B16:C16"/>
    <mergeCell ref="D16:E16"/>
    <mergeCell ref="F16:J16"/>
    <mergeCell ref="B18:J18"/>
    <mergeCell ref="C19:H19"/>
    <mergeCell ref="I19:J19"/>
    <mergeCell ref="C28:H28"/>
    <mergeCell ref="C29:H29"/>
    <mergeCell ref="C30:H30"/>
    <mergeCell ref="C31:H31"/>
    <mergeCell ref="C32:H32"/>
    <mergeCell ref="B33:I33"/>
    <mergeCell ref="C23:H23"/>
    <mergeCell ref="I23:J23"/>
    <mergeCell ref="B24:J24"/>
    <mergeCell ref="B25:J25"/>
    <mergeCell ref="C26:H26"/>
    <mergeCell ref="C27:H27"/>
    <mergeCell ref="B41:H41"/>
    <mergeCell ref="C42:H42"/>
    <mergeCell ref="C43:H43"/>
    <mergeCell ref="C44:H44"/>
    <mergeCell ref="C45:H45"/>
    <mergeCell ref="C46:H46"/>
    <mergeCell ref="B35:J35"/>
    <mergeCell ref="B36:H36"/>
    <mergeCell ref="C37:H37"/>
    <mergeCell ref="C38:H38"/>
    <mergeCell ref="B39:H39"/>
    <mergeCell ref="B40:J40"/>
    <mergeCell ref="C53:H53"/>
    <mergeCell ref="C54:H54"/>
    <mergeCell ref="C55:H55"/>
    <mergeCell ref="C56:H56"/>
    <mergeCell ref="C57:H57"/>
    <mergeCell ref="C58:H58"/>
    <mergeCell ref="C47:H47"/>
    <mergeCell ref="C48:H48"/>
    <mergeCell ref="C49:H49"/>
    <mergeCell ref="B50:H50"/>
    <mergeCell ref="B51:J51"/>
    <mergeCell ref="B52:H52"/>
    <mergeCell ref="C65:I65"/>
    <mergeCell ref="B66:I66"/>
    <mergeCell ref="B67:J67"/>
    <mergeCell ref="B68:J68"/>
    <mergeCell ref="C69:H69"/>
    <mergeCell ref="C70:H70"/>
    <mergeCell ref="B59:I59"/>
    <mergeCell ref="B60:J60"/>
    <mergeCell ref="B61:J61"/>
    <mergeCell ref="B62:I62"/>
    <mergeCell ref="C63:I63"/>
    <mergeCell ref="C64:I64"/>
    <mergeCell ref="B77:J77"/>
    <mergeCell ref="B78:H78"/>
    <mergeCell ref="C79:H79"/>
    <mergeCell ref="C80:H80"/>
    <mergeCell ref="C81:H81"/>
    <mergeCell ref="C82:H82"/>
    <mergeCell ref="C71:H71"/>
    <mergeCell ref="C72:H72"/>
    <mergeCell ref="C73:H73"/>
    <mergeCell ref="C74:H74"/>
    <mergeCell ref="B75:H75"/>
    <mergeCell ref="B76:J76"/>
    <mergeCell ref="B89:H89"/>
    <mergeCell ref="B90:J90"/>
    <mergeCell ref="B91:J91"/>
    <mergeCell ref="B92:I92"/>
    <mergeCell ref="C93:I93"/>
    <mergeCell ref="C94:I94"/>
    <mergeCell ref="C83:H83"/>
    <mergeCell ref="C84:H84"/>
    <mergeCell ref="B85:H85"/>
    <mergeCell ref="B86:J86"/>
    <mergeCell ref="B87:H87"/>
    <mergeCell ref="C88:H88"/>
    <mergeCell ref="C101:H101"/>
    <mergeCell ref="C102:H102"/>
    <mergeCell ref="B103:H103"/>
    <mergeCell ref="B104:J104"/>
    <mergeCell ref="B105:J105"/>
    <mergeCell ref="C106:H106"/>
    <mergeCell ref="B95:I95"/>
    <mergeCell ref="B96:J96"/>
    <mergeCell ref="B97:J97"/>
    <mergeCell ref="C98:H98"/>
    <mergeCell ref="C99:H99"/>
    <mergeCell ref="C100:H100"/>
    <mergeCell ref="B113:H113"/>
    <mergeCell ref="C114:J114"/>
    <mergeCell ref="C115:H115"/>
    <mergeCell ref="C116:H116"/>
    <mergeCell ref="C118:H118"/>
    <mergeCell ref="C120:H120"/>
    <mergeCell ref="C107:H107"/>
    <mergeCell ref="C108:H108"/>
    <mergeCell ref="C109:H109"/>
    <mergeCell ref="C110:H110"/>
    <mergeCell ref="C111:H111"/>
    <mergeCell ref="C112:H112"/>
    <mergeCell ref="C129:I129"/>
    <mergeCell ref="C130:I130"/>
    <mergeCell ref="C131:I131"/>
    <mergeCell ref="C132:I132"/>
    <mergeCell ref="B133:I133"/>
    <mergeCell ref="C122:H122"/>
    <mergeCell ref="B124:J124"/>
    <mergeCell ref="B125:I125"/>
    <mergeCell ref="C126:I126"/>
    <mergeCell ref="C127:I127"/>
    <mergeCell ref="C128:I128"/>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06E54-907E-4A93-9881-82D4BFE37485}">
  <dimension ref="B1:M139"/>
  <sheetViews>
    <sheetView showGridLines="0" zoomScale="80" zoomScaleNormal="80" workbookViewId="0">
      <selection activeCell="I11" sqref="I11:J11"/>
    </sheetView>
  </sheetViews>
  <sheetFormatPr defaultRowHeight="14.5" x14ac:dyDescent="0.35"/>
  <cols>
    <col min="2" max="2" width="10.453125" customWidth="1"/>
    <col min="3" max="3" width="49.54296875" bestFit="1" customWidth="1"/>
    <col min="8" max="8" width="9" bestFit="1" customWidth="1"/>
    <col min="9" max="9" width="9.26953125" bestFit="1" customWidth="1"/>
    <col min="10" max="10" width="23.7265625" customWidth="1"/>
    <col min="11" max="11" width="11.81640625" bestFit="1" customWidth="1"/>
    <col min="12" max="12" width="25.81640625" style="62" customWidth="1"/>
    <col min="13" max="13" width="63.453125" style="62" customWidth="1"/>
  </cols>
  <sheetData>
    <row r="1" spans="2:10" x14ac:dyDescent="0.35">
      <c r="B1" s="202" t="s">
        <v>305</v>
      </c>
      <c r="C1" s="202"/>
      <c r="D1" s="202"/>
      <c r="E1" s="202"/>
      <c r="F1" s="202"/>
      <c r="G1" s="202"/>
      <c r="H1" s="202"/>
      <c r="I1" s="202"/>
      <c r="J1" s="202"/>
    </row>
    <row r="2" spans="2:10" x14ac:dyDescent="0.35">
      <c r="B2" s="203" t="s">
        <v>26</v>
      </c>
      <c r="C2" s="203"/>
      <c r="D2" s="203"/>
      <c r="E2" s="203"/>
      <c r="F2" s="203"/>
      <c r="G2" s="203"/>
      <c r="H2" s="203"/>
      <c r="I2" s="203"/>
      <c r="J2" s="203"/>
    </row>
    <row r="3" spans="2:10" x14ac:dyDescent="0.35">
      <c r="B3" s="203" t="s">
        <v>0</v>
      </c>
      <c r="C3" s="203"/>
      <c r="D3" s="203"/>
      <c r="E3" s="203"/>
      <c r="F3" s="203"/>
      <c r="G3" s="203"/>
      <c r="H3" s="203"/>
      <c r="I3" s="203"/>
      <c r="J3" s="203"/>
    </row>
    <row r="4" spans="2:10" x14ac:dyDescent="0.35">
      <c r="B4" s="204" t="s">
        <v>307</v>
      </c>
      <c r="C4" s="204"/>
      <c r="D4" s="204"/>
      <c r="E4" s="204"/>
      <c r="F4" s="204"/>
      <c r="G4" s="204"/>
      <c r="H4" s="204"/>
      <c r="I4" s="204"/>
      <c r="J4" s="204"/>
    </row>
    <row r="5" spans="2:10" x14ac:dyDescent="0.35">
      <c r="B5" s="205"/>
      <c r="C5" s="205"/>
      <c r="D5" s="205"/>
      <c r="E5" s="205"/>
      <c r="F5" s="205"/>
      <c r="G5" s="205"/>
      <c r="H5" s="205"/>
      <c r="I5" s="205"/>
      <c r="J5" s="205"/>
    </row>
    <row r="6" spans="2:10" x14ac:dyDescent="0.35">
      <c r="B6" s="206" t="s">
        <v>199</v>
      </c>
      <c r="C6" s="206"/>
      <c r="D6" s="206"/>
      <c r="E6" s="206"/>
      <c r="F6" s="206"/>
      <c r="G6" s="206"/>
      <c r="H6" s="206"/>
      <c r="I6" s="206"/>
      <c r="J6" s="206"/>
    </row>
    <row r="7" spans="2:10" x14ac:dyDescent="0.35">
      <c r="B7" s="201"/>
      <c r="C7" s="201"/>
      <c r="D7" s="201"/>
      <c r="E7" s="201"/>
      <c r="F7" s="201"/>
      <c r="G7" s="201"/>
      <c r="H7" s="201"/>
      <c r="I7" s="201"/>
      <c r="J7" s="201"/>
    </row>
    <row r="8" spans="2:10" x14ac:dyDescent="0.35">
      <c r="B8" s="171" t="s">
        <v>27</v>
      </c>
      <c r="C8" s="171"/>
      <c r="D8" s="171"/>
      <c r="E8" s="171"/>
      <c r="F8" s="171"/>
      <c r="G8" s="171"/>
      <c r="H8" s="171"/>
      <c r="I8" s="171"/>
      <c r="J8" s="171"/>
    </row>
    <row r="9" spans="2:10" x14ac:dyDescent="0.35">
      <c r="B9" s="60" t="s">
        <v>1</v>
      </c>
      <c r="C9" s="167" t="s">
        <v>28</v>
      </c>
      <c r="D9" s="167"/>
      <c r="E9" s="167"/>
      <c r="F9" s="167"/>
      <c r="G9" s="167"/>
      <c r="H9" s="167"/>
      <c r="I9" s="197"/>
      <c r="J9" s="198"/>
    </row>
    <row r="10" spans="2:10" x14ac:dyDescent="0.35">
      <c r="B10" s="60" t="s">
        <v>2</v>
      </c>
      <c r="C10" s="167" t="s">
        <v>29</v>
      </c>
      <c r="D10" s="167"/>
      <c r="E10" s="167"/>
      <c r="F10" s="167"/>
      <c r="G10" s="167"/>
      <c r="H10" s="167"/>
      <c r="I10" s="198" t="s">
        <v>264</v>
      </c>
      <c r="J10" s="198"/>
    </row>
    <row r="11" spans="2:10" x14ac:dyDescent="0.35">
      <c r="B11" s="60" t="s">
        <v>3</v>
      </c>
      <c r="C11" s="167" t="s">
        <v>30</v>
      </c>
      <c r="D11" s="167"/>
      <c r="E11" s="167"/>
      <c r="F11" s="167"/>
      <c r="G11" s="167"/>
      <c r="H11" s="167"/>
      <c r="I11" s="207" t="s">
        <v>308</v>
      </c>
      <c r="J11" s="198"/>
    </row>
    <row r="12" spans="2:10" x14ac:dyDescent="0.35">
      <c r="B12" s="60" t="s">
        <v>4</v>
      </c>
      <c r="C12" s="167" t="s">
        <v>31</v>
      </c>
      <c r="D12" s="167"/>
      <c r="E12" s="167"/>
      <c r="F12" s="167"/>
      <c r="G12" s="167"/>
      <c r="H12" s="167"/>
      <c r="I12" s="198">
        <v>12</v>
      </c>
      <c r="J12" s="198"/>
    </row>
    <row r="13" spans="2:10" x14ac:dyDescent="0.35">
      <c r="B13" s="61"/>
      <c r="C13" s="55"/>
      <c r="D13" s="55"/>
      <c r="E13" s="55"/>
      <c r="F13" s="55"/>
      <c r="G13" s="55"/>
      <c r="H13" s="55"/>
      <c r="I13" s="61"/>
      <c r="J13" s="61"/>
    </row>
    <row r="14" spans="2:10" x14ac:dyDescent="0.35">
      <c r="B14" s="171" t="s">
        <v>5</v>
      </c>
      <c r="C14" s="171"/>
      <c r="D14" s="171"/>
      <c r="E14" s="171"/>
      <c r="F14" s="171"/>
      <c r="G14" s="171"/>
      <c r="H14" s="171"/>
      <c r="I14" s="171"/>
      <c r="J14" s="171"/>
    </row>
    <row r="15" spans="2:10" x14ac:dyDescent="0.35">
      <c r="B15" s="198" t="s">
        <v>6</v>
      </c>
      <c r="C15" s="198"/>
      <c r="D15" s="198" t="s">
        <v>7</v>
      </c>
      <c r="E15" s="198"/>
      <c r="F15" s="198" t="s">
        <v>32</v>
      </c>
      <c r="G15" s="198"/>
      <c r="H15" s="198"/>
      <c r="I15" s="198"/>
      <c r="J15" s="198"/>
    </row>
    <row r="16" spans="2:10" x14ac:dyDescent="0.35">
      <c r="B16" s="198" t="s">
        <v>136</v>
      </c>
      <c r="C16" s="198"/>
      <c r="D16" s="198" t="s">
        <v>22</v>
      </c>
      <c r="E16" s="198"/>
      <c r="F16" s="198"/>
      <c r="G16" s="198"/>
      <c r="H16" s="198"/>
      <c r="I16" s="198"/>
      <c r="J16" s="198"/>
    </row>
    <row r="17" spans="2:13" x14ac:dyDescent="0.35">
      <c r="B17" s="61"/>
      <c r="C17" s="55"/>
      <c r="D17" s="55"/>
      <c r="E17" s="55"/>
      <c r="F17" s="55"/>
      <c r="G17" s="55"/>
      <c r="H17" s="55"/>
      <c r="I17" s="61"/>
      <c r="J17" s="61"/>
    </row>
    <row r="18" spans="2:13" x14ac:dyDescent="0.35">
      <c r="B18" s="171" t="s">
        <v>33</v>
      </c>
      <c r="C18" s="171"/>
      <c r="D18" s="171"/>
      <c r="E18" s="171"/>
      <c r="F18" s="171"/>
      <c r="G18" s="171"/>
      <c r="H18" s="171"/>
      <c r="I18" s="171"/>
      <c r="J18" s="171"/>
    </row>
    <row r="19" spans="2:13" x14ac:dyDescent="0.35">
      <c r="B19" s="60">
        <v>1</v>
      </c>
      <c r="C19" s="167" t="s">
        <v>9</v>
      </c>
      <c r="D19" s="167"/>
      <c r="E19" s="167"/>
      <c r="F19" s="167"/>
      <c r="G19" s="167"/>
      <c r="H19" s="167"/>
      <c r="I19" s="198" t="s">
        <v>137</v>
      </c>
      <c r="J19" s="198"/>
    </row>
    <row r="20" spans="2:13" x14ac:dyDescent="0.35">
      <c r="B20" s="60">
        <v>2</v>
      </c>
      <c r="C20" s="167" t="s">
        <v>34</v>
      </c>
      <c r="D20" s="167"/>
      <c r="E20" s="167"/>
      <c r="F20" s="167"/>
      <c r="G20" s="167"/>
      <c r="H20" s="167"/>
      <c r="I20" s="198" t="s">
        <v>123</v>
      </c>
      <c r="J20" s="198"/>
    </row>
    <row r="21" spans="2:13" x14ac:dyDescent="0.35">
      <c r="B21" s="60">
        <v>3</v>
      </c>
      <c r="C21" s="167" t="s">
        <v>35</v>
      </c>
      <c r="D21" s="167"/>
      <c r="E21" s="167"/>
      <c r="F21" s="167"/>
      <c r="G21" s="167"/>
      <c r="H21" s="167"/>
      <c r="I21" s="200">
        <f>Servente!I21</f>
        <v>1384.64</v>
      </c>
      <c r="J21" s="198"/>
    </row>
    <row r="22" spans="2:13" x14ac:dyDescent="0.35">
      <c r="B22" s="60">
        <v>4</v>
      </c>
      <c r="C22" s="167" t="s">
        <v>10</v>
      </c>
      <c r="D22" s="167"/>
      <c r="E22" s="167"/>
      <c r="F22" s="167"/>
      <c r="G22" s="167"/>
      <c r="H22" s="167"/>
      <c r="I22" s="168" t="s">
        <v>8</v>
      </c>
      <c r="J22" s="168"/>
    </row>
    <row r="23" spans="2:13" x14ac:dyDescent="0.35">
      <c r="B23" s="60">
        <v>5</v>
      </c>
      <c r="C23" s="167" t="s">
        <v>11</v>
      </c>
      <c r="D23" s="167"/>
      <c r="E23" s="167"/>
      <c r="F23" s="167"/>
      <c r="G23" s="167"/>
      <c r="H23" s="167"/>
      <c r="I23" s="197">
        <v>43831</v>
      </c>
      <c r="J23" s="198"/>
    </row>
    <row r="24" spans="2:13" x14ac:dyDescent="0.35">
      <c r="B24" s="199"/>
      <c r="C24" s="199"/>
      <c r="D24" s="199"/>
      <c r="E24" s="199"/>
      <c r="F24" s="199"/>
      <c r="G24" s="199"/>
      <c r="H24" s="199"/>
      <c r="I24" s="199"/>
      <c r="J24" s="199"/>
    </row>
    <row r="25" spans="2:13" x14ac:dyDescent="0.35">
      <c r="B25" s="180" t="s">
        <v>36</v>
      </c>
      <c r="C25" s="180"/>
      <c r="D25" s="180"/>
      <c r="E25" s="180"/>
      <c r="F25" s="180"/>
      <c r="G25" s="180"/>
      <c r="H25" s="180"/>
      <c r="I25" s="180"/>
      <c r="J25" s="180"/>
    </row>
    <row r="26" spans="2:13" x14ac:dyDescent="0.35">
      <c r="B26" s="54">
        <v>1</v>
      </c>
      <c r="C26" s="168" t="s">
        <v>37</v>
      </c>
      <c r="D26" s="168"/>
      <c r="E26" s="168"/>
      <c r="F26" s="168"/>
      <c r="G26" s="168"/>
      <c r="H26" s="168"/>
      <c r="I26" s="54" t="s">
        <v>20</v>
      </c>
      <c r="J26" s="54" t="s">
        <v>38</v>
      </c>
      <c r="L26" s="63" t="s">
        <v>140</v>
      </c>
      <c r="M26" s="63" t="s">
        <v>141</v>
      </c>
    </row>
    <row r="27" spans="2:13" x14ac:dyDescent="0.35">
      <c r="B27" s="54" t="s">
        <v>1</v>
      </c>
      <c r="C27" s="167" t="s">
        <v>12</v>
      </c>
      <c r="D27" s="167"/>
      <c r="E27" s="167"/>
      <c r="F27" s="167"/>
      <c r="G27" s="167"/>
      <c r="H27" s="167"/>
      <c r="I27" s="57"/>
      <c r="J27" s="6">
        <f>I21</f>
        <v>1384.64</v>
      </c>
      <c r="L27" s="64"/>
      <c r="M27" s="65" t="s">
        <v>265</v>
      </c>
    </row>
    <row r="28" spans="2:13" x14ac:dyDescent="0.35">
      <c r="B28" s="54" t="s">
        <v>2</v>
      </c>
      <c r="C28" s="167" t="s">
        <v>39</v>
      </c>
      <c r="D28" s="167"/>
      <c r="E28" s="167"/>
      <c r="F28" s="167"/>
      <c r="G28" s="167"/>
      <c r="H28" s="167"/>
      <c r="I28" s="7"/>
      <c r="J28" s="6">
        <v>0</v>
      </c>
    </row>
    <row r="29" spans="2:13" x14ac:dyDescent="0.35">
      <c r="B29" s="54" t="s">
        <v>3</v>
      </c>
      <c r="C29" s="167" t="s">
        <v>40</v>
      </c>
      <c r="D29" s="167"/>
      <c r="E29" s="167"/>
      <c r="F29" s="167"/>
      <c r="G29" s="167"/>
      <c r="H29" s="167"/>
      <c r="I29" s="7"/>
      <c r="J29" s="6">
        <v>0</v>
      </c>
    </row>
    <row r="30" spans="2:13" x14ac:dyDescent="0.35">
      <c r="B30" s="54" t="s">
        <v>4</v>
      </c>
      <c r="C30" s="167" t="s">
        <v>41</v>
      </c>
      <c r="D30" s="167"/>
      <c r="E30" s="167"/>
      <c r="F30" s="167"/>
      <c r="G30" s="167"/>
      <c r="H30" s="167"/>
      <c r="I30" s="7"/>
      <c r="J30" s="6">
        <v>0</v>
      </c>
      <c r="K30" s="62"/>
    </row>
    <row r="31" spans="2:13" x14ac:dyDescent="0.35">
      <c r="B31" s="8" t="s">
        <v>13</v>
      </c>
      <c r="C31" s="167" t="s">
        <v>42</v>
      </c>
      <c r="D31" s="167"/>
      <c r="E31" s="167"/>
      <c r="F31" s="167"/>
      <c r="G31" s="167"/>
      <c r="H31" s="167"/>
      <c r="I31" s="9"/>
      <c r="J31" s="6">
        <v>0</v>
      </c>
    </row>
    <row r="32" spans="2:13" x14ac:dyDescent="0.35">
      <c r="B32" s="8" t="s">
        <v>14</v>
      </c>
      <c r="C32" s="167" t="s">
        <v>186</v>
      </c>
      <c r="D32" s="167"/>
      <c r="E32" s="167"/>
      <c r="F32" s="167"/>
      <c r="G32" s="167"/>
      <c r="H32" s="167"/>
      <c r="I32" s="7">
        <v>0.2</v>
      </c>
      <c r="J32" s="6">
        <f>TRUNC(J27*I32,2)</f>
        <v>276.92</v>
      </c>
      <c r="L32" s="64"/>
      <c r="M32" s="65" t="s">
        <v>187</v>
      </c>
    </row>
    <row r="33" spans="2:13" x14ac:dyDescent="0.35">
      <c r="B33" s="168" t="s">
        <v>43</v>
      </c>
      <c r="C33" s="168"/>
      <c r="D33" s="168"/>
      <c r="E33" s="168"/>
      <c r="F33" s="168"/>
      <c r="G33" s="168"/>
      <c r="H33" s="168"/>
      <c r="I33" s="168"/>
      <c r="J33" s="10">
        <f>SUM(J27:J32)</f>
        <v>1661.5600000000002</v>
      </c>
    </row>
    <row r="34" spans="2:13" x14ac:dyDescent="0.35">
      <c r="B34" s="11"/>
      <c r="C34" s="11"/>
      <c r="D34" s="11"/>
      <c r="E34" s="11"/>
      <c r="F34" s="11"/>
      <c r="G34" s="11"/>
      <c r="H34" s="11"/>
      <c r="I34" s="11"/>
      <c r="J34" s="12"/>
    </row>
    <row r="35" spans="2:13" x14ac:dyDescent="0.35">
      <c r="B35" s="180" t="s">
        <v>44</v>
      </c>
      <c r="C35" s="180"/>
      <c r="D35" s="180"/>
      <c r="E35" s="180"/>
      <c r="F35" s="180"/>
      <c r="G35" s="180"/>
      <c r="H35" s="180"/>
      <c r="I35" s="180"/>
      <c r="J35" s="180"/>
    </row>
    <row r="36" spans="2:13" x14ac:dyDescent="0.35">
      <c r="B36" s="194" t="s">
        <v>45</v>
      </c>
      <c r="C36" s="194"/>
      <c r="D36" s="194"/>
      <c r="E36" s="194"/>
      <c r="F36" s="194"/>
      <c r="G36" s="194"/>
      <c r="H36" s="194"/>
      <c r="I36" s="59" t="s">
        <v>20</v>
      </c>
      <c r="J36" s="59" t="s">
        <v>38</v>
      </c>
      <c r="L36" s="63" t="s">
        <v>140</v>
      </c>
      <c r="M36" s="63" t="s">
        <v>141</v>
      </c>
    </row>
    <row r="37" spans="2:13" ht="26" x14ac:dyDescent="0.35">
      <c r="B37" s="54" t="s">
        <v>1</v>
      </c>
      <c r="C37" s="167" t="s">
        <v>46</v>
      </c>
      <c r="D37" s="167"/>
      <c r="E37" s="167"/>
      <c r="F37" s="167"/>
      <c r="G37" s="167"/>
      <c r="H37" s="167"/>
      <c r="I37" s="13">
        <v>8.3333000000000004E-2</v>
      </c>
      <c r="J37" s="6">
        <f>TRUNC($J$33*I37,2)</f>
        <v>138.46</v>
      </c>
      <c r="K37" s="52"/>
      <c r="L37" s="64"/>
      <c r="M37" s="66" t="s">
        <v>142</v>
      </c>
    </row>
    <row r="38" spans="2:13" ht="26" x14ac:dyDescent="0.35">
      <c r="B38" s="54" t="s">
        <v>2</v>
      </c>
      <c r="C38" s="167" t="s">
        <v>47</v>
      </c>
      <c r="D38" s="167"/>
      <c r="E38" s="167"/>
      <c r="F38" s="167"/>
      <c r="G38" s="167"/>
      <c r="H38" s="167"/>
      <c r="I38" s="14">
        <v>0.121</v>
      </c>
      <c r="J38" s="6">
        <f>TRUNC($J$33*I38,2)</f>
        <v>201.04</v>
      </c>
      <c r="K38" s="52"/>
      <c r="L38" s="67" t="s">
        <v>143</v>
      </c>
      <c r="M38" s="66" t="s">
        <v>144</v>
      </c>
    </row>
    <row r="39" spans="2:13" x14ac:dyDescent="0.35">
      <c r="B39" s="168" t="s">
        <v>48</v>
      </c>
      <c r="C39" s="168"/>
      <c r="D39" s="168"/>
      <c r="E39" s="168"/>
      <c r="F39" s="168"/>
      <c r="G39" s="168"/>
      <c r="H39" s="168"/>
      <c r="I39" s="15">
        <f>SUM(I37:I38)</f>
        <v>0.20433299999999999</v>
      </c>
      <c r="J39" s="10">
        <f>SUM(J37:J38)</f>
        <v>339.5</v>
      </c>
      <c r="K39" s="53"/>
    </row>
    <row r="40" spans="2:13" x14ac:dyDescent="0.35">
      <c r="B40" s="195"/>
      <c r="C40" s="196"/>
      <c r="D40" s="196"/>
      <c r="E40" s="196"/>
      <c r="F40" s="196"/>
      <c r="G40" s="196"/>
      <c r="H40" s="196"/>
      <c r="I40" s="196"/>
      <c r="J40" s="196"/>
    </row>
    <row r="41" spans="2:13" x14ac:dyDescent="0.35">
      <c r="B41" s="194" t="s">
        <v>49</v>
      </c>
      <c r="C41" s="194"/>
      <c r="D41" s="194"/>
      <c r="E41" s="194"/>
      <c r="F41" s="194"/>
      <c r="G41" s="194"/>
      <c r="H41" s="194"/>
      <c r="I41" s="59" t="s">
        <v>20</v>
      </c>
      <c r="J41" s="59" t="s">
        <v>38</v>
      </c>
      <c r="L41" s="63" t="s">
        <v>140</v>
      </c>
      <c r="M41" s="63" t="s">
        <v>141</v>
      </c>
    </row>
    <row r="42" spans="2:13" x14ac:dyDescent="0.35">
      <c r="B42" s="54" t="s">
        <v>1</v>
      </c>
      <c r="C42" s="167" t="s">
        <v>50</v>
      </c>
      <c r="D42" s="167"/>
      <c r="E42" s="167"/>
      <c r="F42" s="167"/>
      <c r="G42" s="167"/>
      <c r="H42" s="167"/>
      <c r="I42" s="13">
        <v>0.2</v>
      </c>
      <c r="J42" s="6">
        <f>TRUNC(($J$33+$J$39)*$I$42,2)</f>
        <v>400.21</v>
      </c>
      <c r="L42" s="64"/>
      <c r="M42" s="68" t="s">
        <v>145</v>
      </c>
    </row>
    <row r="43" spans="2:13" x14ac:dyDescent="0.35">
      <c r="B43" s="54" t="s">
        <v>2</v>
      </c>
      <c r="C43" s="167" t="s">
        <v>51</v>
      </c>
      <c r="D43" s="167"/>
      <c r="E43" s="167"/>
      <c r="F43" s="167"/>
      <c r="G43" s="167"/>
      <c r="H43" s="167"/>
      <c r="I43" s="13">
        <v>2.5000000000000001E-2</v>
      </c>
      <c r="J43" s="6">
        <f>TRUNC(($J$33+$J$39)*$I$43,2)</f>
        <v>50.02</v>
      </c>
      <c r="L43" s="64"/>
      <c r="M43" s="68" t="s">
        <v>146</v>
      </c>
    </row>
    <row r="44" spans="2:13" x14ac:dyDescent="0.35">
      <c r="B44" s="54" t="s">
        <v>3</v>
      </c>
      <c r="C44" s="167" t="s">
        <v>52</v>
      </c>
      <c r="D44" s="167"/>
      <c r="E44" s="167"/>
      <c r="F44" s="167"/>
      <c r="G44" s="167"/>
      <c r="H44" s="167"/>
      <c r="I44" s="19">
        <v>0.03</v>
      </c>
      <c r="J44" s="6">
        <f>TRUNC(($J$33+$J$39)*$I$44,2)</f>
        <v>60.03</v>
      </c>
      <c r="L44" s="67" t="s">
        <v>147</v>
      </c>
      <c r="M44" s="68" t="s">
        <v>148</v>
      </c>
    </row>
    <row r="45" spans="2:13" x14ac:dyDescent="0.35">
      <c r="B45" s="54" t="s">
        <v>4</v>
      </c>
      <c r="C45" s="167" t="s">
        <v>53</v>
      </c>
      <c r="D45" s="167"/>
      <c r="E45" s="167"/>
      <c r="F45" s="167"/>
      <c r="G45" s="167"/>
      <c r="H45" s="167"/>
      <c r="I45" s="13">
        <v>1.4999999999999999E-2</v>
      </c>
      <c r="J45" s="6">
        <f>TRUNC(($J$33+$J$39)*$I$45,2)</f>
        <v>30.01</v>
      </c>
      <c r="L45" s="64"/>
      <c r="M45" s="68" t="s">
        <v>149</v>
      </c>
    </row>
    <row r="46" spans="2:13" x14ac:dyDescent="0.35">
      <c r="B46" s="54" t="s">
        <v>13</v>
      </c>
      <c r="C46" s="167" t="s">
        <v>54</v>
      </c>
      <c r="D46" s="167"/>
      <c r="E46" s="167"/>
      <c r="F46" s="167"/>
      <c r="G46" s="167"/>
      <c r="H46" s="167"/>
      <c r="I46" s="13">
        <v>0.01</v>
      </c>
      <c r="J46" s="6">
        <f>TRUNC(($J$33+$J$39)*$I$46,2)</f>
        <v>20.010000000000002</v>
      </c>
      <c r="L46" s="64"/>
      <c r="M46" s="68" t="s">
        <v>150</v>
      </c>
    </row>
    <row r="47" spans="2:13" x14ac:dyDescent="0.35">
      <c r="B47" s="54" t="s">
        <v>14</v>
      </c>
      <c r="C47" s="167" t="s">
        <v>55</v>
      </c>
      <c r="D47" s="167"/>
      <c r="E47" s="167"/>
      <c r="F47" s="167"/>
      <c r="G47" s="167"/>
      <c r="H47" s="167"/>
      <c r="I47" s="13">
        <v>6.0000000000000001E-3</v>
      </c>
      <c r="J47" s="6">
        <f>TRUNC(($J$33+$J$39)*$I$47,2)</f>
        <v>12</v>
      </c>
      <c r="L47" s="64"/>
      <c r="M47" s="69" t="s">
        <v>151</v>
      </c>
    </row>
    <row r="48" spans="2:13" x14ac:dyDescent="0.35">
      <c r="B48" s="54" t="s">
        <v>15</v>
      </c>
      <c r="C48" s="167" t="s">
        <v>56</v>
      </c>
      <c r="D48" s="167"/>
      <c r="E48" s="167"/>
      <c r="F48" s="167"/>
      <c r="G48" s="167"/>
      <c r="H48" s="167"/>
      <c r="I48" s="13">
        <v>2E-3</v>
      </c>
      <c r="J48" s="6">
        <f>TRUNC(($J$33+$J$39)*$I$48,2)</f>
        <v>4</v>
      </c>
      <c r="L48" s="64"/>
      <c r="M48" s="68" t="s">
        <v>150</v>
      </c>
    </row>
    <row r="49" spans="2:13" x14ac:dyDescent="0.35">
      <c r="B49" s="54" t="s">
        <v>16</v>
      </c>
      <c r="C49" s="167" t="s">
        <v>57</v>
      </c>
      <c r="D49" s="167"/>
      <c r="E49" s="167"/>
      <c r="F49" s="167"/>
      <c r="G49" s="167"/>
      <c r="H49" s="167"/>
      <c r="I49" s="13">
        <v>0.08</v>
      </c>
      <c r="J49" s="6">
        <f>TRUNC(($J$33+$J$39)*$I$49,2)</f>
        <v>160.08000000000001</v>
      </c>
      <c r="L49" s="64"/>
      <c r="M49" s="68" t="s">
        <v>152</v>
      </c>
    </row>
    <row r="50" spans="2:13" x14ac:dyDescent="0.35">
      <c r="B50" s="168" t="s">
        <v>58</v>
      </c>
      <c r="C50" s="168"/>
      <c r="D50" s="168"/>
      <c r="E50" s="168"/>
      <c r="F50" s="168"/>
      <c r="G50" s="168"/>
      <c r="H50" s="168"/>
      <c r="I50" s="15">
        <f>SUM(I42:I49)</f>
        <v>0.36800000000000005</v>
      </c>
      <c r="J50" s="10">
        <f>SUM(J42:J49)</f>
        <v>736.36</v>
      </c>
    </row>
    <row r="51" spans="2:13" x14ac:dyDescent="0.35">
      <c r="B51" s="189"/>
      <c r="C51" s="189"/>
      <c r="D51" s="189"/>
      <c r="E51" s="189"/>
      <c r="F51" s="189"/>
      <c r="G51" s="189"/>
      <c r="H51" s="189"/>
      <c r="I51" s="189"/>
      <c r="J51" s="190"/>
    </row>
    <row r="52" spans="2:13" x14ac:dyDescent="0.35">
      <c r="B52" s="194" t="s">
        <v>59</v>
      </c>
      <c r="C52" s="194"/>
      <c r="D52" s="194"/>
      <c r="E52" s="194"/>
      <c r="F52" s="194"/>
      <c r="G52" s="194"/>
      <c r="H52" s="194"/>
      <c r="I52" s="44"/>
      <c r="J52" s="59" t="s">
        <v>38</v>
      </c>
      <c r="L52" s="63" t="s">
        <v>140</v>
      </c>
      <c r="M52" s="63" t="s">
        <v>141</v>
      </c>
    </row>
    <row r="53" spans="2:13" x14ac:dyDescent="0.35">
      <c r="B53" s="54" t="s">
        <v>1</v>
      </c>
      <c r="C53" s="177" t="s">
        <v>266</v>
      </c>
      <c r="D53" s="177"/>
      <c r="E53" s="177"/>
      <c r="F53" s="177"/>
      <c r="G53" s="177"/>
      <c r="H53" s="177"/>
      <c r="I53" s="60" t="s">
        <v>60</v>
      </c>
      <c r="J53" s="16">
        <f>TRUNC((5.2*2*22)-(6%*J27),2)</f>
        <v>145.72</v>
      </c>
      <c r="L53" s="70" t="s">
        <v>180</v>
      </c>
      <c r="M53" s="70" t="s">
        <v>179</v>
      </c>
    </row>
    <row r="54" spans="2:13" x14ac:dyDescent="0.35">
      <c r="B54" s="54" t="s">
        <v>2</v>
      </c>
      <c r="C54" s="177" t="str">
        <f>Servente!C54</f>
        <v xml:space="preserve">Auxílio-Refeição/Alimentação e Cesta Básica [(R$ 17,77 - R$ 1,11) x 22 + R$ 123,82]  </v>
      </c>
      <c r="D54" s="177"/>
      <c r="E54" s="177"/>
      <c r="F54" s="177"/>
      <c r="G54" s="177"/>
      <c r="H54" s="177"/>
      <c r="I54" s="60" t="s">
        <v>60</v>
      </c>
      <c r="J54" s="16">
        <f>TRUNC(((17.77-1.11)*22)+123.82,2)</f>
        <v>490.34</v>
      </c>
      <c r="L54" s="65" t="s">
        <v>181</v>
      </c>
      <c r="M54" s="65" t="s">
        <v>267</v>
      </c>
    </row>
    <row r="55" spans="2:13" x14ac:dyDescent="0.35">
      <c r="B55" s="54" t="s">
        <v>3</v>
      </c>
      <c r="C55" s="191" t="s">
        <v>61</v>
      </c>
      <c r="D55" s="192"/>
      <c r="E55" s="192"/>
      <c r="F55" s="192"/>
      <c r="G55" s="192"/>
      <c r="H55" s="193"/>
      <c r="I55" s="60" t="s">
        <v>60</v>
      </c>
      <c r="J55" s="16">
        <f>9.74+3.93</f>
        <v>13.67</v>
      </c>
      <c r="L55" s="71"/>
      <c r="M55" s="65" t="s">
        <v>268</v>
      </c>
    </row>
    <row r="56" spans="2:13" x14ac:dyDescent="0.35">
      <c r="B56" s="54" t="s">
        <v>4</v>
      </c>
      <c r="C56" s="177" t="s">
        <v>132</v>
      </c>
      <c r="D56" s="177"/>
      <c r="E56" s="177"/>
      <c r="F56" s="177"/>
      <c r="G56" s="177"/>
      <c r="H56" s="177"/>
      <c r="I56" s="60" t="s">
        <v>60</v>
      </c>
      <c r="J56" s="16">
        <v>28</v>
      </c>
      <c r="L56" s="64"/>
      <c r="M56" s="65" t="s">
        <v>183</v>
      </c>
    </row>
    <row r="57" spans="2:13" x14ac:dyDescent="0.35">
      <c r="B57" s="54" t="s">
        <v>13</v>
      </c>
      <c r="C57" s="191" t="s">
        <v>62</v>
      </c>
      <c r="D57" s="192"/>
      <c r="E57" s="192"/>
      <c r="F57" s="192"/>
      <c r="G57" s="192"/>
      <c r="H57" s="193"/>
      <c r="I57" s="60" t="s">
        <v>60</v>
      </c>
      <c r="J57" s="16">
        <v>0</v>
      </c>
    </row>
    <row r="58" spans="2:13" x14ac:dyDescent="0.35">
      <c r="B58" s="54" t="s">
        <v>14</v>
      </c>
      <c r="C58" s="177" t="s">
        <v>17</v>
      </c>
      <c r="D58" s="177"/>
      <c r="E58" s="177"/>
      <c r="F58" s="177"/>
      <c r="G58" s="177"/>
      <c r="H58" s="177"/>
      <c r="I58" s="60" t="s">
        <v>60</v>
      </c>
      <c r="J58" s="16">
        <v>0</v>
      </c>
    </row>
    <row r="59" spans="2:13" x14ac:dyDescent="0.35">
      <c r="B59" s="168" t="s">
        <v>63</v>
      </c>
      <c r="C59" s="168"/>
      <c r="D59" s="168"/>
      <c r="E59" s="168"/>
      <c r="F59" s="168"/>
      <c r="G59" s="168"/>
      <c r="H59" s="168"/>
      <c r="I59" s="168"/>
      <c r="J59" s="10">
        <f>SUM(J53:J58)</f>
        <v>677.7299999999999</v>
      </c>
    </row>
    <row r="60" spans="2:13" x14ac:dyDescent="0.35">
      <c r="B60" s="189"/>
      <c r="C60" s="189"/>
      <c r="D60" s="189"/>
      <c r="E60" s="189"/>
      <c r="F60" s="189"/>
      <c r="G60" s="189"/>
      <c r="H60" s="189"/>
      <c r="I60" s="189"/>
      <c r="J60" s="190"/>
    </row>
    <row r="61" spans="2:13" x14ac:dyDescent="0.35">
      <c r="B61" s="171" t="s">
        <v>64</v>
      </c>
      <c r="C61" s="171"/>
      <c r="D61" s="171"/>
      <c r="E61" s="171"/>
      <c r="F61" s="171"/>
      <c r="G61" s="171"/>
      <c r="H61" s="171"/>
      <c r="I61" s="171"/>
      <c r="J61" s="171"/>
    </row>
    <row r="62" spans="2:13" x14ac:dyDescent="0.35">
      <c r="B62" s="168" t="s">
        <v>65</v>
      </c>
      <c r="C62" s="168"/>
      <c r="D62" s="168"/>
      <c r="E62" s="168"/>
      <c r="F62" s="168"/>
      <c r="G62" s="168"/>
      <c r="H62" s="168"/>
      <c r="I62" s="168"/>
      <c r="J62" s="54" t="s">
        <v>38</v>
      </c>
    </row>
    <row r="63" spans="2:13" x14ac:dyDescent="0.35">
      <c r="B63" s="54" t="s">
        <v>66</v>
      </c>
      <c r="C63" s="167" t="s">
        <v>67</v>
      </c>
      <c r="D63" s="167"/>
      <c r="E63" s="167"/>
      <c r="F63" s="167"/>
      <c r="G63" s="167"/>
      <c r="H63" s="167"/>
      <c r="I63" s="167"/>
      <c r="J63" s="6">
        <f>J39</f>
        <v>339.5</v>
      </c>
    </row>
    <row r="64" spans="2:13" x14ac:dyDescent="0.35">
      <c r="B64" s="8" t="s">
        <v>68</v>
      </c>
      <c r="C64" s="167" t="s">
        <v>69</v>
      </c>
      <c r="D64" s="167"/>
      <c r="E64" s="167"/>
      <c r="F64" s="167"/>
      <c r="G64" s="167"/>
      <c r="H64" s="167"/>
      <c r="I64" s="167"/>
      <c r="J64" s="17">
        <f>J50</f>
        <v>736.36</v>
      </c>
    </row>
    <row r="65" spans="2:13" x14ac:dyDescent="0.35">
      <c r="B65" s="8" t="s">
        <v>70</v>
      </c>
      <c r="C65" s="167" t="s">
        <v>18</v>
      </c>
      <c r="D65" s="167"/>
      <c r="E65" s="167"/>
      <c r="F65" s="167"/>
      <c r="G65" s="167"/>
      <c r="H65" s="167"/>
      <c r="I65" s="167"/>
      <c r="J65" s="17">
        <f>J59</f>
        <v>677.7299999999999</v>
      </c>
    </row>
    <row r="66" spans="2:13" x14ac:dyDescent="0.35">
      <c r="B66" s="168" t="s">
        <v>71</v>
      </c>
      <c r="C66" s="168"/>
      <c r="D66" s="168"/>
      <c r="E66" s="168"/>
      <c r="F66" s="168"/>
      <c r="G66" s="168"/>
      <c r="H66" s="168"/>
      <c r="I66" s="168"/>
      <c r="J66" s="18">
        <f>SUM(J63:J65)</f>
        <v>1753.5900000000001</v>
      </c>
    </row>
    <row r="67" spans="2:13" x14ac:dyDescent="0.35">
      <c r="B67" s="178"/>
      <c r="C67" s="179"/>
      <c r="D67" s="179"/>
      <c r="E67" s="179"/>
      <c r="F67" s="179"/>
      <c r="G67" s="179"/>
      <c r="H67" s="179"/>
      <c r="I67" s="179"/>
      <c r="J67" s="179"/>
    </row>
    <row r="68" spans="2:13" x14ac:dyDescent="0.35">
      <c r="B68" s="180" t="s">
        <v>72</v>
      </c>
      <c r="C68" s="180"/>
      <c r="D68" s="180"/>
      <c r="E68" s="180"/>
      <c r="F68" s="180"/>
      <c r="G68" s="180"/>
      <c r="H68" s="180"/>
      <c r="I68" s="180"/>
      <c r="J68" s="180"/>
    </row>
    <row r="69" spans="2:13" x14ac:dyDescent="0.35">
      <c r="B69" s="54">
        <v>3</v>
      </c>
      <c r="C69" s="168" t="s">
        <v>73</v>
      </c>
      <c r="D69" s="168"/>
      <c r="E69" s="168"/>
      <c r="F69" s="168"/>
      <c r="G69" s="168"/>
      <c r="H69" s="168"/>
      <c r="I69" s="54" t="s">
        <v>20</v>
      </c>
      <c r="J69" s="54" t="s">
        <v>38</v>
      </c>
      <c r="L69" s="63" t="s">
        <v>140</v>
      </c>
      <c r="M69" s="63" t="s">
        <v>141</v>
      </c>
    </row>
    <row r="70" spans="2:13" ht="26" x14ac:dyDescent="0.35">
      <c r="B70" s="54" t="s">
        <v>1</v>
      </c>
      <c r="C70" s="183" t="s">
        <v>74</v>
      </c>
      <c r="D70" s="183"/>
      <c r="E70" s="183"/>
      <c r="F70" s="183"/>
      <c r="G70" s="183"/>
      <c r="H70" s="183"/>
      <c r="I70" s="19">
        <f>(1/12)*5%</f>
        <v>4.1666666666666666E-3</v>
      </c>
      <c r="J70" s="17">
        <f>TRUNC(I70*$J$33,2)</f>
        <v>6.92</v>
      </c>
      <c r="L70" s="72" t="s">
        <v>153</v>
      </c>
      <c r="M70" s="72" t="s">
        <v>154</v>
      </c>
    </row>
    <row r="71" spans="2:13" x14ac:dyDescent="0.35">
      <c r="B71" s="54" t="s">
        <v>2</v>
      </c>
      <c r="C71" s="167" t="s">
        <v>75</v>
      </c>
      <c r="D71" s="167"/>
      <c r="E71" s="167"/>
      <c r="F71" s="167"/>
      <c r="G71" s="167"/>
      <c r="H71" s="167"/>
      <c r="I71" s="19">
        <f>I49*I70</f>
        <v>3.3333333333333332E-4</v>
      </c>
      <c r="J71" s="17">
        <f>TRUNC(I71*$J$33,2)</f>
        <v>0.55000000000000004</v>
      </c>
      <c r="L71" s="72" t="s">
        <v>155</v>
      </c>
      <c r="M71" s="72" t="s">
        <v>156</v>
      </c>
    </row>
    <row r="72" spans="2:13" x14ac:dyDescent="0.35">
      <c r="B72" s="54" t="s">
        <v>3</v>
      </c>
      <c r="C72" s="167" t="s">
        <v>76</v>
      </c>
      <c r="D72" s="167"/>
      <c r="E72" s="167"/>
      <c r="F72" s="167"/>
      <c r="G72" s="167"/>
      <c r="H72" s="167"/>
      <c r="I72" s="13">
        <f>((7/30)/12)</f>
        <v>1.9444444444444445E-2</v>
      </c>
      <c r="J72" s="17">
        <f t="shared" ref="J72:J73" si="0">TRUNC(I72*$J$33,2)</f>
        <v>32.299999999999997</v>
      </c>
      <c r="L72" s="72" t="s">
        <v>157</v>
      </c>
      <c r="M72" s="72" t="s">
        <v>158</v>
      </c>
    </row>
    <row r="73" spans="2:13" ht="26" x14ac:dyDescent="0.35">
      <c r="B73" s="54" t="s">
        <v>4</v>
      </c>
      <c r="C73" s="167" t="s">
        <v>77</v>
      </c>
      <c r="D73" s="167"/>
      <c r="E73" s="167"/>
      <c r="F73" s="167"/>
      <c r="G73" s="167"/>
      <c r="H73" s="167"/>
      <c r="I73" s="14">
        <f>I50*I72</f>
        <v>7.1555555555555565E-3</v>
      </c>
      <c r="J73" s="17">
        <f t="shared" si="0"/>
        <v>11.88</v>
      </c>
      <c r="L73" s="72" t="s">
        <v>159</v>
      </c>
    </row>
    <row r="74" spans="2:13" ht="26" x14ac:dyDescent="0.35">
      <c r="B74" s="54" t="s">
        <v>13</v>
      </c>
      <c r="C74" s="183" t="s">
        <v>130</v>
      </c>
      <c r="D74" s="183"/>
      <c r="E74" s="183"/>
      <c r="F74" s="183"/>
      <c r="G74" s="183"/>
      <c r="H74" s="183"/>
      <c r="I74" s="19">
        <v>0.04</v>
      </c>
      <c r="J74" s="17">
        <f>TRUNC(I74*$J$33,2)</f>
        <v>66.459999999999994</v>
      </c>
      <c r="L74" s="77" t="s">
        <v>160</v>
      </c>
      <c r="M74" s="78" t="s">
        <v>161</v>
      </c>
    </row>
    <row r="75" spans="2:13" x14ac:dyDescent="0.35">
      <c r="B75" s="168" t="s">
        <v>78</v>
      </c>
      <c r="C75" s="168"/>
      <c r="D75" s="168"/>
      <c r="E75" s="168"/>
      <c r="F75" s="168"/>
      <c r="G75" s="168"/>
      <c r="H75" s="168"/>
      <c r="I75" s="15">
        <f>SUM(I70:I74)</f>
        <v>7.1099999999999997E-2</v>
      </c>
      <c r="J75" s="10">
        <f>SUM(J70:J74)</f>
        <v>118.10999999999999</v>
      </c>
    </row>
    <row r="76" spans="2:13" x14ac:dyDescent="0.35">
      <c r="B76" s="187"/>
      <c r="C76" s="188"/>
      <c r="D76" s="188"/>
      <c r="E76" s="188"/>
      <c r="F76" s="188"/>
      <c r="G76" s="188"/>
      <c r="H76" s="188"/>
      <c r="I76" s="188"/>
      <c r="J76" s="188"/>
    </row>
    <row r="77" spans="2:13" x14ac:dyDescent="0.35">
      <c r="B77" s="180" t="s">
        <v>79</v>
      </c>
      <c r="C77" s="180"/>
      <c r="D77" s="180"/>
      <c r="E77" s="180"/>
      <c r="F77" s="180"/>
      <c r="G77" s="180"/>
      <c r="H77" s="180"/>
      <c r="I77" s="180"/>
      <c r="J77" s="180"/>
    </row>
    <row r="78" spans="2:13" x14ac:dyDescent="0.35">
      <c r="B78" s="168" t="s">
        <v>80</v>
      </c>
      <c r="C78" s="168"/>
      <c r="D78" s="168"/>
      <c r="E78" s="168"/>
      <c r="F78" s="168"/>
      <c r="G78" s="168"/>
      <c r="H78" s="168"/>
      <c r="I78" s="54" t="s">
        <v>20</v>
      </c>
      <c r="J78" s="54" t="s">
        <v>38</v>
      </c>
      <c r="L78" s="63" t="s">
        <v>140</v>
      </c>
      <c r="M78" s="63" t="s">
        <v>141</v>
      </c>
    </row>
    <row r="79" spans="2:13" ht="26" x14ac:dyDescent="0.35">
      <c r="B79" s="54" t="s">
        <v>1</v>
      </c>
      <c r="C79" s="183" t="s">
        <v>81</v>
      </c>
      <c r="D79" s="183"/>
      <c r="E79" s="183"/>
      <c r="F79" s="183"/>
      <c r="G79" s="183"/>
      <c r="H79" s="183"/>
      <c r="I79" s="13">
        <f>(1/12/12)+(1/12/12)+(1/12/12/3)</f>
        <v>1.6203703703703703E-2</v>
      </c>
      <c r="J79" s="6">
        <f>TRUNC(($J$33)*I79,2)</f>
        <v>26.92</v>
      </c>
      <c r="L79" s="72" t="s">
        <v>162</v>
      </c>
      <c r="M79" s="72" t="s">
        <v>163</v>
      </c>
    </row>
    <row r="80" spans="2:13" x14ac:dyDescent="0.35">
      <c r="B80" s="8" t="s">
        <v>2</v>
      </c>
      <c r="C80" s="183" t="s">
        <v>82</v>
      </c>
      <c r="D80" s="183"/>
      <c r="E80" s="183"/>
      <c r="F80" s="183"/>
      <c r="G80" s="183"/>
      <c r="H80" s="183"/>
      <c r="I80" s="13">
        <f>((1/30))/12</f>
        <v>2.7777777777777779E-3</v>
      </c>
      <c r="J80" s="6">
        <f t="shared" ref="J80:J84" si="1">TRUNC(($J$33)*I80,2)</f>
        <v>4.6100000000000003</v>
      </c>
      <c r="L80" s="72" t="s">
        <v>164</v>
      </c>
      <c r="M80" s="72" t="s">
        <v>165</v>
      </c>
    </row>
    <row r="81" spans="2:13" ht="26" x14ac:dyDescent="0.35">
      <c r="B81" s="8" t="s">
        <v>3</v>
      </c>
      <c r="C81" s="183" t="s">
        <v>83</v>
      </c>
      <c r="D81" s="183"/>
      <c r="E81" s="183"/>
      <c r="F81" s="183"/>
      <c r="G81" s="183"/>
      <c r="H81" s="183"/>
      <c r="I81" s="13">
        <f>((5/30)/12)*1.5%</f>
        <v>2.0833333333333332E-4</v>
      </c>
      <c r="J81" s="6">
        <f t="shared" si="1"/>
        <v>0.34</v>
      </c>
      <c r="L81" s="72" t="s">
        <v>166</v>
      </c>
      <c r="M81" s="66" t="s">
        <v>167</v>
      </c>
    </row>
    <row r="82" spans="2:13" ht="26" x14ac:dyDescent="0.35">
      <c r="B82" s="8" t="s">
        <v>4</v>
      </c>
      <c r="C82" s="183" t="s">
        <v>84</v>
      </c>
      <c r="D82" s="183"/>
      <c r="E82" s="183"/>
      <c r="F82" s="183"/>
      <c r="G82" s="183"/>
      <c r="H82" s="183"/>
      <c r="I82" s="13">
        <f>((15/30)/12)*8%</f>
        <v>3.3333333333333331E-3</v>
      </c>
      <c r="J82" s="6">
        <f t="shared" si="1"/>
        <v>5.53</v>
      </c>
      <c r="L82" s="72" t="s">
        <v>168</v>
      </c>
      <c r="M82" s="66" t="s">
        <v>169</v>
      </c>
    </row>
    <row r="83" spans="2:13" ht="26" x14ac:dyDescent="0.35">
      <c r="B83" s="8" t="s">
        <v>13</v>
      </c>
      <c r="C83" s="183" t="s">
        <v>85</v>
      </c>
      <c r="D83" s="183"/>
      <c r="E83" s="183"/>
      <c r="F83" s="183"/>
      <c r="G83" s="183"/>
      <c r="H83" s="183"/>
      <c r="I83" s="13">
        <f>(((4*8.33%)+(4*2.78%))/12)*2%</f>
        <v>7.4066666666666671E-4</v>
      </c>
      <c r="J83" s="6">
        <f t="shared" si="1"/>
        <v>1.23</v>
      </c>
      <c r="L83" s="72" t="s">
        <v>170</v>
      </c>
      <c r="M83" s="66" t="s">
        <v>171</v>
      </c>
    </row>
    <row r="84" spans="2:13" x14ac:dyDescent="0.35">
      <c r="B84" s="54" t="s">
        <v>14</v>
      </c>
      <c r="C84" s="183" t="s">
        <v>86</v>
      </c>
      <c r="D84" s="183"/>
      <c r="E84" s="183"/>
      <c r="F84" s="183"/>
      <c r="G84" s="183"/>
      <c r="H84" s="183"/>
      <c r="I84" s="13">
        <v>0</v>
      </c>
      <c r="J84" s="6">
        <f t="shared" si="1"/>
        <v>0</v>
      </c>
    </row>
    <row r="85" spans="2:13" x14ac:dyDescent="0.35">
      <c r="B85" s="168" t="s">
        <v>87</v>
      </c>
      <c r="C85" s="168"/>
      <c r="D85" s="168"/>
      <c r="E85" s="168"/>
      <c r="F85" s="168"/>
      <c r="G85" s="168"/>
      <c r="H85" s="168"/>
      <c r="I85" s="15">
        <f>SUM(I79:I84)</f>
        <v>2.3263814814814817E-2</v>
      </c>
      <c r="J85" s="10">
        <f>SUM(J79:J84)</f>
        <v>38.629999999999995</v>
      </c>
    </row>
    <row r="86" spans="2:13" x14ac:dyDescent="0.35">
      <c r="B86" s="184"/>
      <c r="C86" s="185"/>
      <c r="D86" s="185"/>
      <c r="E86" s="185"/>
      <c r="F86" s="185"/>
      <c r="G86" s="185"/>
      <c r="H86" s="185"/>
      <c r="I86" s="185"/>
      <c r="J86" s="185"/>
    </row>
    <row r="87" spans="2:13" x14ac:dyDescent="0.35">
      <c r="B87" s="168" t="s">
        <v>88</v>
      </c>
      <c r="C87" s="168"/>
      <c r="D87" s="168"/>
      <c r="E87" s="168"/>
      <c r="F87" s="168"/>
      <c r="G87" s="168"/>
      <c r="H87" s="168"/>
      <c r="I87" s="54" t="s">
        <v>20</v>
      </c>
      <c r="J87" s="54" t="s">
        <v>38</v>
      </c>
    </row>
    <row r="88" spans="2:13" x14ac:dyDescent="0.35">
      <c r="B88" s="54" t="s">
        <v>1</v>
      </c>
      <c r="C88" s="186" t="s">
        <v>89</v>
      </c>
      <c r="D88" s="167"/>
      <c r="E88" s="167"/>
      <c r="F88" s="167"/>
      <c r="G88" s="167"/>
      <c r="H88" s="167"/>
      <c r="I88" s="13">
        <v>0</v>
      </c>
      <c r="J88" s="6">
        <v>0</v>
      </c>
    </row>
    <row r="89" spans="2:13" x14ac:dyDescent="0.35">
      <c r="B89" s="168" t="s">
        <v>90</v>
      </c>
      <c r="C89" s="168"/>
      <c r="D89" s="168"/>
      <c r="E89" s="168"/>
      <c r="F89" s="168"/>
      <c r="G89" s="168"/>
      <c r="H89" s="168"/>
      <c r="I89" s="15">
        <v>0</v>
      </c>
      <c r="J89" s="10">
        <v>0</v>
      </c>
    </row>
    <row r="90" spans="2:13" x14ac:dyDescent="0.35">
      <c r="B90" s="181"/>
      <c r="C90" s="182"/>
      <c r="D90" s="182"/>
      <c r="E90" s="182"/>
      <c r="F90" s="182"/>
      <c r="G90" s="182"/>
      <c r="H90" s="182"/>
      <c r="I90" s="182"/>
      <c r="J90" s="182"/>
    </row>
    <row r="91" spans="2:13" x14ac:dyDescent="0.35">
      <c r="B91" s="171" t="s">
        <v>91</v>
      </c>
      <c r="C91" s="171"/>
      <c r="D91" s="171"/>
      <c r="E91" s="171"/>
      <c r="F91" s="171"/>
      <c r="G91" s="171"/>
      <c r="H91" s="171"/>
      <c r="I91" s="171"/>
      <c r="J91" s="171"/>
    </row>
    <row r="92" spans="2:13" x14ac:dyDescent="0.35">
      <c r="B92" s="168" t="s">
        <v>92</v>
      </c>
      <c r="C92" s="168"/>
      <c r="D92" s="168"/>
      <c r="E92" s="168"/>
      <c r="F92" s="168"/>
      <c r="G92" s="168"/>
      <c r="H92" s="168"/>
      <c r="I92" s="168"/>
      <c r="J92" s="54" t="s">
        <v>38</v>
      </c>
    </row>
    <row r="93" spans="2:13" x14ac:dyDescent="0.35">
      <c r="B93" s="54" t="s">
        <v>19</v>
      </c>
      <c r="C93" s="167" t="s">
        <v>93</v>
      </c>
      <c r="D93" s="167"/>
      <c r="E93" s="167"/>
      <c r="F93" s="167"/>
      <c r="G93" s="167"/>
      <c r="H93" s="167"/>
      <c r="I93" s="167"/>
      <c r="J93" s="6">
        <f>J85</f>
        <v>38.629999999999995</v>
      </c>
    </row>
    <row r="94" spans="2:13" x14ac:dyDescent="0.35">
      <c r="B94" s="8" t="s">
        <v>21</v>
      </c>
      <c r="C94" s="167" t="s">
        <v>94</v>
      </c>
      <c r="D94" s="167"/>
      <c r="E94" s="167"/>
      <c r="F94" s="167"/>
      <c r="G94" s="167"/>
      <c r="H94" s="167"/>
      <c r="I94" s="167"/>
      <c r="J94" s="17">
        <f>J89</f>
        <v>0</v>
      </c>
    </row>
    <row r="95" spans="2:13" x14ac:dyDescent="0.35">
      <c r="B95" s="168" t="s">
        <v>95</v>
      </c>
      <c r="C95" s="168"/>
      <c r="D95" s="168"/>
      <c r="E95" s="168"/>
      <c r="F95" s="168"/>
      <c r="G95" s="168"/>
      <c r="H95" s="168"/>
      <c r="I95" s="168"/>
      <c r="J95" s="18">
        <f>SUM(J93:J94)</f>
        <v>38.629999999999995</v>
      </c>
    </row>
    <row r="96" spans="2:13" x14ac:dyDescent="0.35">
      <c r="B96" s="178"/>
      <c r="C96" s="179"/>
      <c r="D96" s="179"/>
      <c r="E96" s="179"/>
      <c r="F96" s="179"/>
      <c r="G96" s="179"/>
      <c r="H96" s="179"/>
      <c r="I96" s="179"/>
      <c r="J96" s="179"/>
    </row>
    <row r="97" spans="2:13" x14ac:dyDescent="0.35">
      <c r="B97" s="180" t="s">
        <v>96</v>
      </c>
      <c r="C97" s="180"/>
      <c r="D97" s="180"/>
      <c r="E97" s="180"/>
      <c r="F97" s="180"/>
      <c r="G97" s="180"/>
      <c r="H97" s="180"/>
      <c r="I97" s="180"/>
      <c r="J97" s="180"/>
    </row>
    <row r="98" spans="2:13" x14ac:dyDescent="0.35">
      <c r="B98" s="54">
        <v>5</v>
      </c>
      <c r="C98" s="168" t="s">
        <v>97</v>
      </c>
      <c r="D98" s="168"/>
      <c r="E98" s="168"/>
      <c r="F98" s="168"/>
      <c r="G98" s="168"/>
      <c r="H98" s="168"/>
      <c r="I98" s="54"/>
      <c r="J98" s="54" t="s">
        <v>38</v>
      </c>
      <c r="L98" s="63" t="s">
        <v>140</v>
      </c>
      <c r="M98" s="63" t="s">
        <v>141</v>
      </c>
    </row>
    <row r="99" spans="2:13" x14ac:dyDescent="0.35">
      <c r="B99" s="54" t="s">
        <v>1</v>
      </c>
      <c r="C99" s="177" t="s">
        <v>124</v>
      </c>
      <c r="D99" s="177"/>
      <c r="E99" s="177"/>
      <c r="F99" s="177"/>
      <c r="G99" s="177"/>
      <c r="H99" s="177"/>
      <c r="I99" s="13">
        <v>1.4500000000000001E-2</v>
      </c>
      <c r="J99" s="6">
        <f>($J$33+$J$66+$J$75+$J$95)*I99</f>
        <v>51.792405000000016</v>
      </c>
      <c r="L99" s="71" t="s">
        <v>185</v>
      </c>
      <c r="M99" s="64"/>
    </row>
    <row r="100" spans="2:13" x14ac:dyDescent="0.35">
      <c r="B100" s="54" t="s">
        <v>2</v>
      </c>
      <c r="C100" s="177" t="s">
        <v>125</v>
      </c>
      <c r="D100" s="177"/>
      <c r="E100" s="177"/>
      <c r="F100" s="177"/>
      <c r="G100" s="177"/>
      <c r="H100" s="177"/>
      <c r="I100" s="13">
        <v>0.12</v>
      </c>
      <c r="J100" s="6">
        <f>(($J$33+$J$66+$J$75+$J$95+J99)*I100)*(1-9.25%)</f>
        <v>394.61901390450009</v>
      </c>
      <c r="L100" s="71" t="s">
        <v>185</v>
      </c>
      <c r="M100" s="64"/>
    </row>
    <row r="101" spans="2:13" x14ac:dyDescent="0.35">
      <c r="B101" s="58" t="s">
        <v>3</v>
      </c>
      <c r="C101" s="177" t="s">
        <v>98</v>
      </c>
      <c r="D101" s="177"/>
      <c r="E101" s="177"/>
      <c r="F101" s="177"/>
      <c r="G101" s="177"/>
      <c r="H101" s="177"/>
      <c r="I101" s="60" t="s">
        <v>60</v>
      </c>
      <c r="J101" s="6">
        <v>0</v>
      </c>
    </row>
    <row r="102" spans="2:13" x14ac:dyDescent="0.35">
      <c r="B102" s="58" t="s">
        <v>4</v>
      </c>
      <c r="C102" s="177" t="s">
        <v>17</v>
      </c>
      <c r="D102" s="177"/>
      <c r="E102" s="177"/>
      <c r="F102" s="177"/>
      <c r="G102" s="177"/>
      <c r="H102" s="177"/>
      <c r="I102" s="60" t="s">
        <v>60</v>
      </c>
      <c r="J102" s="6">
        <v>0</v>
      </c>
    </row>
    <row r="103" spans="2:13" x14ac:dyDescent="0.35">
      <c r="B103" s="168" t="s">
        <v>99</v>
      </c>
      <c r="C103" s="168"/>
      <c r="D103" s="168"/>
      <c r="E103" s="168"/>
      <c r="F103" s="168"/>
      <c r="G103" s="168"/>
      <c r="H103" s="168"/>
      <c r="I103" s="15" t="s">
        <v>60</v>
      </c>
      <c r="J103" s="10">
        <f>SUM(J99:J102)</f>
        <v>446.41141890450012</v>
      </c>
    </row>
    <row r="104" spans="2:13" x14ac:dyDescent="0.35">
      <c r="B104" s="178"/>
      <c r="C104" s="179"/>
      <c r="D104" s="179"/>
      <c r="E104" s="179"/>
      <c r="F104" s="179"/>
      <c r="G104" s="179"/>
      <c r="H104" s="179"/>
      <c r="I104" s="179"/>
      <c r="J104" s="179"/>
    </row>
    <row r="105" spans="2:13" x14ac:dyDescent="0.35">
      <c r="B105" s="180" t="s">
        <v>100</v>
      </c>
      <c r="C105" s="180"/>
      <c r="D105" s="180"/>
      <c r="E105" s="180"/>
      <c r="F105" s="180"/>
      <c r="G105" s="180"/>
      <c r="H105" s="180"/>
      <c r="I105" s="180"/>
      <c r="J105" s="180"/>
    </row>
    <row r="106" spans="2:13" x14ac:dyDescent="0.35">
      <c r="B106" s="54">
        <v>6</v>
      </c>
      <c r="C106" s="168" t="s">
        <v>101</v>
      </c>
      <c r="D106" s="168"/>
      <c r="E106" s="168"/>
      <c r="F106" s="168"/>
      <c r="G106" s="168"/>
      <c r="H106" s="168"/>
      <c r="I106" s="54" t="s">
        <v>20</v>
      </c>
      <c r="J106" s="54" t="s">
        <v>38</v>
      </c>
      <c r="L106" s="63" t="s">
        <v>140</v>
      </c>
      <c r="M106" s="63" t="s">
        <v>141</v>
      </c>
    </row>
    <row r="107" spans="2:13" x14ac:dyDescent="0.35">
      <c r="B107" s="54" t="s">
        <v>1</v>
      </c>
      <c r="C107" s="167" t="s">
        <v>102</v>
      </c>
      <c r="D107" s="167"/>
      <c r="E107" s="167"/>
      <c r="F107" s="167"/>
      <c r="G107" s="167"/>
      <c r="H107" s="167"/>
      <c r="I107" s="21">
        <v>0.03</v>
      </c>
      <c r="J107" s="6">
        <f>TRUNC(((J131)*I107),2)</f>
        <v>120.54</v>
      </c>
      <c r="L107" s="71"/>
      <c r="M107" s="71" t="s">
        <v>172</v>
      </c>
    </row>
    <row r="108" spans="2:13" x14ac:dyDescent="0.35">
      <c r="B108" s="8" t="s">
        <v>2</v>
      </c>
      <c r="C108" s="167" t="s">
        <v>103</v>
      </c>
      <c r="D108" s="167"/>
      <c r="E108" s="167"/>
      <c r="F108" s="167"/>
      <c r="G108" s="167"/>
      <c r="H108" s="167"/>
      <c r="I108" s="21">
        <v>0.06</v>
      </c>
      <c r="J108" s="6">
        <f>TRUNC(((J131+J107)*I108),2)</f>
        <v>248.33</v>
      </c>
      <c r="L108" s="71"/>
      <c r="M108" s="71" t="s">
        <v>173</v>
      </c>
    </row>
    <row r="109" spans="2:13" x14ac:dyDescent="0.35">
      <c r="B109" s="54" t="s">
        <v>3</v>
      </c>
      <c r="C109" s="176" t="s">
        <v>104</v>
      </c>
      <c r="D109" s="176"/>
      <c r="E109" s="176"/>
      <c r="F109" s="176"/>
      <c r="G109" s="176"/>
      <c r="H109" s="176"/>
      <c r="I109" s="7"/>
      <c r="J109" s="22"/>
      <c r="L109" s="75"/>
      <c r="M109" s="75"/>
    </row>
    <row r="110" spans="2:13" x14ac:dyDescent="0.35">
      <c r="B110" s="8" t="s">
        <v>105</v>
      </c>
      <c r="C110" s="167" t="s">
        <v>106</v>
      </c>
      <c r="D110" s="167"/>
      <c r="E110" s="167"/>
      <c r="F110" s="167"/>
      <c r="G110" s="167"/>
      <c r="H110" s="167"/>
      <c r="I110" s="23">
        <v>1.6500000000000001E-2</v>
      </c>
      <c r="J110" s="17">
        <f>TRUNC(I110*((J131+J107+J108)/(1-I115)),2)</f>
        <v>82.49</v>
      </c>
      <c r="L110" s="71"/>
      <c r="M110" s="71" t="s">
        <v>174</v>
      </c>
    </row>
    <row r="111" spans="2:13" x14ac:dyDescent="0.35">
      <c r="B111" s="8" t="s">
        <v>107</v>
      </c>
      <c r="C111" s="167" t="s">
        <v>108</v>
      </c>
      <c r="D111" s="167"/>
      <c r="E111" s="167"/>
      <c r="F111" s="167"/>
      <c r="G111" s="167"/>
      <c r="H111" s="167"/>
      <c r="I111" s="23">
        <v>7.5999999999999998E-2</v>
      </c>
      <c r="J111" s="17">
        <f>TRUNC(I111*(J131+J107+J108)/(1-I115),2)</f>
        <v>379.97</v>
      </c>
      <c r="L111" s="71"/>
      <c r="M111" s="71" t="s">
        <v>175</v>
      </c>
    </row>
    <row r="112" spans="2:13" x14ac:dyDescent="0.35">
      <c r="B112" s="8" t="s">
        <v>109</v>
      </c>
      <c r="C112" s="167" t="s">
        <v>110</v>
      </c>
      <c r="D112" s="167"/>
      <c r="E112" s="167"/>
      <c r="F112" s="167"/>
      <c r="G112" s="167"/>
      <c r="H112" s="167"/>
      <c r="I112" s="148">
        <v>0.03</v>
      </c>
      <c r="J112" s="17">
        <f>TRUNC(I112*(J131+J107+J108)/(1-I115),2)</f>
        <v>149.97999999999999</v>
      </c>
      <c r="L112" s="76"/>
      <c r="M112" s="76" t="s">
        <v>176</v>
      </c>
    </row>
    <row r="113" spans="2:13" x14ac:dyDescent="0.35">
      <c r="B113" s="168" t="s">
        <v>111</v>
      </c>
      <c r="C113" s="168"/>
      <c r="D113" s="168"/>
      <c r="E113" s="168"/>
      <c r="F113" s="168"/>
      <c r="G113" s="168"/>
      <c r="H113" s="168"/>
      <c r="I113" s="23">
        <f>SUM(I107:I112)</f>
        <v>0.21249999999999999</v>
      </c>
      <c r="J113" s="18">
        <f>SUM(J107:J112)</f>
        <v>981.31000000000006</v>
      </c>
    </row>
    <row r="114" spans="2:13" x14ac:dyDescent="0.35">
      <c r="B114" s="61"/>
      <c r="C114" s="172"/>
      <c r="D114" s="172"/>
      <c r="E114" s="172"/>
      <c r="F114" s="172"/>
      <c r="G114" s="172"/>
      <c r="H114" s="172"/>
      <c r="I114" s="172"/>
      <c r="J114" s="172"/>
      <c r="L114" s="75"/>
      <c r="M114" s="75"/>
    </row>
    <row r="115" spans="2:13" x14ac:dyDescent="0.35">
      <c r="B115" s="24" t="s">
        <v>112</v>
      </c>
      <c r="C115" s="173" t="s">
        <v>113</v>
      </c>
      <c r="D115" s="173"/>
      <c r="E115" s="173"/>
      <c r="F115" s="173"/>
      <c r="G115" s="173"/>
      <c r="H115" s="173"/>
      <c r="I115" s="25">
        <f>I110+I111+I112</f>
        <v>0.1225</v>
      </c>
      <c r="J115" s="26"/>
    </row>
    <row r="116" spans="2:13" x14ac:dyDescent="0.35">
      <c r="B116" s="27"/>
      <c r="C116" s="174">
        <v>100</v>
      </c>
      <c r="D116" s="175"/>
      <c r="E116" s="175"/>
      <c r="F116" s="175"/>
      <c r="G116" s="175"/>
      <c r="H116" s="175"/>
      <c r="I116" s="28"/>
      <c r="J116" s="29"/>
    </row>
    <row r="117" spans="2:13" x14ac:dyDescent="0.35">
      <c r="B117" s="30"/>
      <c r="C117" s="56"/>
      <c r="D117" s="56"/>
      <c r="E117" s="56"/>
      <c r="F117" s="56"/>
      <c r="G117" s="56"/>
      <c r="H117" s="56"/>
      <c r="I117" s="28"/>
      <c r="J117" s="29"/>
    </row>
    <row r="118" spans="2:13" x14ac:dyDescent="0.35">
      <c r="B118" s="27" t="s">
        <v>114</v>
      </c>
      <c r="C118" s="175" t="s">
        <v>115</v>
      </c>
      <c r="D118" s="175"/>
      <c r="E118" s="175"/>
      <c r="F118" s="175"/>
      <c r="G118" s="175"/>
      <c r="H118" s="175"/>
      <c r="I118" s="28"/>
      <c r="J118" s="29">
        <f>J33+J66+J75+J95+J103+J107+J108</f>
        <v>4387.1714189045006</v>
      </c>
    </row>
    <row r="119" spans="2:13" x14ac:dyDescent="0.35">
      <c r="B119" s="27"/>
      <c r="C119" s="56"/>
      <c r="D119" s="56"/>
      <c r="E119" s="56"/>
      <c r="F119" s="56"/>
      <c r="G119" s="56"/>
      <c r="H119" s="56"/>
      <c r="I119" s="28"/>
      <c r="J119" s="29"/>
    </row>
    <row r="120" spans="2:13" x14ac:dyDescent="0.35">
      <c r="B120" s="27" t="s">
        <v>116</v>
      </c>
      <c r="C120" s="175" t="s">
        <v>117</v>
      </c>
      <c r="D120" s="175"/>
      <c r="E120" s="175"/>
      <c r="F120" s="175"/>
      <c r="G120" s="175"/>
      <c r="H120" s="175"/>
      <c r="I120" s="28"/>
      <c r="J120" s="29">
        <f>TRUNC(J118/(1-I115),2)</f>
        <v>4999.62</v>
      </c>
    </row>
    <row r="121" spans="2:13" x14ac:dyDescent="0.35">
      <c r="B121" s="27"/>
      <c r="C121" s="56"/>
      <c r="D121" s="56"/>
      <c r="E121" s="56"/>
      <c r="F121" s="56"/>
      <c r="G121" s="56"/>
      <c r="H121" s="56"/>
      <c r="I121" s="28"/>
      <c r="J121" s="29"/>
    </row>
    <row r="122" spans="2:13" x14ac:dyDescent="0.35">
      <c r="B122" s="32"/>
      <c r="C122" s="170" t="s">
        <v>118</v>
      </c>
      <c r="D122" s="170"/>
      <c r="E122" s="170"/>
      <c r="F122" s="170"/>
      <c r="G122" s="170"/>
      <c r="H122" s="170"/>
      <c r="I122" s="33"/>
      <c r="J122" s="34">
        <f>J120-J118</f>
        <v>612.44858109549932</v>
      </c>
    </row>
    <row r="123" spans="2:13" x14ac:dyDescent="0.35">
      <c r="B123" s="61"/>
      <c r="C123" s="61"/>
      <c r="D123" s="61"/>
      <c r="E123" s="61"/>
      <c r="F123" s="61"/>
      <c r="G123" s="61"/>
      <c r="H123" s="61"/>
      <c r="I123" s="61"/>
      <c r="J123" s="35"/>
    </row>
    <row r="124" spans="2:13" x14ac:dyDescent="0.35">
      <c r="B124" s="171" t="s">
        <v>119</v>
      </c>
      <c r="C124" s="171"/>
      <c r="D124" s="171"/>
      <c r="E124" s="171"/>
      <c r="F124" s="171"/>
      <c r="G124" s="171"/>
      <c r="H124" s="171"/>
      <c r="I124" s="171"/>
      <c r="J124" s="171"/>
    </row>
    <row r="125" spans="2:13" x14ac:dyDescent="0.35">
      <c r="B125" s="168" t="s">
        <v>120</v>
      </c>
      <c r="C125" s="168"/>
      <c r="D125" s="168"/>
      <c r="E125" s="168"/>
      <c r="F125" s="168"/>
      <c r="G125" s="168"/>
      <c r="H125" s="168"/>
      <c r="I125" s="168"/>
      <c r="J125" s="54" t="s">
        <v>38</v>
      </c>
    </row>
    <row r="126" spans="2:13" x14ac:dyDescent="0.35">
      <c r="B126" s="60" t="s">
        <v>1</v>
      </c>
      <c r="C126" s="167" t="s">
        <v>36</v>
      </c>
      <c r="D126" s="167"/>
      <c r="E126" s="167"/>
      <c r="F126" s="167"/>
      <c r="G126" s="167"/>
      <c r="H126" s="167"/>
      <c r="I126" s="167"/>
      <c r="J126" s="6">
        <f>J33</f>
        <v>1661.5600000000002</v>
      </c>
    </row>
    <row r="127" spans="2:13" x14ac:dyDescent="0.35">
      <c r="B127" s="36" t="s">
        <v>2</v>
      </c>
      <c r="C127" s="167" t="s">
        <v>44</v>
      </c>
      <c r="D127" s="167"/>
      <c r="E127" s="167"/>
      <c r="F127" s="167"/>
      <c r="G127" s="167"/>
      <c r="H127" s="167"/>
      <c r="I127" s="167"/>
      <c r="J127" s="17">
        <f>J66</f>
        <v>1753.5900000000001</v>
      </c>
    </row>
    <row r="128" spans="2:13" x14ac:dyDescent="0.35">
      <c r="B128" s="36" t="s">
        <v>3</v>
      </c>
      <c r="C128" s="167" t="s">
        <v>72</v>
      </c>
      <c r="D128" s="167"/>
      <c r="E128" s="167"/>
      <c r="F128" s="167"/>
      <c r="G128" s="167"/>
      <c r="H128" s="167"/>
      <c r="I128" s="167"/>
      <c r="J128" s="17">
        <f>J75</f>
        <v>118.10999999999999</v>
      </c>
    </row>
    <row r="129" spans="2:12" x14ac:dyDescent="0.35">
      <c r="B129" s="60" t="s">
        <v>4</v>
      </c>
      <c r="C129" s="167" t="s">
        <v>79</v>
      </c>
      <c r="D129" s="167"/>
      <c r="E129" s="167"/>
      <c r="F129" s="167"/>
      <c r="G129" s="167"/>
      <c r="H129" s="167"/>
      <c r="I129" s="167"/>
      <c r="J129" s="17">
        <f>J95</f>
        <v>38.629999999999995</v>
      </c>
    </row>
    <row r="130" spans="2:12" x14ac:dyDescent="0.35">
      <c r="B130" s="36" t="s">
        <v>13</v>
      </c>
      <c r="C130" s="167" t="s">
        <v>96</v>
      </c>
      <c r="D130" s="167"/>
      <c r="E130" s="167"/>
      <c r="F130" s="167"/>
      <c r="G130" s="167"/>
      <c r="H130" s="167"/>
      <c r="I130" s="167"/>
      <c r="J130" s="17">
        <f>J103</f>
        <v>446.41141890450012</v>
      </c>
    </row>
    <row r="131" spans="2:12" x14ac:dyDescent="0.35">
      <c r="B131" s="8"/>
      <c r="C131" s="168" t="s">
        <v>121</v>
      </c>
      <c r="D131" s="168"/>
      <c r="E131" s="168"/>
      <c r="F131" s="168"/>
      <c r="G131" s="168"/>
      <c r="H131" s="168"/>
      <c r="I131" s="168"/>
      <c r="J131" s="18">
        <f>SUM(J126:J130)</f>
        <v>4018.3014189045007</v>
      </c>
    </row>
    <row r="132" spans="2:12" x14ac:dyDescent="0.35">
      <c r="B132" s="60" t="s">
        <v>14</v>
      </c>
      <c r="C132" s="167" t="s">
        <v>100</v>
      </c>
      <c r="D132" s="167"/>
      <c r="E132" s="167"/>
      <c r="F132" s="167"/>
      <c r="G132" s="167"/>
      <c r="H132" s="167"/>
      <c r="I132" s="167"/>
      <c r="J132" s="6">
        <f>J113</f>
        <v>981.31000000000006</v>
      </c>
    </row>
    <row r="133" spans="2:12" ht="18" x14ac:dyDescent="0.35">
      <c r="B133" s="169" t="s">
        <v>122</v>
      </c>
      <c r="C133" s="169"/>
      <c r="D133" s="169"/>
      <c r="E133" s="169"/>
      <c r="F133" s="169"/>
      <c r="G133" s="169"/>
      <c r="H133" s="169"/>
      <c r="I133" s="169"/>
      <c r="J133" s="37">
        <f>TRUNC(J131+J132,2)</f>
        <v>4999.6099999999997</v>
      </c>
      <c r="L133" s="143">
        <f>J133-Servente!J133</f>
        <v>675.19999999999982</v>
      </c>
    </row>
    <row r="134" spans="2:12" x14ac:dyDescent="0.35">
      <c r="B134" s="38"/>
      <c r="C134" s="38"/>
      <c r="D134" s="38"/>
      <c r="E134" s="38"/>
      <c r="F134" s="38"/>
      <c r="G134" s="38"/>
      <c r="H134" s="38"/>
      <c r="I134" s="38"/>
      <c r="J134" s="39"/>
    </row>
    <row r="135" spans="2:12" x14ac:dyDescent="0.35">
      <c r="B135" s="38"/>
      <c r="C135" s="38"/>
      <c r="D135" s="38"/>
      <c r="E135" s="38"/>
      <c r="F135" s="38"/>
      <c r="G135" s="38"/>
      <c r="H135" s="38"/>
      <c r="I135" s="38"/>
      <c r="J135" s="38"/>
    </row>
    <row r="136" spans="2:12" x14ac:dyDescent="0.35">
      <c r="B136" s="47" t="s">
        <v>129</v>
      </c>
      <c r="C136" s="48">
        <f>J133/J33</f>
        <v>3.0089855316690333</v>
      </c>
      <c r="D136" s="38"/>
      <c r="E136" s="38"/>
      <c r="F136" s="38"/>
      <c r="G136" s="38"/>
      <c r="H136" s="38"/>
      <c r="I136" s="38"/>
      <c r="J136" s="38"/>
    </row>
    <row r="137" spans="2:12" x14ac:dyDescent="0.35">
      <c r="B137" s="40"/>
      <c r="C137" s="40"/>
      <c r="D137" s="41"/>
    </row>
    <row r="138" spans="2:12" x14ac:dyDescent="0.35">
      <c r="B138" s="42"/>
      <c r="C138" s="38"/>
      <c r="D138" s="38"/>
    </row>
    <row r="139" spans="2:12" x14ac:dyDescent="0.35">
      <c r="B139" s="42"/>
      <c r="C139" s="38"/>
      <c r="D139" s="38"/>
    </row>
  </sheetData>
  <mergeCells count="139">
    <mergeCell ref="B1:J1"/>
    <mergeCell ref="B2:J2"/>
    <mergeCell ref="B3:J3"/>
    <mergeCell ref="B4:J4"/>
    <mergeCell ref="B5:J5"/>
    <mergeCell ref="B6:J6"/>
    <mergeCell ref="C11:H11"/>
    <mergeCell ref="I11:J11"/>
    <mergeCell ref="C12:H12"/>
    <mergeCell ref="I12:J12"/>
    <mergeCell ref="B14:J14"/>
    <mergeCell ref="B15:C15"/>
    <mergeCell ref="D15:E15"/>
    <mergeCell ref="F15:J15"/>
    <mergeCell ref="B7:J7"/>
    <mergeCell ref="B8:J8"/>
    <mergeCell ref="C9:H9"/>
    <mergeCell ref="I9:J9"/>
    <mergeCell ref="C10:H10"/>
    <mergeCell ref="I10:J10"/>
    <mergeCell ref="C20:H20"/>
    <mergeCell ref="I20:J20"/>
    <mergeCell ref="C21:H21"/>
    <mergeCell ref="I21:J21"/>
    <mergeCell ref="C22:H22"/>
    <mergeCell ref="I22:J22"/>
    <mergeCell ref="B16:C16"/>
    <mergeCell ref="D16:E16"/>
    <mergeCell ref="F16:J16"/>
    <mergeCell ref="B18:J18"/>
    <mergeCell ref="C19:H19"/>
    <mergeCell ref="I19:J19"/>
    <mergeCell ref="C28:H28"/>
    <mergeCell ref="C29:H29"/>
    <mergeCell ref="C30:H30"/>
    <mergeCell ref="C31:H31"/>
    <mergeCell ref="C32:H32"/>
    <mergeCell ref="B33:I33"/>
    <mergeCell ref="C23:H23"/>
    <mergeCell ref="I23:J23"/>
    <mergeCell ref="B24:J24"/>
    <mergeCell ref="B25:J25"/>
    <mergeCell ref="C26:H26"/>
    <mergeCell ref="C27:H27"/>
    <mergeCell ref="B41:H41"/>
    <mergeCell ref="C42:H42"/>
    <mergeCell ref="C43:H43"/>
    <mergeCell ref="C44:H44"/>
    <mergeCell ref="C45:H45"/>
    <mergeCell ref="C46:H46"/>
    <mergeCell ref="B35:J35"/>
    <mergeCell ref="B36:H36"/>
    <mergeCell ref="C37:H37"/>
    <mergeCell ref="C38:H38"/>
    <mergeCell ref="B39:H39"/>
    <mergeCell ref="B40:J40"/>
    <mergeCell ref="C53:H53"/>
    <mergeCell ref="C54:H54"/>
    <mergeCell ref="C55:H55"/>
    <mergeCell ref="C56:H56"/>
    <mergeCell ref="C57:H57"/>
    <mergeCell ref="C58:H58"/>
    <mergeCell ref="C47:H47"/>
    <mergeCell ref="C48:H48"/>
    <mergeCell ref="C49:H49"/>
    <mergeCell ref="B50:H50"/>
    <mergeCell ref="B51:J51"/>
    <mergeCell ref="B52:H52"/>
    <mergeCell ref="C65:I65"/>
    <mergeCell ref="B66:I66"/>
    <mergeCell ref="B67:J67"/>
    <mergeCell ref="B68:J68"/>
    <mergeCell ref="C69:H69"/>
    <mergeCell ref="C70:H70"/>
    <mergeCell ref="B59:I59"/>
    <mergeCell ref="B60:J60"/>
    <mergeCell ref="B61:J61"/>
    <mergeCell ref="B62:I62"/>
    <mergeCell ref="C63:I63"/>
    <mergeCell ref="C64:I64"/>
    <mergeCell ref="B77:J77"/>
    <mergeCell ref="B78:H78"/>
    <mergeCell ref="C79:H79"/>
    <mergeCell ref="C80:H80"/>
    <mergeCell ref="C81:H81"/>
    <mergeCell ref="C82:H82"/>
    <mergeCell ref="C71:H71"/>
    <mergeCell ref="C72:H72"/>
    <mergeCell ref="C73:H73"/>
    <mergeCell ref="C74:H74"/>
    <mergeCell ref="B75:H75"/>
    <mergeCell ref="B76:J76"/>
    <mergeCell ref="B89:H89"/>
    <mergeCell ref="B90:J90"/>
    <mergeCell ref="B91:J91"/>
    <mergeCell ref="B92:I92"/>
    <mergeCell ref="C93:I93"/>
    <mergeCell ref="C94:I94"/>
    <mergeCell ref="C83:H83"/>
    <mergeCell ref="C84:H84"/>
    <mergeCell ref="B85:H85"/>
    <mergeCell ref="B86:J86"/>
    <mergeCell ref="B87:H87"/>
    <mergeCell ref="C88:H88"/>
    <mergeCell ref="C101:H101"/>
    <mergeCell ref="C102:H102"/>
    <mergeCell ref="B103:H103"/>
    <mergeCell ref="B104:J104"/>
    <mergeCell ref="B105:J105"/>
    <mergeCell ref="C106:H106"/>
    <mergeCell ref="B95:I95"/>
    <mergeCell ref="B96:J96"/>
    <mergeCell ref="B97:J97"/>
    <mergeCell ref="C98:H98"/>
    <mergeCell ref="C99:H99"/>
    <mergeCell ref="C100:H100"/>
    <mergeCell ref="B113:H113"/>
    <mergeCell ref="C114:J114"/>
    <mergeCell ref="C115:H115"/>
    <mergeCell ref="C116:H116"/>
    <mergeCell ref="C118:H118"/>
    <mergeCell ref="C120:H120"/>
    <mergeCell ref="C107:H107"/>
    <mergeCell ref="C108:H108"/>
    <mergeCell ref="C109:H109"/>
    <mergeCell ref="C110:H110"/>
    <mergeCell ref="C111:H111"/>
    <mergeCell ref="C112:H112"/>
    <mergeCell ref="C129:I129"/>
    <mergeCell ref="C130:I130"/>
    <mergeCell ref="C131:I131"/>
    <mergeCell ref="C132:I132"/>
    <mergeCell ref="B133:I133"/>
    <mergeCell ref="C122:H122"/>
    <mergeCell ref="B124:J124"/>
    <mergeCell ref="B125:I125"/>
    <mergeCell ref="C126:I126"/>
    <mergeCell ref="C127:I127"/>
    <mergeCell ref="C128:I128"/>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A0940-D896-459D-8CFD-D156E1663EFB}">
  <dimension ref="A1:K23"/>
  <sheetViews>
    <sheetView showGridLines="0" topLeftCell="A10" zoomScale="80" zoomScaleNormal="80" workbookViewId="0">
      <selection activeCell="B1" sqref="B1:I1"/>
    </sheetView>
  </sheetViews>
  <sheetFormatPr defaultColWidth="9.1796875" defaultRowHeight="13" x14ac:dyDescent="0.35"/>
  <cols>
    <col min="1" max="1" width="5.7265625" style="79" customWidth="1"/>
    <col min="2" max="2" width="38.26953125" style="79" bestFit="1" customWidth="1"/>
    <col min="3" max="3" width="13.7265625" style="79" customWidth="1"/>
    <col min="4" max="4" width="18.54296875" style="79" bestFit="1" customWidth="1"/>
    <col min="5" max="5" width="17.54296875" style="79" customWidth="1"/>
    <col min="6" max="6" width="18.81640625" style="79" customWidth="1"/>
    <col min="7" max="7" width="16.26953125" style="79" bestFit="1" customWidth="1"/>
    <col min="8" max="8" width="20.26953125" style="79" bestFit="1" customWidth="1"/>
    <col min="9" max="9" width="20.26953125" style="79" customWidth="1"/>
    <col min="10" max="11" width="20.26953125" style="79" bestFit="1" customWidth="1"/>
    <col min="12" max="12" width="26" style="79" bestFit="1" customWidth="1"/>
    <col min="13" max="16384" width="9.1796875" style="79"/>
  </cols>
  <sheetData>
    <row r="1" spans="1:11" ht="20.149999999999999" customHeight="1" x14ac:dyDescent="0.35">
      <c r="B1" s="210" t="s">
        <v>219</v>
      </c>
      <c r="C1" s="210"/>
      <c r="D1" s="210"/>
      <c r="E1" s="210"/>
      <c r="F1" s="210"/>
      <c r="G1" s="210"/>
      <c r="H1" s="210"/>
      <c r="I1" s="210"/>
      <c r="J1" s="149"/>
      <c r="K1" s="149"/>
    </row>
    <row r="2" spans="1:11" ht="80.5" customHeight="1" thickBot="1" x14ac:dyDescent="0.4">
      <c r="A2" s="45"/>
      <c r="B2" s="88" t="s">
        <v>23</v>
      </c>
      <c r="C2" s="89" t="s">
        <v>128</v>
      </c>
      <c r="D2" s="89" t="s">
        <v>213</v>
      </c>
      <c r="E2" s="89" t="s">
        <v>215</v>
      </c>
      <c r="F2" s="89" t="s">
        <v>214</v>
      </c>
      <c r="G2" s="89" t="s">
        <v>224</v>
      </c>
      <c r="H2" s="89" t="s">
        <v>225</v>
      </c>
      <c r="I2" s="89" t="s">
        <v>226</v>
      </c>
    </row>
    <row r="3" spans="1:11" ht="30" customHeight="1" thickTop="1" thickBot="1" x14ac:dyDescent="0.4">
      <c r="A3" s="209"/>
      <c r="B3" s="93" t="s">
        <v>201</v>
      </c>
      <c r="C3" s="97">
        <f>2618.41-C4-C5-C6</f>
        <v>1870.0399999999997</v>
      </c>
      <c r="D3" s="94">
        <v>800</v>
      </c>
      <c r="E3" s="90">
        <f t="shared" ref="E3:E7" si="0">(F3+D3)/2</f>
        <v>1000</v>
      </c>
      <c r="F3" s="94">
        <v>1200</v>
      </c>
      <c r="G3" s="94">
        <f>TRUNC((800*C3)/D3,2)</f>
        <v>1870.04</v>
      </c>
      <c r="H3" s="90">
        <f>TRUNC((800*C3)/E3,2)</f>
        <v>1496.03</v>
      </c>
      <c r="I3" s="94">
        <f>TRUNC((800*C3)/F3,2)</f>
        <v>1246.69</v>
      </c>
    </row>
    <row r="4" spans="1:11" ht="30" customHeight="1" thickTop="1" thickBot="1" x14ac:dyDescent="0.4">
      <c r="A4" s="209"/>
      <c r="B4" s="142" t="s">
        <v>293</v>
      </c>
      <c r="C4" s="97">
        <v>57.3</v>
      </c>
      <c r="D4" s="94">
        <v>1500</v>
      </c>
      <c r="E4" s="90">
        <f t="shared" si="0"/>
        <v>2000</v>
      </c>
      <c r="F4" s="94">
        <v>2500</v>
      </c>
      <c r="G4" s="94">
        <f>TRUNC((800*C4)/(D4*7),2)</f>
        <v>4.3600000000000003</v>
      </c>
      <c r="H4" s="94">
        <f>TRUNC((800*C4)/(E4*7),2)</f>
        <v>3.27</v>
      </c>
      <c r="I4" s="94">
        <f>TRUNC((800*C4)/(F4*7),2)</f>
        <v>2.61</v>
      </c>
    </row>
    <row r="5" spans="1:11" ht="30" customHeight="1" thickTop="1" thickBot="1" x14ac:dyDescent="0.4">
      <c r="A5" s="209"/>
      <c r="B5" s="142" t="s">
        <v>294</v>
      </c>
      <c r="C5" s="97">
        <v>427.6</v>
      </c>
      <c r="D5" s="94">
        <v>1000</v>
      </c>
      <c r="E5" s="90">
        <f t="shared" ref="E5" si="1">(F5+D5)/2</f>
        <v>1250</v>
      </c>
      <c r="F5" s="94">
        <v>1500</v>
      </c>
      <c r="G5" s="94">
        <f>TRUNC((800*C5)/D5,2)</f>
        <v>342.08</v>
      </c>
      <c r="H5" s="90">
        <f>TRUNC((800*C5)/E5,2)</f>
        <v>273.66000000000003</v>
      </c>
      <c r="I5" s="94">
        <f>TRUNC((800*C5)/F5,2)</f>
        <v>228.05</v>
      </c>
    </row>
    <row r="6" spans="1:11" ht="30" customHeight="1" thickTop="1" thickBot="1" x14ac:dyDescent="0.4">
      <c r="A6" s="209"/>
      <c r="B6" s="93" t="s">
        <v>202</v>
      </c>
      <c r="C6" s="97">
        <v>263.47000000000003</v>
      </c>
      <c r="D6" s="94">
        <v>200</v>
      </c>
      <c r="E6" s="90">
        <f t="shared" si="0"/>
        <v>250</v>
      </c>
      <c r="F6" s="94">
        <v>300</v>
      </c>
      <c r="G6" s="94">
        <f>TRUNC((800*C6)/D6,2)</f>
        <v>1053.8800000000001</v>
      </c>
      <c r="H6" s="90">
        <f>TRUNC((800*C6)/E6,2)</f>
        <v>843.1</v>
      </c>
      <c r="I6" s="94">
        <f>TRUNC((800*C6)/F6,2)</f>
        <v>702.58</v>
      </c>
    </row>
    <row r="7" spans="1:11" ht="30" customHeight="1" thickTop="1" thickBot="1" x14ac:dyDescent="0.4">
      <c r="A7" s="106"/>
      <c r="B7" s="142" t="s">
        <v>290</v>
      </c>
      <c r="C7" s="94">
        <v>248.3</v>
      </c>
      <c r="D7" s="94">
        <v>300</v>
      </c>
      <c r="E7" s="90">
        <f t="shared" si="0"/>
        <v>340</v>
      </c>
      <c r="F7" s="108">
        <v>380</v>
      </c>
      <c r="G7" s="94">
        <f>TRUNC((800*C7)/(D7*15),2)</f>
        <v>44.14</v>
      </c>
      <c r="H7" s="94">
        <f>TRUNC((800*C7)/(E7*15),2)</f>
        <v>38.94</v>
      </c>
      <c r="I7" s="94">
        <f>TRUNC((800*C7)/(F7*15),2)</f>
        <v>34.840000000000003</v>
      </c>
    </row>
    <row r="8" spans="1:11" ht="30" customHeight="1" thickTop="1" thickBot="1" x14ac:dyDescent="0.4">
      <c r="A8" s="106"/>
      <c r="B8" s="211" t="s">
        <v>216</v>
      </c>
      <c r="C8" s="211"/>
      <c r="D8" s="211"/>
      <c r="E8" s="211"/>
      <c r="F8" s="211"/>
      <c r="G8" s="94">
        <f>SUM(G3:G7)</f>
        <v>3314.5</v>
      </c>
      <c r="H8" s="94">
        <f>SUM(H3:H7)</f>
        <v>2655</v>
      </c>
      <c r="I8" s="94">
        <f>SUM(I3:I7)</f>
        <v>2214.77</v>
      </c>
    </row>
    <row r="9" spans="1:11" ht="30" customHeight="1" thickTop="1" thickBot="1" x14ac:dyDescent="0.4">
      <c r="A9" s="106"/>
      <c r="B9" s="211" t="s">
        <v>217</v>
      </c>
      <c r="C9" s="211"/>
      <c r="D9" s="211"/>
      <c r="E9" s="211"/>
      <c r="F9" s="211"/>
      <c r="G9" s="97">
        <f>TRUNC(G8/800,2)</f>
        <v>4.1399999999999997</v>
      </c>
      <c r="H9" s="97">
        <f>TRUNC(H8/800,2)</f>
        <v>3.31</v>
      </c>
      <c r="I9" s="94">
        <f>TRUNC(I8/800,2)</f>
        <v>2.76</v>
      </c>
    </row>
    <row r="10" spans="1:11" ht="13.5" thickTop="1" x14ac:dyDescent="0.35">
      <c r="C10" s="107"/>
      <c r="H10" s="107"/>
      <c r="I10" s="107"/>
      <c r="J10" s="107"/>
      <c r="K10" s="107"/>
    </row>
    <row r="11" spans="1:11" x14ac:dyDescent="0.35">
      <c r="C11" s="107"/>
    </row>
    <row r="12" spans="1:11" ht="18.5" x14ac:dyDescent="0.35">
      <c r="B12" s="208" t="s">
        <v>223</v>
      </c>
      <c r="C12" s="208"/>
      <c r="D12" s="208"/>
      <c r="E12" s="208"/>
      <c r="F12" s="208"/>
      <c r="G12" s="208"/>
      <c r="H12" s="208"/>
      <c r="I12" s="208"/>
    </row>
    <row r="13" spans="1:11" ht="52.5" thickBot="1" x14ac:dyDescent="0.4">
      <c r="B13" s="88" t="s">
        <v>23</v>
      </c>
      <c r="C13" s="89" t="s">
        <v>128</v>
      </c>
      <c r="D13" s="89" t="s">
        <v>214</v>
      </c>
      <c r="E13" s="89" t="s">
        <v>220</v>
      </c>
      <c r="F13" s="89" t="s">
        <v>215</v>
      </c>
      <c r="H13" s="89" t="s">
        <v>221</v>
      </c>
      <c r="I13" s="89" t="s">
        <v>218</v>
      </c>
    </row>
    <row r="14" spans="1:11" ht="30" customHeight="1" thickTop="1" thickBot="1" x14ac:dyDescent="0.4">
      <c r="B14" s="93" t="s">
        <v>201</v>
      </c>
      <c r="C14" s="97">
        <f>C3</f>
        <v>1870.0399999999997</v>
      </c>
      <c r="D14" s="101">
        <f>F3</f>
        <v>1200</v>
      </c>
      <c r="E14" s="101">
        <f>TRUNC(D14*$I$15,0)</f>
        <v>1104</v>
      </c>
      <c r="F14" s="90">
        <f>E3</f>
        <v>1000</v>
      </c>
      <c r="H14" s="90">
        <f>TRUNC((44/5)*3,2)</f>
        <v>26.4</v>
      </c>
      <c r="I14" s="109">
        <v>2</v>
      </c>
    </row>
    <row r="15" spans="1:11" ht="30" customHeight="1" thickTop="1" thickBot="1" x14ac:dyDescent="0.4">
      <c r="B15" s="142" t="s">
        <v>293</v>
      </c>
      <c r="C15" s="97">
        <f>C4</f>
        <v>57.3</v>
      </c>
      <c r="D15" s="101">
        <f>F4</f>
        <v>2500</v>
      </c>
      <c r="E15" s="101">
        <f>TRUNC(D15*$I$15,0)</f>
        <v>2300</v>
      </c>
      <c r="F15" s="90">
        <f>E4</f>
        <v>2000</v>
      </c>
      <c r="H15" s="93" t="s">
        <v>222</v>
      </c>
      <c r="I15" s="97">
        <f>TRUNC((H14-I14)/H14,2)</f>
        <v>0.92</v>
      </c>
    </row>
    <row r="16" spans="1:11" ht="30" customHeight="1" thickTop="1" thickBot="1" x14ac:dyDescent="0.4">
      <c r="B16" s="142" t="s">
        <v>294</v>
      </c>
      <c r="C16" s="97">
        <f>C5</f>
        <v>427.6</v>
      </c>
      <c r="D16" s="101">
        <f>F5</f>
        <v>1500</v>
      </c>
      <c r="E16" s="101">
        <f>TRUNC(D16*$I$15,0)</f>
        <v>1380</v>
      </c>
      <c r="F16" s="90">
        <f>E5</f>
        <v>1250</v>
      </c>
      <c r="H16" s="110"/>
      <c r="I16" s="145"/>
    </row>
    <row r="17" spans="2:9" ht="30" customHeight="1" thickTop="1" thickBot="1" x14ac:dyDescent="0.4">
      <c r="B17" s="141" t="s">
        <v>202</v>
      </c>
      <c r="C17" s="97">
        <f>C6</f>
        <v>263.47000000000003</v>
      </c>
      <c r="D17" s="101">
        <f>F6</f>
        <v>300</v>
      </c>
      <c r="E17" s="101">
        <f>TRUNC(D17*$I$15,0)</f>
        <v>276</v>
      </c>
      <c r="F17" s="90">
        <f>E6</f>
        <v>250</v>
      </c>
      <c r="H17" s="110"/>
      <c r="I17" s="145"/>
    </row>
    <row r="18" spans="2:9" ht="30" customHeight="1" thickTop="1" thickBot="1" x14ac:dyDescent="0.4">
      <c r="B18" s="142" t="s">
        <v>290</v>
      </c>
      <c r="C18" s="94">
        <f>C7</f>
        <v>248.3</v>
      </c>
      <c r="D18" s="101">
        <f>F7</f>
        <v>380</v>
      </c>
      <c r="E18" s="101">
        <f>TRUNC(D18*$I$15,0)</f>
        <v>349</v>
      </c>
      <c r="F18" s="90">
        <f t="shared" ref="F18" si="2">E7</f>
        <v>340</v>
      </c>
    </row>
    <row r="19" spans="2:9" ht="30" customHeight="1" thickTop="1" x14ac:dyDescent="0.35">
      <c r="B19" s="110"/>
      <c r="C19" s="110"/>
      <c r="D19" s="105"/>
      <c r="E19" s="105"/>
      <c r="F19" s="111"/>
    </row>
    <row r="20" spans="2:9" ht="30" customHeight="1" x14ac:dyDescent="0.35">
      <c r="C20" s="107"/>
    </row>
    <row r="21" spans="2:9" ht="30" customHeight="1" x14ac:dyDescent="0.35"/>
    <row r="22" spans="2:9" ht="30" customHeight="1" x14ac:dyDescent="0.35"/>
    <row r="23" spans="2:9" ht="30" customHeight="1" x14ac:dyDescent="0.35"/>
  </sheetData>
  <mergeCells count="5">
    <mergeCell ref="B12:I12"/>
    <mergeCell ref="A3:A6"/>
    <mergeCell ref="B1:I1"/>
    <mergeCell ref="B8:F8"/>
    <mergeCell ref="B9:F9"/>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C826-CCFF-4E58-A470-456144540A0C}">
  <dimension ref="A1:P24"/>
  <sheetViews>
    <sheetView showGridLines="0" tabSelected="1" zoomScale="80" zoomScaleNormal="80" workbookViewId="0">
      <selection activeCell="B1" sqref="B1:J1"/>
    </sheetView>
  </sheetViews>
  <sheetFormatPr defaultColWidth="9.1796875" defaultRowHeight="13" x14ac:dyDescent="0.35"/>
  <cols>
    <col min="1" max="1" width="5.26953125" style="79" customWidth="1"/>
    <col min="2" max="2" width="34.453125" style="79" customWidth="1"/>
    <col min="3" max="3" width="16.7265625" style="79" bestFit="1" customWidth="1"/>
    <col min="4" max="4" width="20.7265625" style="79" customWidth="1"/>
    <col min="5" max="5" width="13.26953125" style="79" bestFit="1" customWidth="1"/>
    <col min="6" max="6" width="20.26953125" style="79" bestFit="1" customWidth="1"/>
    <col min="7" max="7" width="9.81640625" style="79" bestFit="1" customWidth="1"/>
    <col min="8" max="8" width="14.81640625" style="79" bestFit="1" customWidth="1"/>
    <col min="9" max="9" width="20.1796875" style="79" bestFit="1" customWidth="1"/>
    <col min="10" max="10" width="20.7265625" style="79" customWidth="1"/>
    <col min="11" max="11" width="6.54296875" style="79" customWidth="1"/>
    <col min="12" max="12" width="30.26953125" style="79" bestFit="1" customWidth="1"/>
    <col min="13" max="13" width="20.7265625" style="79" customWidth="1"/>
    <col min="14" max="14" width="12.453125" style="79" bestFit="1" customWidth="1"/>
    <col min="15" max="15" width="10.81640625" style="79" bestFit="1" customWidth="1"/>
    <col min="16" max="16384" width="9.1796875" style="79"/>
  </cols>
  <sheetData>
    <row r="1" spans="1:16" ht="20" thickBot="1" x14ac:dyDescent="0.4">
      <c r="B1" s="212" t="s">
        <v>306</v>
      </c>
      <c r="C1" s="212"/>
      <c r="D1" s="212"/>
      <c r="E1" s="212"/>
      <c r="F1" s="212"/>
      <c r="G1" s="212"/>
      <c r="H1" s="212"/>
      <c r="I1" s="212"/>
      <c r="J1" s="212"/>
      <c r="K1" s="150"/>
      <c r="L1" s="150"/>
      <c r="M1" s="150"/>
    </row>
    <row r="2" spans="1:16" ht="20.149999999999999" customHeight="1" thickTop="1" x14ac:dyDescent="0.35">
      <c r="B2" s="210" t="s">
        <v>192</v>
      </c>
      <c r="C2" s="210"/>
      <c r="D2" s="210"/>
      <c r="E2" s="210"/>
      <c r="F2" s="210"/>
      <c r="G2" s="210"/>
      <c r="H2" s="210"/>
      <c r="I2" s="210"/>
      <c r="J2" s="210"/>
      <c r="K2" s="80"/>
      <c r="L2" s="214" t="s">
        <v>193</v>
      </c>
      <c r="M2" s="214"/>
    </row>
    <row r="3" spans="1:16" ht="62.5" customHeight="1" thickBot="1" x14ac:dyDescent="0.4">
      <c r="A3" s="45"/>
      <c r="B3" s="88" t="s">
        <v>23</v>
      </c>
      <c r="C3" s="89" t="s">
        <v>126</v>
      </c>
      <c r="D3" s="89" t="s">
        <v>189</v>
      </c>
      <c r="E3" s="89" t="s">
        <v>188</v>
      </c>
      <c r="F3" s="89" t="s">
        <v>190</v>
      </c>
      <c r="G3" s="89" t="s">
        <v>127</v>
      </c>
      <c r="H3" s="89" t="s">
        <v>128</v>
      </c>
      <c r="I3" s="89" t="s">
        <v>24</v>
      </c>
      <c r="J3" s="89" t="s">
        <v>25</v>
      </c>
      <c r="L3" s="51" t="s">
        <v>23</v>
      </c>
      <c r="M3" s="51" t="s">
        <v>191</v>
      </c>
    </row>
    <row r="4" spans="1:16" ht="30" customHeight="1" thickTop="1" thickBot="1" x14ac:dyDescent="0.4">
      <c r="A4" s="209"/>
      <c r="B4" s="144" t="s">
        <v>201</v>
      </c>
      <c r="C4" s="90">
        <f>Produtividade!E14</f>
        <v>1104</v>
      </c>
      <c r="D4" s="146" t="s">
        <v>296</v>
      </c>
      <c r="E4" s="90">
        <f>1/C4</f>
        <v>9.0579710144927537E-4</v>
      </c>
      <c r="F4" s="95">
        <f>TRUNC(Servente!J133,2)</f>
        <v>4324.41</v>
      </c>
      <c r="G4" s="91">
        <f>TRUNC(F4*E4,2)</f>
        <v>3.91</v>
      </c>
      <c r="H4" s="97">
        <f>Produtividade!C3</f>
        <v>1870.0399999999997</v>
      </c>
      <c r="I4" s="91">
        <f>TRUNC(H4*G4,2)</f>
        <v>7311.85</v>
      </c>
      <c r="J4" s="96">
        <f t="shared" ref="J4:J8" si="0">I4*12</f>
        <v>87742.200000000012</v>
      </c>
      <c r="K4" s="80"/>
      <c r="L4" s="102" t="s">
        <v>201</v>
      </c>
      <c r="M4" s="92">
        <f>G4</f>
        <v>3.91</v>
      </c>
      <c r="N4" s="80"/>
      <c r="P4" s="81"/>
    </row>
    <row r="5" spans="1:16" ht="30" customHeight="1" thickTop="1" thickBot="1" x14ac:dyDescent="0.4">
      <c r="A5" s="209"/>
      <c r="B5" s="142" t="s">
        <v>293</v>
      </c>
      <c r="C5" s="90">
        <f>Produtividade!E15</f>
        <v>2300</v>
      </c>
      <c r="D5" s="146" t="s">
        <v>299</v>
      </c>
      <c r="E5" s="147">
        <f>(1/C5)*32*(1/188.76)</f>
        <v>7.3707583589006524E-5</v>
      </c>
      <c r="F5" s="95">
        <f>TRUNC(Servente!J133,2)</f>
        <v>4324.41</v>
      </c>
      <c r="G5" s="91">
        <f>TRUNC(F5*E5,2)</f>
        <v>0.31</v>
      </c>
      <c r="H5" s="97">
        <f>Produtividade!C4</f>
        <v>57.3</v>
      </c>
      <c r="I5" s="91">
        <f t="shared" ref="I5:I8" si="1">TRUNC(H5*G5,2)</f>
        <v>17.760000000000002</v>
      </c>
      <c r="J5" s="96">
        <f t="shared" si="0"/>
        <v>213.12</v>
      </c>
      <c r="K5" s="80"/>
      <c r="L5" s="102" t="s">
        <v>293</v>
      </c>
      <c r="M5" s="92">
        <f t="shared" ref="M5:M8" si="2">G5</f>
        <v>0.31</v>
      </c>
      <c r="N5" s="80"/>
      <c r="P5" s="81"/>
    </row>
    <row r="6" spans="1:16" ht="30" customHeight="1" thickTop="1" thickBot="1" x14ac:dyDescent="0.4">
      <c r="A6" s="209"/>
      <c r="B6" s="142" t="s">
        <v>294</v>
      </c>
      <c r="C6" s="90">
        <f>Produtividade!E16</f>
        <v>1380</v>
      </c>
      <c r="D6" s="146" t="s">
        <v>297</v>
      </c>
      <c r="E6" s="90">
        <f t="shared" ref="E6:E7" si="3">1/C6</f>
        <v>7.246376811594203E-4</v>
      </c>
      <c r="F6" s="95">
        <f>TRUNC(Servente!J133,2)</f>
        <v>4324.41</v>
      </c>
      <c r="G6" s="91">
        <f>TRUNC(F6*E6,2)</f>
        <v>3.13</v>
      </c>
      <c r="H6" s="97">
        <f>Produtividade!C5</f>
        <v>427.6</v>
      </c>
      <c r="I6" s="91">
        <f t="shared" si="1"/>
        <v>1338.38</v>
      </c>
      <c r="J6" s="96">
        <f t="shared" si="0"/>
        <v>16060.560000000001</v>
      </c>
      <c r="K6" s="80"/>
      <c r="L6" s="102" t="s">
        <v>294</v>
      </c>
      <c r="M6" s="92">
        <f t="shared" si="2"/>
        <v>3.13</v>
      </c>
      <c r="N6" s="80"/>
      <c r="P6" s="81"/>
    </row>
    <row r="7" spans="1:16" ht="30" customHeight="1" thickTop="1" thickBot="1" x14ac:dyDescent="0.4">
      <c r="A7" s="209"/>
      <c r="B7" s="144" t="s">
        <v>202</v>
      </c>
      <c r="C7" s="90">
        <f>Produtividade!E17</f>
        <v>276</v>
      </c>
      <c r="D7" s="146" t="s">
        <v>295</v>
      </c>
      <c r="E7" s="90">
        <f t="shared" si="3"/>
        <v>3.6231884057971015E-3</v>
      </c>
      <c r="F7" s="95">
        <f>TRUNC(Servente!J133,2)</f>
        <v>4324.41</v>
      </c>
      <c r="G7" s="91">
        <f t="shared" ref="G7:G8" si="4">TRUNC(F7*E7,2)</f>
        <v>15.66</v>
      </c>
      <c r="H7" s="97">
        <f>Produtividade!C6</f>
        <v>263.47000000000003</v>
      </c>
      <c r="I7" s="91">
        <f t="shared" si="1"/>
        <v>4125.9399999999996</v>
      </c>
      <c r="J7" s="96">
        <f t="shared" si="0"/>
        <v>49511.28</v>
      </c>
      <c r="K7" s="80"/>
      <c r="L7" s="102" t="s">
        <v>202</v>
      </c>
      <c r="M7" s="92">
        <f>G7</f>
        <v>15.66</v>
      </c>
      <c r="N7" s="80"/>
      <c r="P7" s="81"/>
    </row>
    <row r="8" spans="1:16" ht="30" customHeight="1" thickTop="1" thickBot="1" x14ac:dyDescent="0.4">
      <c r="A8" s="209"/>
      <c r="B8" s="142" t="s">
        <v>290</v>
      </c>
      <c r="C8" s="90">
        <f>Produtividade!E18</f>
        <v>349</v>
      </c>
      <c r="D8" s="146" t="s">
        <v>298</v>
      </c>
      <c r="E8" s="90">
        <f>(1/C8)*16*(1/188.76)</f>
        <v>2.4287599176893267E-4</v>
      </c>
      <c r="F8" s="95">
        <f>TRUNC(Servente!J133,2)</f>
        <v>4324.41</v>
      </c>
      <c r="G8" s="91">
        <f t="shared" si="4"/>
        <v>1.05</v>
      </c>
      <c r="H8" s="97">
        <f>Produtividade!C7</f>
        <v>248.3</v>
      </c>
      <c r="I8" s="91">
        <f t="shared" si="1"/>
        <v>260.70999999999998</v>
      </c>
      <c r="J8" s="96">
        <f t="shared" si="0"/>
        <v>3128.5199999999995</v>
      </c>
      <c r="K8" s="80"/>
      <c r="L8" s="102" t="s">
        <v>290</v>
      </c>
      <c r="M8" s="92">
        <f t="shared" si="2"/>
        <v>1.05</v>
      </c>
      <c r="N8" s="80"/>
      <c r="O8" s="81"/>
    </row>
    <row r="9" spans="1:16" ht="30" customHeight="1" thickTop="1" thickBot="1" x14ac:dyDescent="0.4">
      <c r="A9" s="209"/>
      <c r="B9" s="215" t="s">
        <v>194</v>
      </c>
      <c r="C9" s="215"/>
      <c r="D9" s="215"/>
      <c r="E9" s="215"/>
      <c r="F9" s="215"/>
      <c r="G9" s="215"/>
      <c r="H9" s="215"/>
      <c r="I9" s="98">
        <f>SUM(I4:I8)</f>
        <v>13054.64</v>
      </c>
      <c r="J9" s="98">
        <f>I9*12</f>
        <v>156655.67999999999</v>
      </c>
      <c r="K9" s="80"/>
      <c r="L9" s="83"/>
      <c r="M9" s="83"/>
      <c r="N9" s="80"/>
      <c r="O9" s="81"/>
    </row>
    <row r="10" spans="1:16" ht="30" customHeight="1" thickTop="1" thickBot="1" x14ac:dyDescent="0.4">
      <c r="A10" s="209"/>
      <c r="B10" s="216" t="s">
        <v>204</v>
      </c>
      <c r="C10" s="216"/>
      <c r="D10" s="216"/>
      <c r="E10" s="216"/>
      <c r="F10" s="216"/>
      <c r="G10" s="216"/>
      <c r="H10" s="216"/>
      <c r="I10" s="98">
        <f>'Servente + Copeiro'!J133-Servente!J133</f>
        <v>675.19999999999982</v>
      </c>
      <c r="J10" s="103">
        <f>I10*12</f>
        <v>8102.3999999999978</v>
      </c>
      <c r="K10" s="80"/>
      <c r="N10" s="80"/>
    </row>
    <row r="11" spans="1:16" ht="30" customHeight="1" thickTop="1" thickBot="1" x14ac:dyDescent="0.4">
      <c r="A11" s="87"/>
      <c r="B11" s="217" t="s">
        <v>195</v>
      </c>
      <c r="C11" s="217"/>
      <c r="D11" s="217"/>
      <c r="E11" s="217"/>
      <c r="F11" s="217"/>
      <c r="G11" s="217"/>
      <c r="H11" s="217"/>
      <c r="I11" s="99">
        <f>I9+I10</f>
        <v>13729.84</v>
      </c>
      <c r="J11" s="99">
        <f>J9+J10</f>
        <v>164758.07999999999</v>
      </c>
      <c r="K11" s="80"/>
      <c r="N11" s="80"/>
    </row>
    <row r="12" spans="1:16" ht="30" customHeight="1" thickTop="1" thickBot="1" x14ac:dyDescent="0.4">
      <c r="A12" s="87"/>
      <c r="B12" s="218" t="s">
        <v>291</v>
      </c>
      <c r="C12" s="218"/>
      <c r="D12" s="218"/>
      <c r="E12" s="218"/>
      <c r="F12" s="218"/>
      <c r="G12" s="218"/>
      <c r="H12" s="218"/>
      <c r="I12" s="104">
        <f>'Materiais e Equipamentos '!J16</f>
        <v>143.53</v>
      </c>
      <c r="J12" s="104">
        <f>I12*12</f>
        <v>1722.3600000000001</v>
      </c>
      <c r="K12" s="80"/>
      <c r="N12" s="80"/>
    </row>
    <row r="13" spans="1:16" ht="30" customHeight="1" thickTop="1" thickBot="1" x14ac:dyDescent="0.4">
      <c r="A13" s="87"/>
      <c r="B13" s="215" t="s">
        <v>292</v>
      </c>
      <c r="C13" s="215"/>
      <c r="D13" s="215"/>
      <c r="E13" s="215"/>
      <c r="F13" s="215"/>
      <c r="G13" s="215"/>
      <c r="H13" s="215"/>
      <c r="I13" s="98">
        <f>'Materiais e Equipamentos '!J48</f>
        <v>6260.2525000000005</v>
      </c>
      <c r="J13" s="104">
        <f>I13*12</f>
        <v>75123.03</v>
      </c>
      <c r="K13" s="80"/>
      <c r="L13" s="84"/>
      <c r="M13" s="84"/>
      <c r="N13" s="80"/>
    </row>
    <row r="14" spans="1:16" ht="30" customHeight="1" thickTop="1" thickBot="1" x14ac:dyDescent="0.4">
      <c r="A14" s="46"/>
      <c r="B14" s="219" t="s">
        <v>197</v>
      </c>
      <c r="C14" s="219"/>
      <c r="D14" s="219"/>
      <c r="E14" s="219"/>
      <c r="F14" s="219"/>
      <c r="G14" s="219"/>
      <c r="H14" s="219"/>
      <c r="I14" s="99"/>
      <c r="J14" s="99">
        <f>J12+J13</f>
        <v>76845.39</v>
      </c>
      <c r="L14" s="84"/>
      <c r="M14" s="84"/>
    </row>
    <row r="15" spans="1:16" ht="30" customHeight="1" thickTop="1" thickBot="1" x14ac:dyDescent="0.4">
      <c r="B15" s="213" t="s">
        <v>196</v>
      </c>
      <c r="C15" s="213"/>
      <c r="D15" s="213"/>
      <c r="E15" s="213"/>
      <c r="F15" s="213"/>
      <c r="G15" s="213"/>
      <c r="H15" s="213"/>
      <c r="I15" s="100"/>
      <c r="J15" s="100">
        <f>J11+J14</f>
        <v>241603.46999999997</v>
      </c>
    </row>
    <row r="16" spans="1:16" ht="30" customHeight="1" x14ac:dyDescent="0.35"/>
    <row r="17" spans="2:13" s="84" customFormat="1" ht="30" customHeight="1" x14ac:dyDescent="0.35">
      <c r="B17" s="79"/>
      <c r="C17" s="79"/>
      <c r="D17" s="79"/>
      <c r="E17" s="79"/>
      <c r="F17" s="79"/>
      <c r="G17" s="79"/>
      <c r="H17" s="79"/>
      <c r="I17" s="79"/>
      <c r="J17" s="79"/>
      <c r="L17" s="79"/>
      <c r="M17" s="79"/>
    </row>
    <row r="18" spans="2:13" s="84" customFormat="1" ht="30" customHeight="1" x14ac:dyDescent="0.35">
      <c r="B18" s="85"/>
      <c r="C18" s="85"/>
      <c r="D18" s="85"/>
      <c r="E18" s="85"/>
      <c r="F18" s="85"/>
      <c r="G18" s="85"/>
      <c r="H18" s="85"/>
      <c r="I18" s="85"/>
      <c r="J18" s="86"/>
      <c r="L18" s="86"/>
      <c r="M18" s="85"/>
    </row>
    <row r="19" spans="2:13" s="84" customFormat="1" ht="30" customHeight="1" x14ac:dyDescent="0.35">
      <c r="B19" s="79"/>
      <c r="C19" s="79"/>
      <c r="D19" s="79"/>
      <c r="E19" s="79"/>
      <c r="F19" s="79"/>
      <c r="G19" s="79"/>
      <c r="H19" s="79"/>
      <c r="I19" s="79"/>
      <c r="J19" s="82"/>
      <c r="L19" s="82"/>
      <c r="M19" s="79"/>
    </row>
    <row r="20" spans="2:13" ht="30" customHeight="1" x14ac:dyDescent="0.35"/>
    <row r="23" spans="2:13" x14ac:dyDescent="0.35">
      <c r="K23" s="86"/>
    </row>
    <row r="24" spans="2:13" x14ac:dyDescent="0.35">
      <c r="K24" s="82"/>
    </row>
  </sheetData>
  <mergeCells count="11">
    <mergeCell ref="B1:J1"/>
    <mergeCell ref="B15:H15"/>
    <mergeCell ref="B2:J2"/>
    <mergeCell ref="L2:M2"/>
    <mergeCell ref="A4:A10"/>
    <mergeCell ref="B9:H9"/>
    <mergeCell ref="B10:H10"/>
    <mergeCell ref="B11:H11"/>
    <mergeCell ref="B12:H12"/>
    <mergeCell ref="B13:H13"/>
    <mergeCell ref="B14:H14"/>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5F482-4ABC-453C-A068-E3C09FBB1A90}">
  <dimension ref="B1:J28"/>
  <sheetViews>
    <sheetView showGridLines="0" workbookViewId="0">
      <selection activeCell="F15" sqref="F15"/>
    </sheetView>
  </sheetViews>
  <sheetFormatPr defaultColWidth="9.1796875" defaultRowHeight="15.5" x14ac:dyDescent="0.35"/>
  <cols>
    <col min="1" max="1" width="9.1796875" style="49"/>
    <col min="2" max="2" width="24.7265625" style="49" bestFit="1" customWidth="1"/>
    <col min="3" max="3" width="24.7265625" style="49" customWidth="1"/>
    <col min="4" max="4" width="17.81640625" style="49" customWidth="1"/>
    <col min="5" max="6" width="17.26953125" style="49" customWidth="1"/>
    <col min="7" max="7" width="19.26953125" style="49" customWidth="1"/>
    <col min="8" max="8" width="18.81640625" style="49" customWidth="1"/>
    <col min="9" max="9" width="9.1796875" style="49"/>
    <col min="10" max="10" width="13.1796875" style="49" customWidth="1"/>
    <col min="11" max="16384" width="9.1796875" style="49"/>
  </cols>
  <sheetData>
    <row r="1" spans="2:10" ht="15" customHeight="1" x14ac:dyDescent="0.35">
      <c r="B1" s="222" t="s">
        <v>212</v>
      </c>
      <c r="C1" s="225"/>
      <c r="D1" s="225"/>
      <c r="E1" s="225"/>
      <c r="F1" s="225"/>
      <c r="G1" s="225"/>
      <c r="H1" s="223"/>
    </row>
    <row r="2" spans="2:10" ht="15" customHeight="1" x14ac:dyDescent="0.35">
      <c r="B2" s="220" t="s">
        <v>206</v>
      </c>
      <c r="C2" s="222" t="s">
        <v>259</v>
      </c>
      <c r="D2" s="225"/>
      <c r="E2" s="225"/>
      <c r="F2" s="223"/>
      <c r="G2" s="222" t="s">
        <v>261</v>
      </c>
      <c r="H2" s="223"/>
    </row>
    <row r="3" spans="2:10" ht="20.149999999999999" customHeight="1" x14ac:dyDescent="0.35">
      <c r="B3" s="221"/>
      <c r="C3" s="222" t="s">
        <v>209</v>
      </c>
      <c r="D3" s="223"/>
      <c r="E3" s="112" t="s">
        <v>211</v>
      </c>
      <c r="F3" s="112" t="s">
        <v>210</v>
      </c>
      <c r="G3" s="112" t="s">
        <v>209</v>
      </c>
      <c r="H3" s="112" t="s">
        <v>260</v>
      </c>
    </row>
    <row r="4" spans="2:10" ht="20.149999999999999" customHeight="1" x14ac:dyDescent="0.35">
      <c r="B4" s="220" t="s">
        <v>207</v>
      </c>
      <c r="C4" s="112" t="s">
        <v>257</v>
      </c>
      <c r="D4" s="112">
        <v>800</v>
      </c>
      <c r="E4" s="112">
        <v>4.49</v>
      </c>
      <c r="F4" s="112">
        <v>5.4</v>
      </c>
      <c r="G4" s="220">
        <f>TRUNC(((('Quadro Resumo'!C4*'Quadro Resumo'!H4)+('Quadro Resumo'!C5*'Quadro Resumo'!H5)+('Quadro Resumo'!C6*'Quadro Resumo'!H6)+('Quadro Resumo'!C7*'Quadro Resumo'!H7))/('Quadro Resumo'!H4+'Quadro Resumo'!H5+'Quadro Resumo'!H6+'Quadro Resumo'!H7)),2)</f>
        <v>1091.92</v>
      </c>
      <c r="H4" s="220">
        <f>TRUNC(((('Quadro Resumo'!G4*'Quadro Resumo'!H4)+('Quadro Resumo'!G5*'Quadro Resumo'!H5)+('Quadro Resumo'!G6*'Quadro Resumo'!H6)+('Quadro Resumo'!G7*'Quadro Resumo'!H7))/('Quadro Resumo'!H4+'Quadro Resumo'!H5+'Quadro Resumo'!H6+'Quadro Resumo'!H7)),2)</f>
        <v>4.88</v>
      </c>
    </row>
    <row r="5" spans="2:10" ht="20.149999999999999" customHeight="1" x14ac:dyDescent="0.35">
      <c r="B5" s="221"/>
      <c r="C5" s="112" t="s">
        <v>258</v>
      </c>
      <c r="D5" s="112">
        <v>1200</v>
      </c>
      <c r="E5" s="112">
        <v>2.99</v>
      </c>
      <c r="F5" s="112">
        <v>3.6</v>
      </c>
      <c r="G5" s="221"/>
      <c r="H5" s="221"/>
    </row>
    <row r="6" spans="2:10" ht="20.149999999999999" customHeight="1" x14ac:dyDescent="0.35">
      <c r="B6" s="220" t="s">
        <v>208</v>
      </c>
      <c r="C6" s="112" t="s">
        <v>257</v>
      </c>
      <c r="D6" s="112">
        <v>1800</v>
      </c>
      <c r="E6" s="112">
        <v>1.99</v>
      </c>
      <c r="F6" s="112">
        <v>2.4</v>
      </c>
      <c r="G6" s="220">
        <v>0</v>
      </c>
      <c r="H6" s="220">
        <v>0</v>
      </c>
    </row>
    <row r="7" spans="2:10" ht="20.149999999999999" customHeight="1" x14ac:dyDescent="0.35">
      <c r="B7" s="221"/>
      <c r="C7" s="112" t="s">
        <v>258</v>
      </c>
      <c r="D7" s="112">
        <v>2700</v>
      </c>
      <c r="E7" s="112">
        <v>1.33</v>
      </c>
      <c r="F7" s="112">
        <v>1.6</v>
      </c>
      <c r="G7" s="221"/>
      <c r="H7" s="221"/>
    </row>
    <row r="8" spans="2:10" ht="20.149999999999999" customHeight="1" x14ac:dyDescent="0.35">
      <c r="B8" s="220" t="s">
        <v>205</v>
      </c>
      <c r="C8" s="112" t="s">
        <v>257</v>
      </c>
      <c r="D8" s="112">
        <v>300</v>
      </c>
      <c r="E8" s="112">
        <v>1.01</v>
      </c>
      <c r="F8" s="112">
        <v>1.22</v>
      </c>
      <c r="G8" s="224">
        <f>'Quadro Resumo'!C8</f>
        <v>349</v>
      </c>
      <c r="H8" s="220">
        <f>'Quadro Resumo'!M8</f>
        <v>1.05</v>
      </c>
    </row>
    <row r="9" spans="2:10" ht="20.149999999999999" customHeight="1" x14ac:dyDescent="0.35">
      <c r="B9" s="221"/>
      <c r="C9" s="112" t="s">
        <v>258</v>
      </c>
      <c r="D9" s="112">
        <v>380</v>
      </c>
      <c r="E9" s="112">
        <v>0.8</v>
      </c>
      <c r="F9" s="112">
        <v>0.96</v>
      </c>
      <c r="G9" s="221"/>
      <c r="H9" s="221"/>
    </row>
    <row r="10" spans="2:10" ht="20.149999999999999" customHeight="1" x14ac:dyDescent="0.35">
      <c r="B10" s="220" t="s">
        <v>203</v>
      </c>
      <c r="C10" s="112" t="s">
        <v>257</v>
      </c>
      <c r="D10" s="112">
        <v>130</v>
      </c>
      <c r="E10" s="112">
        <v>0.3</v>
      </c>
      <c r="F10" s="112">
        <v>0.36</v>
      </c>
      <c r="G10" s="220">
        <v>0</v>
      </c>
      <c r="H10" s="220">
        <v>0</v>
      </c>
    </row>
    <row r="11" spans="2:10" ht="20.149999999999999" customHeight="1" x14ac:dyDescent="0.35">
      <c r="B11" s="221"/>
      <c r="C11" s="112" t="s">
        <v>258</v>
      </c>
      <c r="D11" s="112">
        <v>160</v>
      </c>
      <c r="E11" s="112">
        <v>0.25</v>
      </c>
      <c r="F11" s="112">
        <v>0.28999999999999998</v>
      </c>
      <c r="G11" s="221"/>
      <c r="H11" s="221"/>
    </row>
    <row r="12" spans="2:10" ht="20.149999999999999" customHeight="1" x14ac:dyDescent="0.35"/>
    <row r="13" spans="2:10" ht="15" customHeight="1" x14ac:dyDescent="0.35"/>
    <row r="14" spans="2:10" ht="15" customHeight="1" x14ac:dyDescent="0.35"/>
    <row r="15" spans="2:10" s="50" customFormat="1" ht="15" customHeight="1" x14ac:dyDescent="0.35">
      <c r="B15" s="49"/>
      <c r="C15" s="49"/>
      <c r="D15" s="49"/>
      <c r="E15" s="49"/>
      <c r="F15" s="49"/>
      <c r="G15" s="49"/>
      <c r="H15" s="49"/>
      <c r="I15" s="49"/>
      <c r="J15" s="49"/>
    </row>
    <row r="16" spans="2:10" ht="15" customHeight="1" x14ac:dyDescent="0.35"/>
    <row r="17" ht="25" customHeight="1" x14ac:dyDescent="0.35"/>
    <row r="18" ht="25" customHeight="1" x14ac:dyDescent="0.35"/>
    <row r="19" ht="25" customHeight="1" x14ac:dyDescent="0.35"/>
    <row r="20" ht="25" customHeight="1" x14ac:dyDescent="0.35"/>
    <row r="21" ht="25" customHeight="1" x14ac:dyDescent="0.35"/>
    <row r="22" ht="25" customHeight="1" x14ac:dyDescent="0.35"/>
    <row r="23" ht="25" customHeight="1" x14ac:dyDescent="0.35"/>
    <row r="24" ht="25" customHeight="1" x14ac:dyDescent="0.35"/>
    <row r="25" ht="25" customHeight="1" x14ac:dyDescent="0.35"/>
    <row r="26" ht="15" customHeight="1" x14ac:dyDescent="0.35"/>
    <row r="27" ht="15" customHeight="1" x14ac:dyDescent="0.35"/>
    <row r="28" ht="15" customHeight="1" x14ac:dyDescent="0.35"/>
  </sheetData>
  <mergeCells count="17">
    <mergeCell ref="B1:H1"/>
    <mergeCell ref="B6:B7"/>
    <mergeCell ref="B4:B5"/>
    <mergeCell ref="B2:B3"/>
    <mergeCell ref="G2:H2"/>
    <mergeCell ref="C2:F2"/>
    <mergeCell ref="B10:B11"/>
    <mergeCell ref="C3:D3"/>
    <mergeCell ref="G4:G5"/>
    <mergeCell ref="H4:H5"/>
    <mergeCell ref="G6:G7"/>
    <mergeCell ref="H6:H7"/>
    <mergeCell ref="G8:G9"/>
    <mergeCell ref="H8:H9"/>
    <mergeCell ref="G10:G11"/>
    <mergeCell ref="H10:H11"/>
    <mergeCell ref="B8:B9"/>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Materiais e Equipamentos </vt:lpstr>
      <vt:lpstr>Servente</vt:lpstr>
      <vt:lpstr>Líder Equipe + Copeiro</vt:lpstr>
      <vt:lpstr>Servente + Copeiro</vt:lpstr>
      <vt:lpstr>Produtividade</vt:lpstr>
      <vt:lpstr>Quadro Resumo</vt:lpstr>
      <vt:lpstr>Limites portaria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gisele.oliveira</dc:creator>
  <cp:lastModifiedBy>Levi Fernandes de Souza</cp:lastModifiedBy>
  <cp:lastPrinted>2019-10-29T22:39:26Z</cp:lastPrinted>
  <dcterms:created xsi:type="dcterms:W3CDTF">2011-07-13T17:15:58Z</dcterms:created>
  <dcterms:modified xsi:type="dcterms:W3CDTF">2022-04-25T13:58:33Z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d1718231-e157-4ccc-b6cf-0c2338374c07</vt:lpwstr>
  </property>
</Properties>
</file>