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derson.calazans\Desktop\documentos trabalho remoto\Software de fiscalização integrada\POS PROC\"/>
    </mc:Choice>
  </mc:AlternateContent>
  <xr:revisionPtr revIDLastSave="0" documentId="13_ncr:1_{D0A1D8EC-9234-45B1-A3FA-9EE368A45774}" xr6:coauthVersionLast="41" xr6:coauthVersionMax="41" xr10:uidLastSave="{00000000-0000-0000-0000-000000000000}"/>
  <bookViews>
    <workbookView xWindow="-110" yWindow="-110" windowWidth="19420" windowHeight="10420" tabRatio="763" activeTab="4" xr2:uid="{00000000-000D-0000-FFFF-FFFF00000000}"/>
  </bookViews>
  <sheets>
    <sheet name="Quadro Resumo" sheetId="9" r:id="rId1"/>
    <sheet name="Catálogo UES GRC_Est_ANAC" sheetId="6" r:id="rId2"/>
    <sheet name="Catálogo UES GRC_Est_Empresas" sheetId="10" r:id="rId3"/>
    <sheet name="Atividades" sheetId="11" r:id="rId4"/>
    <sheet name="Custo dos Profissionais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4" i="10" l="1"/>
  <c r="B24" i="10"/>
  <c r="C24" i="10"/>
  <c r="M24" i="10" s="1"/>
  <c r="D24" i="10"/>
  <c r="E24" i="10"/>
  <c r="F24" i="10"/>
  <c r="G24" i="10"/>
  <c r="K24" i="10"/>
  <c r="L24" i="10"/>
  <c r="H24" i="10" s="1"/>
  <c r="P24" i="10"/>
  <c r="V24" i="10"/>
  <c r="W24" i="10"/>
  <c r="G24" i="6"/>
  <c r="H24" i="6"/>
  <c r="I24" i="6" s="1"/>
  <c r="J24" i="6" s="1"/>
  <c r="M24" i="6"/>
  <c r="P20" i="6"/>
  <c r="P19" i="6"/>
  <c r="P15" i="6"/>
  <c r="P17" i="6"/>
  <c r="P16" i="6"/>
  <c r="P12" i="6"/>
  <c r="P11" i="6"/>
  <c r="P10" i="6"/>
  <c r="P9" i="6"/>
  <c r="P8" i="6"/>
  <c r="P7" i="6"/>
  <c r="P6" i="6"/>
  <c r="P4" i="6"/>
  <c r="P5" i="6"/>
  <c r="P3" i="6"/>
  <c r="A23" i="10"/>
  <c r="B23" i="10"/>
  <c r="C23" i="10"/>
  <c r="M23" i="10" s="1"/>
  <c r="D23" i="10"/>
  <c r="E23" i="10"/>
  <c r="F23" i="10"/>
  <c r="K23" i="10"/>
  <c r="L23" i="10"/>
  <c r="H23" i="10" s="1"/>
  <c r="P23" i="10"/>
  <c r="V23" i="10"/>
  <c r="W23" i="10"/>
  <c r="G23" i="6"/>
  <c r="G23" i="10" s="1"/>
  <c r="G22" i="6"/>
  <c r="G21" i="6"/>
  <c r="G20" i="6"/>
  <c r="G19" i="6"/>
  <c r="G18" i="6"/>
  <c r="I24" i="10" l="1"/>
  <c r="J24" i="10" s="1"/>
  <c r="R24" i="10" s="1"/>
  <c r="S24" i="10" s="1"/>
  <c r="R24" i="6"/>
  <c r="S24" i="6" s="1"/>
  <c r="O24" i="6"/>
  <c r="Q24" i="6" s="1"/>
  <c r="I23" i="10"/>
  <c r="J23" i="10" s="1"/>
  <c r="R23" i="10" s="1"/>
  <c r="S23" i="10" s="1"/>
  <c r="G17" i="6"/>
  <c r="C38" i="8"/>
  <c r="C28" i="8"/>
  <c r="C18" i="8"/>
  <c r="G16" i="6"/>
  <c r="G15" i="6"/>
  <c r="G14" i="6"/>
  <c r="G13" i="6"/>
  <c r="G11" i="6"/>
  <c r="G10" i="6"/>
  <c r="G9" i="6"/>
  <c r="B5" i="8" l="1"/>
  <c r="G8" i="6"/>
  <c r="G7" i="6"/>
  <c r="H8" i="6"/>
  <c r="I8" i="6" s="1"/>
  <c r="J8" i="6" s="1"/>
  <c r="M8" i="6"/>
  <c r="G6" i="6"/>
  <c r="G5" i="6"/>
  <c r="A22" i="10"/>
  <c r="B22" i="10"/>
  <c r="C22" i="10"/>
  <c r="M22" i="10" s="1"/>
  <c r="D22" i="10"/>
  <c r="E22" i="10"/>
  <c r="F22" i="10"/>
  <c r="K22" i="10"/>
  <c r="L22" i="10"/>
  <c r="H22" i="10" s="1"/>
  <c r="P22" i="10"/>
  <c r="V22" i="10"/>
  <c r="W22" i="10"/>
  <c r="H5" i="6"/>
  <c r="I5" i="6" s="1"/>
  <c r="J5" i="6" s="1"/>
  <c r="M5" i="6"/>
  <c r="G4" i="6"/>
  <c r="G3" i="6"/>
  <c r="R8" i="6" l="1"/>
  <c r="S8" i="6" s="1"/>
  <c r="O8" i="6"/>
  <c r="Q8" i="6" s="1"/>
  <c r="I22" i="10"/>
  <c r="J22" i="10" s="1"/>
  <c r="R22" i="10" s="1"/>
  <c r="S22" i="10" s="1"/>
  <c r="R5" i="6"/>
  <c r="S5" i="6" s="1"/>
  <c r="O5" i="6"/>
  <c r="Q5" i="6" s="1"/>
  <c r="P21" i="6" l="1"/>
  <c r="G22" i="10" l="1"/>
  <c r="A21" i="10"/>
  <c r="B21" i="10"/>
  <c r="C21" i="10"/>
  <c r="M21" i="10" s="1"/>
  <c r="D21" i="10"/>
  <c r="E21" i="10"/>
  <c r="F21" i="10"/>
  <c r="K21" i="10"/>
  <c r="L21" i="10"/>
  <c r="H21" i="10" s="1"/>
  <c r="P21" i="10"/>
  <c r="V21" i="10"/>
  <c r="W21" i="10"/>
  <c r="I21" i="10" l="1"/>
  <c r="J21" i="10" s="1"/>
  <c r="R21" i="10" s="1"/>
  <c r="S21" i="10" s="1"/>
  <c r="H23" i="6"/>
  <c r="I23" i="6" s="1"/>
  <c r="J23" i="6" s="1"/>
  <c r="M23" i="6"/>
  <c r="P18" i="6"/>
  <c r="O23" i="6" l="1"/>
  <c r="Q23" i="6" s="1"/>
  <c r="R23" i="6"/>
  <c r="S23" i="6" s="1"/>
  <c r="V3" i="10"/>
  <c r="V4" i="10"/>
  <c r="V5" i="10"/>
  <c r="V6" i="10"/>
  <c r="V7" i="10"/>
  <c r="V8" i="10"/>
  <c r="V9" i="10"/>
  <c r="V10" i="10"/>
  <c r="V11" i="10"/>
  <c r="V12" i="10"/>
  <c r="V13" i="10"/>
  <c r="V14" i="10"/>
  <c r="V15" i="10"/>
  <c r="V16" i="10"/>
  <c r="V17" i="10"/>
  <c r="V18" i="10"/>
  <c r="V19" i="10"/>
  <c r="V20" i="10"/>
  <c r="G21" i="10"/>
  <c r="A12" i="10" l="1"/>
  <c r="A13" i="10"/>
  <c r="A14" i="10"/>
  <c r="A15" i="10"/>
  <c r="A16" i="10"/>
  <c r="A17" i="10"/>
  <c r="A18" i="10"/>
  <c r="A19" i="10"/>
  <c r="A20" i="10"/>
  <c r="B12" i="10"/>
  <c r="B13" i="10"/>
  <c r="B14" i="10"/>
  <c r="B15" i="10"/>
  <c r="B16" i="10"/>
  <c r="B17" i="10"/>
  <c r="B18" i="10"/>
  <c r="B19" i="10"/>
  <c r="B20" i="10"/>
  <c r="C12" i="10"/>
  <c r="M12" i="10" s="1"/>
  <c r="C13" i="10"/>
  <c r="M13" i="10" s="1"/>
  <c r="C14" i="10"/>
  <c r="M14" i="10" s="1"/>
  <c r="C15" i="10"/>
  <c r="M15" i="10" s="1"/>
  <c r="C16" i="10"/>
  <c r="M16" i="10" s="1"/>
  <c r="C17" i="10"/>
  <c r="M17" i="10" s="1"/>
  <c r="C18" i="10"/>
  <c r="M18" i="10" s="1"/>
  <c r="C19" i="10"/>
  <c r="M19" i="10" s="1"/>
  <c r="C20" i="10"/>
  <c r="M20" i="10" s="1"/>
  <c r="D12" i="10"/>
  <c r="D13" i="10"/>
  <c r="D14" i="10"/>
  <c r="D15" i="10"/>
  <c r="D16" i="10"/>
  <c r="D17" i="10"/>
  <c r="D18" i="10"/>
  <c r="D19" i="10"/>
  <c r="D20" i="10"/>
  <c r="E12" i="10"/>
  <c r="E13" i="10"/>
  <c r="E14" i="10"/>
  <c r="E15" i="10"/>
  <c r="E16" i="10"/>
  <c r="E17" i="10"/>
  <c r="E18" i="10"/>
  <c r="E19" i="10"/>
  <c r="E20" i="10"/>
  <c r="F12" i="10"/>
  <c r="F13" i="10"/>
  <c r="F14" i="10"/>
  <c r="F15" i="10"/>
  <c r="F16" i="10"/>
  <c r="F17" i="10"/>
  <c r="F18" i="10"/>
  <c r="F19" i="10"/>
  <c r="F20" i="10"/>
  <c r="K12" i="10"/>
  <c r="K13" i="10"/>
  <c r="K14" i="10"/>
  <c r="K15" i="10"/>
  <c r="K16" i="10"/>
  <c r="K17" i="10"/>
  <c r="K18" i="10"/>
  <c r="K19" i="10"/>
  <c r="K20" i="10"/>
  <c r="L12" i="10"/>
  <c r="H12" i="10" s="1"/>
  <c r="I12" i="10" s="1"/>
  <c r="J12" i="10" s="1"/>
  <c r="L13" i="10"/>
  <c r="H13" i="10" s="1"/>
  <c r="L14" i="10"/>
  <c r="H14" i="10" s="1"/>
  <c r="L15" i="10"/>
  <c r="H15" i="10" s="1"/>
  <c r="I15" i="10" s="1"/>
  <c r="J15" i="10" s="1"/>
  <c r="L16" i="10"/>
  <c r="H16" i="10" s="1"/>
  <c r="I16" i="10" s="1"/>
  <c r="J16" i="10" s="1"/>
  <c r="L17" i="10"/>
  <c r="H17" i="10" s="1"/>
  <c r="I17" i="10" s="1"/>
  <c r="J17" i="10" s="1"/>
  <c r="L18" i="10"/>
  <c r="H18" i="10" s="1"/>
  <c r="L19" i="10"/>
  <c r="H19" i="10" s="1"/>
  <c r="I19" i="10" s="1"/>
  <c r="J19" i="10" s="1"/>
  <c r="L20" i="10"/>
  <c r="H20" i="10" s="1"/>
  <c r="I20" i="10" s="1"/>
  <c r="J20" i="10" s="1"/>
  <c r="P12" i="10"/>
  <c r="P13" i="10"/>
  <c r="P14" i="10"/>
  <c r="P15" i="10"/>
  <c r="P16" i="10"/>
  <c r="P17" i="10"/>
  <c r="P18" i="10"/>
  <c r="P19" i="10"/>
  <c r="P20" i="10"/>
  <c r="W12" i="10"/>
  <c r="W13" i="10"/>
  <c r="W14" i="10"/>
  <c r="W15" i="10"/>
  <c r="W16" i="10"/>
  <c r="W17" i="10"/>
  <c r="W18" i="10"/>
  <c r="W19" i="10"/>
  <c r="W20" i="10"/>
  <c r="G19" i="10" l="1"/>
  <c r="G20" i="10"/>
  <c r="G14" i="10"/>
  <c r="G17" i="10"/>
  <c r="G18" i="10"/>
  <c r="G13" i="10"/>
  <c r="G15" i="10"/>
  <c r="G16" i="10"/>
  <c r="R16" i="10"/>
  <c r="S16" i="10" s="1"/>
  <c r="R15" i="10"/>
  <c r="S15" i="10" s="1"/>
  <c r="R19" i="10"/>
  <c r="S19" i="10" s="1"/>
  <c r="R17" i="10"/>
  <c r="S17" i="10" s="1"/>
  <c r="R20" i="10"/>
  <c r="S20" i="10" s="1"/>
  <c r="R12" i="10"/>
  <c r="S12" i="10" s="1"/>
  <c r="I18" i="10"/>
  <c r="J18" i="10" s="1"/>
  <c r="R18" i="10" s="1"/>
  <c r="S18" i="10" s="1"/>
  <c r="I14" i="10"/>
  <c r="J14" i="10" s="1"/>
  <c r="R14" i="10" s="1"/>
  <c r="S14" i="10" s="1"/>
  <c r="I13" i="10"/>
  <c r="J13" i="10" s="1"/>
  <c r="R13" i="10" s="1"/>
  <c r="S13" i="10" s="1"/>
  <c r="G12" i="6" l="1"/>
  <c r="G12" i="10" s="1"/>
  <c r="G8" i="10" l="1"/>
  <c r="G6" i="10"/>
  <c r="G5" i="10"/>
  <c r="W4" i="10"/>
  <c r="W5" i="10"/>
  <c r="W6" i="10"/>
  <c r="W7" i="10"/>
  <c r="W8" i="10"/>
  <c r="W9" i="10"/>
  <c r="W10" i="10"/>
  <c r="W11" i="10"/>
  <c r="W3" i="10"/>
  <c r="P5" i="10"/>
  <c r="P6" i="10"/>
  <c r="P7" i="10"/>
  <c r="P8" i="10"/>
  <c r="P9" i="10"/>
  <c r="P10" i="10"/>
  <c r="P11" i="10"/>
  <c r="P3" i="10"/>
  <c r="L4" i="10"/>
  <c r="L5" i="10"/>
  <c r="L6" i="10"/>
  <c r="L7" i="10"/>
  <c r="L8" i="10"/>
  <c r="L9" i="10"/>
  <c r="L10" i="10"/>
  <c r="L11" i="10"/>
  <c r="L3" i="10"/>
  <c r="K4" i="10"/>
  <c r="K5" i="10"/>
  <c r="K6" i="10"/>
  <c r="K7" i="10"/>
  <c r="K8" i="10"/>
  <c r="K9" i="10"/>
  <c r="K10" i="10"/>
  <c r="K11" i="10"/>
  <c r="K3" i="10"/>
  <c r="G11" i="10"/>
  <c r="F4" i="10"/>
  <c r="F5" i="10"/>
  <c r="F6" i="10"/>
  <c r="F7" i="10"/>
  <c r="F8" i="10"/>
  <c r="F9" i="10"/>
  <c r="F10" i="10"/>
  <c r="F11" i="10"/>
  <c r="F3" i="10"/>
  <c r="E4" i="10"/>
  <c r="E5" i="10"/>
  <c r="E6" i="10"/>
  <c r="E7" i="10"/>
  <c r="E8" i="10"/>
  <c r="E9" i="10"/>
  <c r="E10" i="10"/>
  <c r="E11" i="10"/>
  <c r="E3" i="10"/>
  <c r="D4" i="10"/>
  <c r="D5" i="10"/>
  <c r="D6" i="10"/>
  <c r="D7" i="10"/>
  <c r="D8" i="10"/>
  <c r="D9" i="10"/>
  <c r="D10" i="10"/>
  <c r="D11" i="10"/>
  <c r="D3" i="10"/>
  <c r="C4" i="10"/>
  <c r="M4" i="10" s="1"/>
  <c r="C5" i="10"/>
  <c r="M5" i="10" s="1"/>
  <c r="C6" i="10"/>
  <c r="M6" i="10" s="1"/>
  <c r="C7" i="10"/>
  <c r="M7" i="10" s="1"/>
  <c r="C8" i="10"/>
  <c r="M8" i="10" s="1"/>
  <c r="C9" i="10"/>
  <c r="M9" i="10" s="1"/>
  <c r="C10" i="10"/>
  <c r="M10" i="10" s="1"/>
  <c r="C11" i="10"/>
  <c r="M11" i="10" s="1"/>
  <c r="C3" i="10"/>
  <c r="M3" i="10" s="1"/>
  <c r="B4" i="10"/>
  <c r="B5" i="10"/>
  <c r="B6" i="10"/>
  <c r="B7" i="10"/>
  <c r="B8" i="10"/>
  <c r="B9" i="10"/>
  <c r="B10" i="10"/>
  <c r="B11" i="10"/>
  <c r="B3" i="10"/>
  <c r="A4" i="10"/>
  <c r="A5" i="10"/>
  <c r="A6" i="10"/>
  <c r="A7" i="10"/>
  <c r="A8" i="10"/>
  <c r="A9" i="10"/>
  <c r="A10" i="10"/>
  <c r="A11" i="10"/>
  <c r="A3" i="10"/>
  <c r="G4" i="10"/>
  <c r="P4" i="10"/>
  <c r="M4" i="6"/>
  <c r="M6" i="6"/>
  <c r="M7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3" i="6"/>
  <c r="G3" i="10"/>
  <c r="H3" i="6"/>
  <c r="H4" i="6"/>
  <c r="H6" i="6"/>
  <c r="H7" i="6"/>
  <c r="H9" i="6"/>
  <c r="H10" i="6"/>
  <c r="H11" i="6"/>
  <c r="H12" i="6"/>
  <c r="H13" i="6"/>
  <c r="H14" i="6"/>
  <c r="H15" i="6"/>
  <c r="H16" i="6"/>
  <c r="H17" i="6"/>
  <c r="H18" i="6"/>
  <c r="H19" i="6"/>
  <c r="G10" i="10" l="1"/>
  <c r="G9" i="10"/>
  <c r="G7" i="10"/>
  <c r="O18" i="6"/>
  <c r="Q18" i="6" s="1"/>
  <c r="O10" i="6"/>
  <c r="Q10" i="6" s="1"/>
  <c r="O17" i="6"/>
  <c r="Q17" i="6" s="1"/>
  <c r="O13" i="6"/>
  <c r="Q13" i="6" s="1"/>
  <c r="O9" i="6"/>
  <c r="Q9" i="6" s="1"/>
  <c r="O14" i="6"/>
  <c r="Q14" i="6" s="1"/>
  <c r="O4" i="6"/>
  <c r="Q4" i="6" s="1"/>
  <c r="O3" i="6"/>
  <c r="Q3" i="6" s="1"/>
  <c r="O16" i="6"/>
  <c r="Q16" i="6" s="1"/>
  <c r="O12" i="6"/>
  <c r="Q12" i="6" s="1"/>
  <c r="O7" i="6"/>
  <c r="Q7" i="6" s="1"/>
  <c r="O19" i="6"/>
  <c r="Q19" i="6" s="1"/>
  <c r="O15" i="6"/>
  <c r="Q15" i="6" s="1"/>
  <c r="O11" i="6"/>
  <c r="Q11" i="6" s="1"/>
  <c r="O6" i="6"/>
  <c r="Q6" i="6" s="1"/>
  <c r="O20" i="6"/>
  <c r="O21" i="6"/>
  <c r="O22" i="6"/>
  <c r="H11" i="10"/>
  <c r="H10" i="10"/>
  <c r="H9" i="10"/>
  <c r="H8" i="10"/>
  <c r="H7" i="10"/>
  <c r="H6" i="10"/>
  <c r="H5" i="10"/>
  <c r="H4" i="10"/>
  <c r="H3" i="10"/>
  <c r="B7" i="8"/>
  <c r="B6" i="8"/>
  <c r="F6" i="9" l="1"/>
  <c r="G6" i="9"/>
  <c r="E6" i="9"/>
  <c r="H20" i="6"/>
  <c r="H21" i="6"/>
  <c r="H22" i="6"/>
  <c r="I16" i="6" l="1"/>
  <c r="J16" i="6" s="1"/>
  <c r="R16" i="6" s="1"/>
  <c r="S16" i="6" s="1"/>
  <c r="I15" i="6"/>
  <c r="J15" i="6" s="1"/>
  <c r="R15" i="6" s="1"/>
  <c r="S15" i="6" s="1"/>
  <c r="I17" i="6"/>
  <c r="J17" i="6" s="1"/>
  <c r="R17" i="6" s="1"/>
  <c r="S17" i="6" s="1"/>
  <c r="I18" i="6"/>
  <c r="J18" i="6" s="1"/>
  <c r="R18" i="6" s="1"/>
  <c r="S18" i="6" s="1"/>
  <c r="I13" i="6"/>
  <c r="J13" i="6" s="1"/>
  <c r="R13" i="6" s="1"/>
  <c r="S13" i="6" s="1"/>
  <c r="I19" i="6"/>
  <c r="J19" i="6" s="1"/>
  <c r="R19" i="6" s="1"/>
  <c r="S19" i="6" s="1"/>
  <c r="I14" i="6"/>
  <c r="J14" i="6" s="1"/>
  <c r="R14" i="6" s="1"/>
  <c r="S14" i="6" s="1"/>
  <c r="I12" i="6"/>
  <c r="J12" i="6" s="1"/>
  <c r="R12" i="6" s="1"/>
  <c r="S12" i="6" s="1"/>
  <c r="I11" i="6"/>
  <c r="J11" i="6" s="1"/>
  <c r="R11" i="6" s="1"/>
  <c r="S11" i="6" s="1"/>
  <c r="I7" i="6"/>
  <c r="J7" i="6" s="1"/>
  <c r="R7" i="6" s="1"/>
  <c r="S7" i="6" s="1"/>
  <c r="I6" i="6"/>
  <c r="J6" i="6" s="1"/>
  <c r="R6" i="6" s="1"/>
  <c r="S6" i="6" s="1"/>
  <c r="I3" i="6"/>
  <c r="J3" i="6" s="1"/>
  <c r="R3" i="6" s="1"/>
  <c r="S3" i="6" s="1"/>
  <c r="I4" i="6"/>
  <c r="J4" i="6" s="1"/>
  <c r="R4" i="6" s="1"/>
  <c r="S4" i="6" s="1"/>
  <c r="I9" i="6"/>
  <c r="J9" i="6" s="1"/>
  <c r="R9" i="6" s="1"/>
  <c r="S9" i="6" s="1"/>
  <c r="I10" i="6"/>
  <c r="J10" i="6" s="1"/>
  <c r="R10" i="6" s="1"/>
  <c r="S10" i="6" s="1"/>
  <c r="C3" i="8"/>
  <c r="D6" i="9" s="1"/>
  <c r="I22" i="6"/>
  <c r="J22" i="6" s="1"/>
  <c r="R22" i="6" s="1"/>
  <c r="S22" i="6" s="1"/>
  <c r="D5" i="8"/>
  <c r="I11" i="10"/>
  <c r="J11" i="10" s="1"/>
  <c r="R11" i="10" s="1"/>
  <c r="S11" i="10" s="1"/>
  <c r="I8" i="10"/>
  <c r="J8" i="10" s="1"/>
  <c r="R8" i="10" s="1"/>
  <c r="S8" i="10" s="1"/>
  <c r="I5" i="10"/>
  <c r="J5" i="10" s="1"/>
  <c r="R5" i="10" s="1"/>
  <c r="S5" i="10" s="1"/>
  <c r="I20" i="6"/>
  <c r="J20" i="6" s="1"/>
  <c r="R20" i="6" s="1"/>
  <c r="S20" i="6" s="1"/>
  <c r="D7" i="8"/>
  <c r="I9" i="10"/>
  <c r="J9" i="10" s="1"/>
  <c r="R9" i="10" s="1"/>
  <c r="S9" i="10" s="1"/>
  <c r="I6" i="10"/>
  <c r="J6" i="10" s="1"/>
  <c r="R6" i="10" s="1"/>
  <c r="S6" i="10" s="1"/>
  <c r="I3" i="10"/>
  <c r="J3" i="10" s="1"/>
  <c r="R3" i="10" s="1"/>
  <c r="S3" i="10" s="1"/>
  <c r="D6" i="8"/>
  <c r="N24" i="10" s="1"/>
  <c r="O24" i="10" s="1"/>
  <c r="I7" i="10"/>
  <c r="J7" i="10" s="1"/>
  <c r="R7" i="10" s="1"/>
  <c r="S7" i="10" s="1"/>
  <c r="I10" i="10"/>
  <c r="J10" i="10" s="1"/>
  <c r="R10" i="10" s="1"/>
  <c r="S10" i="10" s="1"/>
  <c r="I4" i="10"/>
  <c r="J4" i="10" s="1"/>
  <c r="R4" i="10" s="1"/>
  <c r="S4" i="10" s="1"/>
  <c r="I21" i="6"/>
  <c r="J21" i="6" s="1"/>
  <c r="R21" i="6" s="1"/>
  <c r="S21" i="6" s="1"/>
  <c r="T24" i="10" l="1"/>
  <c r="Q24" i="10"/>
  <c r="U24" i="10" s="1"/>
  <c r="N22" i="10"/>
  <c r="O22" i="10" s="1"/>
  <c r="N23" i="10"/>
  <c r="O23" i="10" s="1"/>
  <c r="S25" i="6"/>
  <c r="Q22" i="10"/>
  <c r="U22" i="10" s="1"/>
  <c r="T22" i="10"/>
  <c r="N21" i="10"/>
  <c r="O21" i="10" s="1"/>
  <c r="N12" i="10"/>
  <c r="O12" i="10" s="1"/>
  <c r="N20" i="10"/>
  <c r="O20" i="10" s="1"/>
  <c r="N17" i="10"/>
  <c r="O17" i="10" s="1"/>
  <c r="N13" i="10"/>
  <c r="O13" i="10" s="1"/>
  <c r="N14" i="10"/>
  <c r="O14" i="10" s="1"/>
  <c r="N16" i="10"/>
  <c r="O16" i="10" s="1"/>
  <c r="N19" i="10"/>
  <c r="O19" i="10" s="1"/>
  <c r="N15" i="10"/>
  <c r="O15" i="10" s="1"/>
  <c r="N18" i="10"/>
  <c r="O18" i="10" s="1"/>
  <c r="N6" i="10"/>
  <c r="O6" i="10" s="1"/>
  <c r="N9" i="10"/>
  <c r="O9" i="10" s="1"/>
  <c r="N3" i="10"/>
  <c r="O3" i="10" s="1"/>
  <c r="N8" i="10"/>
  <c r="O8" i="10" s="1"/>
  <c r="N5" i="10"/>
  <c r="O5" i="10" s="1"/>
  <c r="N11" i="10"/>
  <c r="O11" i="10" s="1"/>
  <c r="N10" i="10"/>
  <c r="O10" i="10" s="1"/>
  <c r="N4" i="10"/>
  <c r="O4" i="10" s="1"/>
  <c r="N7" i="10"/>
  <c r="O7" i="10" s="1"/>
  <c r="S25" i="10"/>
  <c r="Q21" i="6"/>
  <c r="Q23" i="10" l="1"/>
  <c r="U23" i="10" s="1"/>
  <c r="T23" i="10"/>
  <c r="Q14" i="10"/>
  <c r="U14" i="10" s="1"/>
  <c r="T14" i="10"/>
  <c r="Q18" i="10"/>
  <c r="U18" i="10" s="1"/>
  <c r="T18" i="10"/>
  <c r="Q20" i="10"/>
  <c r="U20" i="10" s="1"/>
  <c r="T20" i="10"/>
  <c r="T19" i="10"/>
  <c r="Q19" i="10"/>
  <c r="U19" i="10" s="1"/>
  <c r="T12" i="10"/>
  <c r="Q12" i="10"/>
  <c r="U12" i="10" s="1"/>
  <c r="T13" i="10"/>
  <c r="Q13" i="10"/>
  <c r="U13" i="10" s="1"/>
  <c r="Q17" i="10"/>
  <c r="U17" i="10" s="1"/>
  <c r="T17" i="10"/>
  <c r="T15" i="10"/>
  <c r="Q15" i="10"/>
  <c r="U15" i="10" s="1"/>
  <c r="T16" i="10"/>
  <c r="Q16" i="10"/>
  <c r="U16" i="10" s="1"/>
  <c r="T21" i="10"/>
  <c r="Q21" i="10"/>
  <c r="U21" i="10" s="1"/>
  <c r="Q4" i="10"/>
  <c r="U4" i="10" s="1"/>
  <c r="T4" i="10"/>
  <c r="Q8" i="10"/>
  <c r="U8" i="10" s="1"/>
  <c r="T8" i="10"/>
  <c r="T9" i="10"/>
  <c r="Q9" i="10"/>
  <c r="U9" i="10" s="1"/>
  <c r="Q10" i="10"/>
  <c r="U10" i="10" s="1"/>
  <c r="T10" i="10"/>
  <c r="T3" i="10"/>
  <c r="Q3" i="10"/>
  <c r="T11" i="10"/>
  <c r="Q11" i="10"/>
  <c r="U11" i="10" s="1"/>
  <c r="T7" i="10"/>
  <c r="Q7" i="10"/>
  <c r="U7" i="10" s="1"/>
  <c r="T5" i="10"/>
  <c r="Q5" i="10"/>
  <c r="U5" i="10" s="1"/>
  <c r="Q6" i="10"/>
  <c r="U6" i="10" s="1"/>
  <c r="T6" i="10"/>
  <c r="Q20" i="6"/>
  <c r="Q22" i="6"/>
  <c r="Q25" i="10" l="1"/>
  <c r="B6" i="9" s="1"/>
  <c r="K6" i="9" s="1"/>
  <c r="U3" i="10"/>
  <c r="U25" i="10" s="1"/>
  <c r="Q25" i="6"/>
  <c r="C6" i="9" l="1"/>
  <c r="I6" i="9" s="1"/>
  <c r="L6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Magnus Fernandes Diniz</author>
  </authors>
  <commentList>
    <comment ref="N2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Alexandre Magnus Fernandes Diniz:</t>
        </r>
        <r>
          <rPr>
            <sz val="9"/>
            <color indexed="81"/>
            <rFont val="Segoe UI"/>
            <family val="2"/>
          </rPr>
          <t xml:space="preserve">
O Fator de ajuste só se presta para a planilha da empresa, pois o custo de hora do profissional já pressupõe o ajuste necessário. Sendo assim, permanece vazia para a ANAC.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Magnus Fernandes Diniz</author>
  </authors>
  <commentList>
    <comment ref="N2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>Alexandre Magnus Fernandes Diniz:</t>
        </r>
        <r>
          <rPr>
            <sz val="9"/>
            <color indexed="81"/>
            <rFont val="Segoe UI"/>
            <family val="2"/>
          </rPr>
          <t xml:space="preserve">
Pressupõe a relação entre o custo do profissional indicado e o de menor valor. Detalhamento na aba "Custo dos Profissionais"</t>
        </r>
      </text>
    </comment>
  </commentList>
</comments>
</file>

<file path=xl/sharedStrings.xml><?xml version="1.0" encoding="utf-8"?>
<sst xmlns="http://schemas.openxmlformats.org/spreadsheetml/2006/main" count="823" uniqueCount="316">
  <si>
    <t>Alta</t>
  </si>
  <si>
    <t>Baixa</t>
  </si>
  <si>
    <t>Média</t>
  </si>
  <si>
    <t>Integração</t>
  </si>
  <si>
    <t>1.01</t>
  </si>
  <si>
    <t>Por base de dados</t>
  </si>
  <si>
    <t>1.02</t>
  </si>
  <si>
    <t>SEGMENTO (A)</t>
  </si>
  <si>
    <t>ITEM (B)</t>
  </si>
  <si>
    <t xml:space="preserve">ID (C) </t>
  </si>
  <si>
    <t>NOME DO SERVIÇO (D)</t>
  </si>
  <si>
    <t>DESCRIÇÃO DO SERVIÇO (E)</t>
  </si>
  <si>
    <t>PRODUTOS/ENTREGÁVEIS (F)</t>
  </si>
  <si>
    <t>ATIVIDADES ESPERADAS (G)</t>
  </si>
  <si>
    <t>QUALIFICAÇÃO DOS PROFISSIONAIS NECESSÁRIOS (H)</t>
  </si>
  <si>
    <t>Sênior</t>
  </si>
  <si>
    <t>Pleno</t>
  </si>
  <si>
    <t>Júnior</t>
  </si>
  <si>
    <t xml:space="preserve">Remuneração </t>
  </si>
  <si>
    <t>Custo total</t>
  </si>
  <si>
    <t>Fator-k</t>
  </si>
  <si>
    <t>Fator de Ajuste</t>
  </si>
  <si>
    <t>CUSTO HORA DO PROFISSIONAL (J)</t>
  </si>
  <si>
    <t>PARÂMETRO (K)</t>
  </si>
  <si>
    <t>COMPLEXIDADE (L)</t>
  </si>
  <si>
    <t>QUANTIDADE HORAS (M)</t>
  </si>
  <si>
    <t>FATOR DE AJUSTE (N)</t>
  </si>
  <si>
    <t>ESTIMATIVA DO CUSTO MENSAL DO PROFISSIONAL (I)</t>
  </si>
  <si>
    <t>Quadro Resumo</t>
  </si>
  <si>
    <t>QUANTIDADE DE UES
(O = M*N)</t>
  </si>
  <si>
    <t>Quantidade de UES Estimada</t>
  </si>
  <si>
    <t>Custo Estimado</t>
  </si>
  <si>
    <t>Remuneração profissional Júnior</t>
  </si>
  <si>
    <t>Remuneração profissional Pleno</t>
  </si>
  <si>
    <t>Remuneração profissional Sênior</t>
  </si>
  <si>
    <t>Profissionais ideais</t>
  </si>
  <si>
    <t>Cesta</t>
  </si>
  <si>
    <t>Analista de BI Pleno</t>
  </si>
  <si>
    <t>Analista de BI Júnior</t>
  </si>
  <si>
    <t>Analista de Sistemas Sênior</t>
  </si>
  <si>
    <t>Analista de Sistemas Pleno</t>
  </si>
  <si>
    <t>Analista de Sistemas Júnior</t>
  </si>
  <si>
    <t>Auditor/Compliance de IT Pleno</t>
  </si>
  <si>
    <t>Auditor/Compliance de IT Júnior</t>
  </si>
  <si>
    <t>Valor ANAC</t>
  </si>
  <si>
    <t>Valor com base na UES ofertada</t>
  </si>
  <si>
    <t>CUSTO UNITÁRIO DO SERVIÇO (T = O*UES OFERTADA)</t>
  </si>
  <si>
    <t>CUSTO TOTAL DO SERVIÇO (U = UES OFERTADA*Q)</t>
  </si>
  <si>
    <t>Pregão UES</t>
  </si>
  <si>
    <t>CUSTO UNITÁRIO DO SERVIÇO (R = M*J)</t>
  </si>
  <si>
    <t>CUSTO TOTAL DO SERVIÇO (S = R*P)</t>
  </si>
  <si>
    <t>Baseado em planilha de custos e encargos relacionados à categoria.</t>
  </si>
  <si>
    <t>Cesta da remuneração média dos profissinais de nível júnior para execução de atividades de baixa complexidade.</t>
  </si>
  <si>
    <t>Cesta da remuneração média dos profissinais de nível Pleno para execução de atividades de média complexidade.</t>
  </si>
  <si>
    <t>Cesta da remuneração média dos profissinais de nível Sênior para execução de atividades de alta complexidade.</t>
  </si>
  <si>
    <t>Fonte: aba "Catálogo UES GRC_Est_ANAC"</t>
  </si>
  <si>
    <t>Fonte: aba "Custo dos Profissionais"</t>
  </si>
  <si>
    <t>Explicação</t>
  </si>
  <si>
    <t>Fonte</t>
  </si>
  <si>
    <t>Fonte: aba "Catálogo UES GRC_Est_Empresas"</t>
  </si>
  <si>
    <r>
      <t xml:space="preserve">Leva em consideração o quantitativo de horas estimado para cada serviço e respectivo </t>
    </r>
    <r>
      <rPr>
        <b/>
        <u/>
        <sz val="8"/>
        <color theme="0"/>
        <rFont val="Calibri"/>
        <family val="2"/>
        <scheme val="minor"/>
      </rPr>
      <t>custo do profissional desejado para executar o serviço</t>
    </r>
    <r>
      <rPr>
        <sz val="8"/>
        <color theme="0"/>
        <rFont val="Calibri"/>
        <family val="2"/>
        <scheme val="minor"/>
      </rPr>
      <t>. Além disso, multiplica-se pela necessidade estimada em 12 meses para se apurar o valor total.</t>
    </r>
  </si>
  <si>
    <r>
      <t>Leva em consideração o quantitativo de horas estimado para cada serviço e respectivo</t>
    </r>
    <r>
      <rPr>
        <b/>
        <u/>
        <sz val="8"/>
        <color theme="0"/>
        <rFont val="Calibri"/>
        <family val="2"/>
        <scheme val="minor"/>
      </rPr>
      <t xml:space="preserve"> fator de ajuste</t>
    </r>
    <r>
      <rPr>
        <sz val="8"/>
        <color theme="0"/>
        <rFont val="Calibri"/>
        <family val="2"/>
        <scheme val="minor"/>
      </rPr>
      <t>. Além disso, multiplica-se pela necessidade estimada em 12 meses para se apurar o valor total.</t>
    </r>
  </si>
  <si>
    <t>Custo total estimado/Quantidade de UES estimada</t>
  </si>
  <si>
    <t>Valor da UES do Pregão</t>
  </si>
  <si>
    <t>N/A</t>
  </si>
  <si>
    <t>Valor total do Pregão</t>
  </si>
  <si>
    <t>Valor da UES do Pregão multiplicado pelo total de UES estimada.</t>
  </si>
  <si>
    <t>Preço de UES de Referência</t>
  </si>
  <si>
    <t>*Preencher somente células em amarelo.</t>
  </si>
  <si>
    <t>Custo estimado pela ANAC - Estimativa de custo total baseada na UES ofertada</t>
  </si>
  <si>
    <t>Fator-k Médio</t>
  </si>
  <si>
    <t>Obs.</t>
  </si>
  <si>
    <t>O cálculo do fator-k consta na planilha de custo para cada profissional.</t>
  </si>
  <si>
    <t>ID</t>
  </si>
  <si>
    <t>Serviço</t>
  </si>
  <si>
    <t>Atividades</t>
  </si>
  <si>
    <t>Formulário</t>
  </si>
  <si>
    <t>Processo</t>
  </si>
  <si>
    <t>Relatório</t>
  </si>
  <si>
    <t>Parametrização de formulário</t>
  </si>
  <si>
    <t>1. Levantar dados e informações para parametrização</t>
  </si>
  <si>
    <t>Segmento</t>
  </si>
  <si>
    <t>Formulário parametrizado</t>
  </si>
  <si>
    <t>Por formulário</t>
  </si>
  <si>
    <t>1. Levantar dados e informações para ajuste</t>
  </si>
  <si>
    <t>2. Ajustar campo de formulário</t>
  </si>
  <si>
    <t>Ajustes pontuais em formulários já elaborados</t>
  </si>
  <si>
    <t>Relatórios</t>
  </si>
  <si>
    <t>2.01</t>
  </si>
  <si>
    <t>2.02</t>
  </si>
  <si>
    <t>Parametrização de relatório</t>
  </si>
  <si>
    <t>Parametrizar relatório das áreas de negócio na solução</t>
  </si>
  <si>
    <t>Ajustes pontuais em relatórios já elaborados</t>
  </si>
  <si>
    <t>Relatório parametrizado</t>
  </si>
  <si>
    <t>Por relatório</t>
  </si>
  <si>
    <t>2. Parametrizar o relatório na solução</t>
  </si>
  <si>
    <t>2. Ajustar campo do relatório</t>
  </si>
  <si>
    <t>3.01</t>
  </si>
  <si>
    <t>3.02</t>
  </si>
  <si>
    <t>Painéis visuais/Dashboards/Gráficos</t>
  </si>
  <si>
    <t>Parametrização de painel visual/dashboard/gráfico</t>
  </si>
  <si>
    <t>Ajuste em gráfico do painel/dashboard</t>
  </si>
  <si>
    <t>2. Parametrizar o painel/dashboard na solução</t>
  </si>
  <si>
    <t>2. Ajustar gráfico do painel/dashboard</t>
  </si>
  <si>
    <t>Por painel/dashboard</t>
  </si>
  <si>
    <t>Parametrizar paineis visuais na solução (até 6 gráficos)</t>
  </si>
  <si>
    <t>Painel visual ou dahsboard parametrizado com atualização periódica configurada</t>
  </si>
  <si>
    <t>Ajustes gráficos específicos dos paineis já elaborados</t>
  </si>
  <si>
    <t>Gráfico ajustado</t>
  </si>
  <si>
    <t>Horas estimadas</t>
  </si>
  <si>
    <t>4.01</t>
  </si>
  <si>
    <t>4.02</t>
  </si>
  <si>
    <t>Realização de carga de dados</t>
  </si>
  <si>
    <t>Parametrização de conectores de integração</t>
  </si>
  <si>
    <t>3. Validar com o demandante o painel elaborado e promover ajustes</t>
  </si>
  <si>
    <t>Promover a parametrização dos conectores de integração na solução</t>
  </si>
  <si>
    <t>Integração parametrizada</t>
  </si>
  <si>
    <t xml:space="preserve">Parametrização de formulário </t>
  </si>
  <si>
    <t>Parametrizar formulário das áreas de negócio na solução (até 15 campos)</t>
  </si>
  <si>
    <t>Analista de Negócio</t>
  </si>
  <si>
    <t>Salário</t>
  </si>
  <si>
    <t>Guia Salarial 2020 - Robert Half (percentil 50)</t>
  </si>
  <si>
    <t>Gerente de Projetos Sênior</t>
  </si>
  <si>
    <t>salario.com.br (grandes empresas - Brasília)</t>
  </si>
  <si>
    <t>Gerente de Projetos Pleno</t>
  </si>
  <si>
    <t>Gerente de Projetos Júnior</t>
  </si>
  <si>
    <t>Gerente de Projetos - perfil A</t>
  </si>
  <si>
    <t>Gerente de Projetos - perfil B</t>
  </si>
  <si>
    <t>Gerente de Projetos - perfil C</t>
  </si>
  <si>
    <t>Contrato 23/2017 - Pregão 14/2017 (Salário da equipe atual)</t>
  </si>
  <si>
    <t>PRAZO PARA EXECUÇÃO DO SERVIÇO (DIAS ÚTEIS)</t>
  </si>
  <si>
    <t>1. Avaliação das Especificações funcional e Técnica</t>
  </si>
  <si>
    <t>2. Preparação dos dados a serem carregados</t>
  </si>
  <si>
    <t>3. Realização da carga</t>
  </si>
  <si>
    <t>4. Verificação funcional da carga realizada</t>
  </si>
  <si>
    <t>Carga de dados realizada</t>
  </si>
  <si>
    <t>Realizar carga de dados provenientes de outras bases de dados definidas pela ANAC</t>
  </si>
  <si>
    <t>Administração/Governança</t>
  </si>
  <si>
    <t>5.01</t>
  </si>
  <si>
    <t>Realizar parametrização de perfis de acesso na solução com base no levantamento realizado junto à ANAC</t>
  </si>
  <si>
    <t>Cadastro inicial</t>
  </si>
  <si>
    <t>1 Cadastro inicial na solução</t>
  </si>
  <si>
    <t>5.02</t>
  </si>
  <si>
    <t>Parametrização de perfis de acessos</t>
  </si>
  <si>
    <t>3. Validar com o demandante os perfis cadastrados e promover ajustes</t>
  </si>
  <si>
    <t>2. Parametrizar solução com os perfis validados pelo demandante</t>
  </si>
  <si>
    <t>Implementação da estrutura organizacional da ANAC</t>
  </si>
  <si>
    <t>Implementar, conforme boas práticas da solução, a estrutura organizacional da ANAC na solução</t>
  </si>
  <si>
    <t>Perfis de acesso cadastrado na solução e documento sobre ações e permissões dos perfis</t>
  </si>
  <si>
    <t>4. Produzir documento de perfis e ações permitidas</t>
  </si>
  <si>
    <t>5. Verificação funcional dos perfis</t>
  </si>
  <si>
    <t>4. Produzir documento de estrutura organizacional</t>
  </si>
  <si>
    <t>Estrutura organizacional cadastrada na solução e documento sobre estrutura proposta e validada</t>
  </si>
  <si>
    <t>6.01</t>
  </si>
  <si>
    <t>Parametrização do processo de fiscalização na solução</t>
  </si>
  <si>
    <t>1. Levantar dados e informações de mapeamento do fluxo</t>
  </si>
  <si>
    <t>2. Parametrizar solução com a estrutura aprovada pelo demandante</t>
  </si>
  <si>
    <t>3. Validar com o demandante a estrutura implementada e promover ajustes</t>
  </si>
  <si>
    <t>2. Parametrizar solução com o fluxo validado pelo demandante</t>
  </si>
  <si>
    <t>3. Validar com o demandante o fluxo implementado e promover ajustes</t>
  </si>
  <si>
    <t>4. Produzir documento de fluxo implementado</t>
  </si>
  <si>
    <t xml:space="preserve">Por processo </t>
  </si>
  <si>
    <t>Fluxo de fiscalização implementado na solução e documentação de fluxo</t>
  </si>
  <si>
    <t>6.02</t>
  </si>
  <si>
    <t>Implementar, com base nas boas práticas e opções da solução, processo de planejamento e gestão das fiscalizações com uma visão gerencial para a unidade da ANAC.</t>
  </si>
  <si>
    <t>Parametrização/adaptação do processo de planejamento e gestão das fiscalizações</t>
  </si>
  <si>
    <t>Planejamento e gestão implementado na solução</t>
  </si>
  <si>
    <t>Por unidade</t>
  </si>
  <si>
    <t>1. Levantar dados e informações de mapeamento do fluxo e visão de interesse</t>
  </si>
  <si>
    <t>2. Parametrizar solução com o fluxo e visão validados pelo demandante</t>
  </si>
  <si>
    <t>3. Validar com o demandante o fluxo e visão implementados e promover ajustes</t>
  </si>
  <si>
    <t>4. Produzir documento de fluxo e visão implementado</t>
  </si>
  <si>
    <t>Fontes Normativas e Padrões de Controle</t>
  </si>
  <si>
    <t>7.01</t>
  </si>
  <si>
    <t>Por norma</t>
  </si>
  <si>
    <t>Inserção de fontes normativas ou regulamentos</t>
  </si>
  <si>
    <t xml:space="preserve">Inserir na solução fontes normativas ou regulamentos </t>
  </si>
  <si>
    <t>Norma ou regulamento inserido</t>
  </si>
  <si>
    <t>1. Levantar norma e parâmetros a serem inseridos na solução</t>
  </si>
  <si>
    <t>2. Promover tratamento da norma para inclusão na solução</t>
  </si>
  <si>
    <t>3. Carga da norma na solução</t>
  </si>
  <si>
    <t>7.02</t>
  </si>
  <si>
    <t>Inserção de padrões de controle</t>
  </si>
  <si>
    <t>Inserir na solução padrões de controle</t>
  </si>
  <si>
    <t>Padrão de controle inserido na solução</t>
  </si>
  <si>
    <t>1. Levantar padrão de controle a ser inserido na solução</t>
  </si>
  <si>
    <t>2. Promover tratamento do padrão de controle para inclusão na solução</t>
  </si>
  <si>
    <t>3. Carga do padrão de controle na solução</t>
  </si>
  <si>
    <t>Plano de ação</t>
  </si>
  <si>
    <t>8.01</t>
  </si>
  <si>
    <t>Parametrização/adaptação do plano de ação das fiscalizações</t>
  </si>
  <si>
    <t>Implementar, com base nas boas práticas e opções da solução, plano de ação relativo as não conformidades oriundas do processo de fiscalização.</t>
  </si>
  <si>
    <t>Plano de ação implementado na solução</t>
  </si>
  <si>
    <t>Por padrão de controle</t>
  </si>
  <si>
    <t>Implementar o processo de fiscalização na solução com base nas informações do fluxo de conformidade existente na ANAC e alinhando-se às boas práticas da solução.</t>
  </si>
  <si>
    <t>Por plano de ação</t>
  </si>
  <si>
    <t>Processo de fiscalização</t>
  </si>
  <si>
    <t>Risco</t>
  </si>
  <si>
    <t>9.01</t>
  </si>
  <si>
    <t>Parametrização do catálogo de risco</t>
  </si>
  <si>
    <t>Implementar, com base nas boas práticas da solução, catálogo de riscos atrelado ao processo de fiscalização.</t>
  </si>
  <si>
    <t>Catálogo de riscos implementado</t>
  </si>
  <si>
    <t>1. Levantar dados e informações de risco e visão de interesse</t>
  </si>
  <si>
    <t>2. Parametrizar solução com catálogo de risco validado pelo demandante</t>
  </si>
  <si>
    <t>Por 10 riscos</t>
  </si>
  <si>
    <t>Campos Calculados</t>
  </si>
  <si>
    <t>10.01</t>
  </si>
  <si>
    <t>Construção de campos calculados e fórmulas</t>
  </si>
  <si>
    <t>Implementar campos calculados na solução</t>
  </si>
  <si>
    <t>Cálculo implementado</t>
  </si>
  <si>
    <t>Até 2 fórmulas</t>
  </si>
  <si>
    <t>2. Parametrizar do campo na solução</t>
  </si>
  <si>
    <t>3. Validar com o demandante o cálculo e promover ajustes</t>
  </si>
  <si>
    <t>Mobile</t>
  </si>
  <si>
    <t>11.01</t>
  </si>
  <si>
    <t>Customização/adaptação do aplicativo</t>
  </si>
  <si>
    <t>QUANTIDADE DE EXECUÇÕES PREVISTAS EM 36 MESES (P)</t>
  </si>
  <si>
    <t>2 padrões por unidade, sendo 3 unidades por ano</t>
  </si>
  <si>
    <t>QUANTIDADE 36 MESES DE UES AJUSTADO
(Q =O*P)</t>
  </si>
  <si>
    <t>12.01</t>
  </si>
  <si>
    <t>Por aplicação</t>
  </si>
  <si>
    <t>Parametrização de nova aplicação</t>
  </si>
  <si>
    <t>Parametrização de nova aplicação integrada à solução, conforme requisitos levantados junto à area de negócio da ANAC</t>
  </si>
  <si>
    <t>Aplicação implementada</t>
  </si>
  <si>
    <t>Aplicativo customizado/adaptado</t>
  </si>
  <si>
    <t>Customização simples de aplicativo integrado à solução, conforme requisitos específicos levantados junto à àrea de negócio.</t>
  </si>
  <si>
    <t>4 Fórmulas por unidade, sendo no máximo 3 unidades por ano</t>
  </si>
  <si>
    <t>3 ajustes pontuais durante todo a vigência do contrato</t>
  </si>
  <si>
    <t>3 construções de aplicação durante toda a vigência do contrato com foco nos fluxos mais complexos. Os demais serão construídos com base no treinamentos realizados.</t>
  </si>
  <si>
    <t>Fluxo de aplicações</t>
  </si>
  <si>
    <t>2. Customizar aplicativo com requisitos validados pelo demandante</t>
  </si>
  <si>
    <t>1. Levantar requisitos para ajuste no aplicativo</t>
  </si>
  <si>
    <t>3. Validar com o demandante aplicativo customizado e promover ajustes</t>
  </si>
  <si>
    <t>4. Produzir documentação de customização</t>
  </si>
  <si>
    <t>1. Levantar dados e informações sobre o fluxo a ser implementado</t>
  </si>
  <si>
    <t>3. Validar com o demandante fluxo implementado e promover ajustes</t>
  </si>
  <si>
    <t>4. Produzir documentação do fluxo</t>
  </si>
  <si>
    <t>JUSTIFICATIVA PARA QUANTIDADE DE EXECUÇÕES</t>
  </si>
  <si>
    <t xml:space="preserve">JUSTIFICATIVA PARA QUANTIDADE DE EXECUÇÕES </t>
  </si>
  <si>
    <t>Diferença em relação ao valor estimado</t>
  </si>
  <si>
    <t>2. Parametrizar campos e layouts do formulário na solução</t>
  </si>
  <si>
    <t>3. Parametrizar regras de controle no formulário</t>
  </si>
  <si>
    <t>4. Parametrizar notificações e layouts do formulário</t>
  </si>
  <si>
    <t>5. Parametrizar workflow do formulário</t>
  </si>
  <si>
    <t>6. Validar com o demandante o formulário</t>
  </si>
  <si>
    <t>7. Promover ajustes no formulário</t>
  </si>
  <si>
    <t>8. Disponibilizar em ambiente de produção</t>
  </si>
  <si>
    <t>3. Validar com o demandante ajustes realizados</t>
  </si>
  <si>
    <t>4. Disponibilizar em ambiente de produção</t>
  </si>
  <si>
    <t>Por formulário (até 5 campos)</t>
  </si>
  <si>
    <t>Formulário ajustado</t>
  </si>
  <si>
    <t>1.03</t>
  </si>
  <si>
    <t>Ajuste nos campos de formulários (baixa complexidade)</t>
  </si>
  <si>
    <t>Ajuste nos campos de formulários (média complexidade)</t>
  </si>
  <si>
    <t>4. Promover ajustes no relatório</t>
  </si>
  <si>
    <t>5. Disponibilizar em ambiente de produção</t>
  </si>
  <si>
    <t>Por relatório (até 5 campos)</t>
  </si>
  <si>
    <t>Ajuste em campos de relatório (baixa complexidade)</t>
  </si>
  <si>
    <t>2.03</t>
  </si>
  <si>
    <t>Ajuste em campos de relatório (média complexidade)</t>
  </si>
  <si>
    <t>3. Validar com o demandante o relatório</t>
  </si>
  <si>
    <t>3. Validar com o demandante o rela e promover ajustes</t>
  </si>
  <si>
    <t>Relatório ajustado</t>
  </si>
  <si>
    <t>3. Validar com o demandante o painel elaborado</t>
  </si>
  <si>
    <t>4. Promover ajustes no painel/dashboard</t>
  </si>
  <si>
    <t>Por painel/dashboard (até 2 gráficos)</t>
  </si>
  <si>
    <t>1. Levantar sistemas e dados para integração</t>
  </si>
  <si>
    <t>2. Documentar sistemas e tipos de dados a serem integrados</t>
  </si>
  <si>
    <t>3. Parametrizar conectores de integração</t>
  </si>
  <si>
    <t>4. Validar com o demandante a integração</t>
  </si>
  <si>
    <t>5. Promover ajustes</t>
  </si>
  <si>
    <t>6. Disponibilizar em ambiente de produção</t>
  </si>
  <si>
    <t>7. Configurar atualização periódica</t>
  </si>
  <si>
    <t>6. Ajustes nos perfis de acessos e grupos implementados</t>
  </si>
  <si>
    <t>6. Verificação funcional do fluxo na solução</t>
  </si>
  <si>
    <t>6. Verificação funcional do fluxo e visão na solução</t>
  </si>
  <si>
    <t>Consultor de TI</t>
  </si>
  <si>
    <t>trabalhabrasil.com.br (grandes empresas)</t>
  </si>
  <si>
    <t>Consultor ERP</t>
  </si>
  <si>
    <t xml:space="preserve">Gerente de Projetos </t>
  </si>
  <si>
    <t>4. Validar com o demandante as normas e regulamentos inseridos</t>
  </si>
  <si>
    <t>4. Validar com o demandante os padrões de controle inseridos</t>
  </si>
  <si>
    <t>3. Promover a vinculação dos riscos com a estrutura organizacional e com as fiscalizações</t>
  </si>
  <si>
    <t>4. Validar com o demandante catálogo de risco implementado e promover ajustes</t>
  </si>
  <si>
    <t>5. Produzir documentação do catálogo</t>
  </si>
  <si>
    <t>7. Verificação funcional do catálogo na solução</t>
  </si>
  <si>
    <t>4. Ajustar após validação do demandante</t>
  </si>
  <si>
    <t>6. Verificação funcional da implementação</t>
  </si>
  <si>
    <t>Por customização</t>
  </si>
  <si>
    <t>1 formulário por unidade, sendo no máximo 3 unidades por ano.</t>
  </si>
  <si>
    <t>2 ajustes por unidade, sendo no máximo 3 unidades por ano.</t>
  </si>
  <si>
    <t>2 relatórios por unidade, sendo no máximo 3 unidades por ano.</t>
  </si>
  <si>
    <t>2 relatórios por unidade para ajuste, sendo no máximo 3 unidades por ano.</t>
  </si>
  <si>
    <t>2 paineis por unidade, sendo 3 unidades por ano</t>
  </si>
  <si>
    <t>1 painel ajustado por unidade e no máximo 3 unidades por ano</t>
  </si>
  <si>
    <t>1 integração por processo implementado, sendo 1 processo por unidade e no máximo 3 unidades por ano</t>
  </si>
  <si>
    <t>1 carga de dados por unidade, sendo 3 unidades por ano</t>
  </si>
  <si>
    <t>1 visão de planejamento e gestão por unidade, sendo no máximo 6 unidades</t>
  </si>
  <si>
    <t>2 normas por unidade, sendo 3 unidades por ano</t>
  </si>
  <si>
    <t>1 fluxo implementado por unidade, sendo no máximo 3 unidades por ano</t>
  </si>
  <si>
    <t>1 catálogo de risco por unidade, sendo no máximo 6 unidades</t>
  </si>
  <si>
    <t>Projeto</t>
  </si>
  <si>
    <t>13.01</t>
  </si>
  <si>
    <t>Estruturação de projeto</t>
  </si>
  <si>
    <t>Documento de especificação e implementação da solução com base no ambiente da ANAC</t>
  </si>
  <si>
    <t xml:space="preserve">Levantamento do ambiente tecnológico e de negócio da ANAC para estruturação da solução com base nas boas práticas de implementação de GRC. </t>
  </si>
  <si>
    <t>1. Levantamento macro dos fluxos operacionais e processos de negócio da ANAC</t>
  </si>
  <si>
    <t>2. Validação de proposta de escopo e entregas</t>
  </si>
  <si>
    <t>3. Revisão e ajuste do escopo e entregas</t>
  </si>
  <si>
    <t>4. Elaboração do cronograma e plano do projeto</t>
  </si>
  <si>
    <t>5. Elaboração do documento de especificação a ser implementado</t>
  </si>
  <si>
    <t>6. Definição da visão estratégica, tática e operacional na solução</t>
  </si>
  <si>
    <t>7. Revisão e validação da visão, tática e operacional na solução</t>
  </si>
  <si>
    <t>Projeto inicial</t>
  </si>
  <si>
    <t>1 Avaliação inicial do ambiente tecnológico e de negócio</t>
  </si>
  <si>
    <t>Todos os valores são meramente exemplificativos, de modo que a licitante deverá apresentar os valores correspondentes a sua realidade.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</si>
</sst>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* #,##0.0000_-;\-* #,##0.0000_-;_-* &quot;-&quot;??_-;_-@_-"/>
    <numFmt numFmtId="166" formatCode="_-* #,##0.0000_-;\-* #,##0.0000_-;_-* &quot;-&quot;??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8"/>
      <color theme="0"/>
      <name val="Calibri"/>
      <family val="2"/>
      <scheme val="minor"/>
    </font>
    <font>
      <b/>
      <u/>
      <sz val="8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8">
    <xf numFmtId="0" fontId="0" fillId="0" borderId="0" xfId="0"/>
    <xf numFmtId="43" fontId="0" fillId="0" borderId="0" xfId="1" applyFont="1"/>
    <xf numFmtId="0" fontId="2" fillId="0" borderId="0" xfId="0" applyFont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4" fontId="4" fillId="2" borderId="5" xfId="2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44" fontId="4" fillId="2" borderId="6" xfId="2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0" fillId="0" borderId="1" xfId="0" applyNumberFormat="1" applyBorder="1"/>
    <xf numFmtId="0" fontId="5" fillId="0" borderId="0" xfId="0" applyFont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43" fontId="4" fillId="2" borderId="5" xfId="1" applyFont="1" applyFill="1" applyBorder="1" applyAlignment="1">
      <alignment horizontal="center" vertical="center" wrapText="1"/>
    </xf>
    <xf numFmtId="44" fontId="4" fillId="6" borderId="6" xfId="2" applyFont="1" applyFill="1" applyBorder="1" applyAlignment="1">
      <alignment horizontal="center" vertical="center" wrapText="1"/>
    </xf>
    <xf numFmtId="164" fontId="8" fillId="0" borderId="0" xfId="0" applyNumberFormat="1" applyFont="1"/>
    <xf numFmtId="43" fontId="0" fillId="0" borderId="0" xfId="1" applyFont="1" applyAlignment="1">
      <alignment wrapText="1"/>
    </xf>
    <xf numFmtId="164" fontId="0" fillId="3" borderId="1" xfId="0" applyNumberFormat="1" applyFill="1" applyBorder="1"/>
    <xf numFmtId="43" fontId="0" fillId="0" borderId="1" xfId="1" applyNumberFormat="1" applyFont="1" applyBorder="1" applyAlignment="1">
      <alignment horizontal="center" vertical="center" wrapText="1"/>
    </xf>
    <xf numFmtId="44" fontId="0" fillId="0" borderId="1" xfId="2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/>
    <xf numFmtId="0" fontId="14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  <xf numFmtId="44" fontId="0" fillId="2" borderId="1" xfId="2" applyFont="1" applyFill="1" applyBorder="1" applyAlignment="1">
      <alignment horizontal="center" vertical="center"/>
    </xf>
    <xf numFmtId="0" fontId="7" fillId="3" borderId="0" xfId="0" applyFont="1" applyFill="1"/>
    <xf numFmtId="0" fontId="15" fillId="3" borderId="0" xfId="0" applyFont="1" applyFill="1"/>
    <xf numFmtId="0" fontId="5" fillId="3" borderId="0" xfId="0" applyFont="1" applyFill="1"/>
    <xf numFmtId="0" fontId="15" fillId="2" borderId="0" xfId="0" applyFont="1" applyFill="1"/>
    <xf numFmtId="0" fontId="5" fillId="2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165" fontId="0" fillId="2" borderId="1" xfId="0" applyNumberFormat="1" applyFill="1" applyBorder="1" applyAlignment="1">
      <alignment horizontal="center" vertical="center"/>
    </xf>
    <xf numFmtId="165" fontId="9" fillId="0" borderId="1" xfId="1" applyNumberFormat="1" applyFont="1" applyBorder="1"/>
    <xf numFmtId="165" fontId="9" fillId="0" borderId="1" xfId="1" applyNumberFormat="1" applyFont="1" applyBorder="1" applyAlignment="1">
      <alignment wrapText="1"/>
    </xf>
    <xf numFmtId="0" fontId="12" fillId="4" borderId="1" xfId="0" applyFont="1" applyFill="1" applyBorder="1" applyAlignment="1">
      <alignment horizontal="center"/>
    </xf>
    <xf numFmtId="0" fontId="12" fillId="4" borderId="1" xfId="0" applyFont="1" applyFill="1" applyBorder="1"/>
    <xf numFmtId="0" fontId="12" fillId="4" borderId="1" xfId="0" applyFont="1" applyFill="1" applyBorder="1" applyAlignment="1">
      <alignment horizontal="center" vertical="center"/>
    </xf>
    <xf numFmtId="0" fontId="9" fillId="3" borderId="1" xfId="0" applyFont="1" applyFill="1" applyBorder="1"/>
    <xf numFmtId="43" fontId="9" fillId="3" borderId="1" xfId="1" applyFont="1" applyFill="1" applyBorder="1"/>
    <xf numFmtId="0" fontId="9" fillId="0" borderId="1" xfId="0" applyFont="1" applyBorder="1"/>
    <xf numFmtId="0" fontId="16" fillId="0" borderId="1" xfId="0" applyFont="1" applyBorder="1" applyAlignment="1">
      <alignment horizontal="right"/>
    </xf>
    <xf numFmtId="43" fontId="16" fillId="0" borderId="1" xfId="0" applyNumberFormat="1" applyFont="1" applyBorder="1"/>
    <xf numFmtId="43" fontId="12" fillId="4" borderId="1" xfId="1" applyFont="1" applyFill="1" applyBorder="1"/>
    <xf numFmtId="165" fontId="16" fillId="2" borderId="1" xfId="1" applyNumberFormat="1" applyFont="1" applyFill="1" applyBorder="1"/>
    <xf numFmtId="43" fontId="9" fillId="2" borderId="1" xfId="1" applyFont="1" applyFill="1" applyBorder="1"/>
    <xf numFmtId="165" fontId="9" fillId="3" borderId="1" xfId="1" applyNumberFormat="1" applyFont="1" applyFill="1" applyBorder="1"/>
    <xf numFmtId="0" fontId="17" fillId="0" borderId="0" xfId="0" applyFont="1"/>
    <xf numFmtId="0" fontId="4" fillId="2" borderId="5" xfId="0" applyNumberFormat="1" applyFont="1" applyFill="1" applyBorder="1" applyAlignment="1">
      <alignment horizontal="center" vertical="center" wrapText="1"/>
    </xf>
    <xf numFmtId="44" fontId="4" fillId="2" borderId="5" xfId="2" applyNumberFormat="1" applyFont="1" applyFill="1" applyBorder="1" applyAlignment="1">
      <alignment horizontal="center" vertical="center" wrapText="1"/>
    </xf>
    <xf numFmtId="43" fontId="4" fillId="2" borderId="5" xfId="1" applyNumberFormat="1" applyFont="1" applyFill="1" applyBorder="1" applyAlignment="1">
      <alignment horizontal="center" vertical="center" wrapText="1"/>
    </xf>
    <xf numFmtId="44" fontId="4" fillId="2" borderId="6" xfId="2" applyNumberFormat="1" applyFont="1" applyFill="1" applyBorder="1" applyAlignment="1">
      <alignment horizontal="center" vertical="center" wrapText="1"/>
    </xf>
    <xf numFmtId="43" fontId="4" fillId="2" borderId="6" xfId="1" applyFont="1" applyFill="1" applyBorder="1" applyAlignment="1">
      <alignment horizontal="center" vertical="center" wrapText="1"/>
    </xf>
    <xf numFmtId="43" fontId="4" fillId="2" borderId="6" xfId="1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8" fillId="0" borderId="0" xfId="0" applyFont="1"/>
    <xf numFmtId="0" fontId="19" fillId="0" borderId="0" xfId="0" applyFont="1" applyFill="1" applyAlignment="1">
      <alignment horizontal="center" vertical="center"/>
    </xf>
    <xf numFmtId="43" fontId="16" fillId="0" borderId="0" xfId="0" applyNumberFormat="1" applyFont="1" applyBorder="1"/>
    <xf numFmtId="43" fontId="9" fillId="0" borderId="0" xfId="1" applyFont="1" applyFill="1" applyBorder="1"/>
    <xf numFmtId="0" fontId="4" fillId="2" borderId="6" xfId="1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2" borderId="5" xfId="0" applyNumberFormat="1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left" vertical="center" wrapText="1"/>
    </xf>
    <xf numFmtId="44" fontId="20" fillId="2" borderId="5" xfId="2" applyNumberFormat="1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left" vertical="center" wrapText="1"/>
    </xf>
    <xf numFmtId="43" fontId="20" fillId="2" borderId="5" xfId="1" applyFont="1" applyFill="1" applyBorder="1" applyAlignment="1">
      <alignment horizontal="center" vertical="center" wrapText="1"/>
    </xf>
    <xf numFmtId="44" fontId="20" fillId="2" borderId="6" xfId="2" applyNumberFormat="1" applyFont="1" applyFill="1" applyBorder="1" applyAlignment="1">
      <alignment horizontal="center" vertical="center" wrapText="1"/>
    </xf>
    <xf numFmtId="44" fontId="20" fillId="6" borderId="6" xfId="2" applyNumberFormat="1" applyFont="1" applyFill="1" applyBorder="1" applyAlignment="1">
      <alignment horizontal="center" vertical="center" wrapText="1"/>
    </xf>
    <xf numFmtId="0" fontId="20" fillId="2" borderId="6" xfId="1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4" fillId="3" borderId="6" xfId="1" applyNumberFormat="1" applyFont="1" applyFill="1" applyBorder="1" applyAlignment="1">
      <alignment horizontal="center" vertical="center" wrapText="1"/>
    </xf>
    <xf numFmtId="43" fontId="20" fillId="2" borderId="5" xfId="1" applyNumberFormat="1" applyFont="1" applyFill="1" applyBorder="1" applyAlignment="1">
      <alignment horizontal="center" vertical="center" wrapText="1"/>
    </xf>
    <xf numFmtId="0" fontId="20" fillId="3" borderId="6" xfId="1" applyNumberFormat="1" applyFont="1" applyFill="1" applyBorder="1" applyAlignment="1">
      <alignment horizontal="center" vertical="center" wrapText="1"/>
    </xf>
    <xf numFmtId="0" fontId="15" fillId="3" borderId="0" xfId="0" applyFont="1" applyFill="1" applyAlignment="1">
      <alignment vertical="center"/>
    </xf>
    <xf numFmtId="0" fontId="9" fillId="0" borderId="6" xfId="0" applyFont="1" applyBorder="1" applyAlignment="1">
      <alignment horizontal="center" vertical="center"/>
    </xf>
    <xf numFmtId="166" fontId="0" fillId="0" borderId="0" xfId="0" applyNumberFormat="1"/>
    <xf numFmtId="0" fontId="16" fillId="0" borderId="3" xfId="0" applyFont="1" applyBorder="1" applyAlignment="1">
      <alignment horizontal="right"/>
    </xf>
    <xf numFmtId="43" fontId="16" fillId="2" borderId="3" xfId="0" applyNumberFormat="1" applyFont="1" applyFill="1" applyBorder="1"/>
    <xf numFmtId="0" fontId="17" fillId="0" borderId="0" xfId="0" applyFont="1" applyFill="1" applyAlignment="1">
      <alignment horizontal="center" vertical="center"/>
    </xf>
    <xf numFmtId="0" fontId="17" fillId="0" borderId="0" xfId="0" applyFont="1" applyFill="1"/>
    <xf numFmtId="0" fontId="21" fillId="0" borderId="0" xfId="0" applyFont="1" applyFill="1"/>
    <xf numFmtId="44" fontId="4" fillId="2" borderId="5" xfId="0" applyNumberFormat="1" applyFont="1" applyFill="1" applyBorder="1" applyAlignment="1">
      <alignment horizontal="center" vertical="center" wrapText="1"/>
    </xf>
    <xf numFmtId="43" fontId="4" fillId="2" borderId="5" xfId="0" applyNumberFormat="1" applyFont="1" applyFill="1" applyBorder="1" applyAlignment="1">
      <alignment horizontal="center" vertical="center" wrapText="1"/>
    </xf>
    <xf numFmtId="44" fontId="4" fillId="2" borderId="6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44" fontId="4" fillId="6" borderId="6" xfId="2" applyNumberFormat="1" applyFont="1" applyFill="1" applyBorder="1" applyAlignment="1">
      <alignment horizontal="center" vertical="center" wrapText="1"/>
    </xf>
    <xf numFmtId="44" fontId="4" fillId="6" borderId="6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6" fillId="4" borderId="1" xfId="0" applyFont="1" applyFill="1" applyBorder="1" applyAlignment="1">
      <alignment horizontal="center"/>
    </xf>
    <xf numFmtId="43" fontId="9" fillId="3" borderId="8" xfId="1" applyFont="1" applyFill="1" applyBorder="1" applyAlignment="1">
      <alignment horizontal="center"/>
    </xf>
    <xf numFmtId="43" fontId="9" fillId="3" borderId="9" xfId="1" applyFont="1" applyFill="1" applyBorder="1" applyAlignment="1">
      <alignment horizontal="center"/>
    </xf>
    <xf numFmtId="43" fontId="9" fillId="3" borderId="10" xfId="1" applyFont="1" applyFill="1" applyBorder="1" applyAlignment="1">
      <alignment horizontal="center"/>
    </xf>
    <xf numFmtId="43" fontId="9" fillId="3" borderId="1" xfId="1" applyFont="1" applyFill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</cellXfs>
  <cellStyles count="3">
    <cellStyle name="Moeda" xfId="2" builtinId="4"/>
    <cellStyle name="Normal" xfId="0" builtinId="0"/>
    <cellStyle name="Vírgula" xfId="1" builtinId="3"/>
  </cellStyles>
  <dxfs count="10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5" formatCode="_-* #,##0.00_-;\-* #,##0.00_-;_-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5" formatCode="_-* #,##0.00_-;\-* #,##0.00_-;_-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5" formatCode="_-* #,##0.00_-;\-* #,##0.00_-;_-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5" formatCode="_-* #,##0.00_-;\-* #,##0.00_-;_-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5" formatCode="_-* #,##0.00_-;\-* #,##0.00_-;_-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5" formatCode="_-* #,##0.00_-;\-* #,##0.00_-;_-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5" formatCode="_-* #,##0.00_-;\-* #,##0.00_-;_-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rgb="FFFFFF0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rgb="FFFFFF0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_Estim_ANAC" displayName="Tab_Estim_ANAC" ref="A2:U25" totalsRowCount="1" headerRowDxfId="102" headerRowBorderDxfId="101" tableBorderDxfId="100" totalsRowBorderDxfId="99">
  <autoFilter ref="A2:U24" xr:uid="{00000000-0009-0000-0100-000001000000}"/>
  <tableColumns count="21">
    <tableColumn id="1" xr3:uid="{00000000-0010-0000-0000-000001000000}" name="SEGMENTO (A)" dataDxfId="98" totalsRowDxfId="97"/>
    <tableColumn id="2" xr3:uid="{00000000-0010-0000-0000-000002000000}" name="ITEM (B)" dataDxfId="96" totalsRowDxfId="95"/>
    <tableColumn id="3" xr3:uid="{00000000-0010-0000-0000-000003000000}" name="ID (C) " dataDxfId="94" totalsRowDxfId="93"/>
    <tableColumn id="7" xr3:uid="{00000000-0010-0000-0000-000007000000}" name="NOME DO SERVIÇO (D)" dataDxfId="92" totalsRowDxfId="91"/>
    <tableColumn id="15" xr3:uid="{00000000-0010-0000-0000-00000F000000}" name="DESCRIÇÃO DO SERVIÇO (E)" dataDxfId="90" totalsRowDxfId="89"/>
    <tableColumn id="16" xr3:uid="{00000000-0010-0000-0000-000010000000}" name="PRODUTOS/ENTREGÁVEIS (F)" dataDxfId="88" totalsRowDxfId="87"/>
    <tableColumn id="12" xr3:uid="{00000000-0010-0000-0000-00000C000000}" name="ATIVIDADES ESPERADAS (G)" dataDxfId="86" totalsRowDxfId="85"/>
    <tableColumn id="17" xr3:uid="{00000000-0010-0000-0000-000011000000}" name="QUALIFICAÇÃO DOS PROFISSIONAIS NECESSÁRIOS (H)" dataDxfId="84" totalsRowDxfId="83">
      <calculatedColumnFormula>IF(Tab_Estim_ANAC[[#This Row],[COMPLEXIDADE (L)]]="Baixa","Júnior",IF(Tab_Estim_ANAC[[#This Row],[COMPLEXIDADE (L)]]="Média","Pleno","Sênior"))</calculatedColumnFormula>
    </tableColumn>
    <tableColumn id="19" xr3:uid="{00000000-0010-0000-0000-000013000000}" name="ESTIMATIVA DO CUSTO MENSAL DO PROFISSIONAL (I)" dataDxfId="82" totalsRowDxfId="81" dataCellStyle="Moeda">
      <calculatedColumnFormula>IFERROR(VLOOKUP(Tab_Estim_ANAC[[#This Row],[QUALIFICAÇÃO DOS PROFISSIONAIS NECESSÁRIOS (H)]],'Custo dos Profissionais'!$A$5:$D$7,3,FALSE),"")</calculatedColumnFormula>
    </tableColumn>
    <tableColumn id="21" xr3:uid="{00000000-0010-0000-0000-000015000000}" name="CUSTO HORA DO PROFISSIONAL (J)" dataDxfId="80" totalsRowDxfId="79" dataCellStyle="Moeda">
      <calculatedColumnFormula>IFERROR(Tab_Estim_ANAC[[#This Row],[ESTIMATIVA DO CUSTO MENSAL DO PROFISSIONAL (I)]]/(22*8),"")</calculatedColumnFormula>
    </tableColumn>
    <tableColumn id="4" xr3:uid="{00000000-0010-0000-0000-000004000000}" name="PARÂMETRO (K)" dataDxfId="78" totalsRowDxfId="77"/>
    <tableColumn id="5" xr3:uid="{00000000-0010-0000-0000-000005000000}" name="COMPLEXIDADE (L)" dataDxfId="76" totalsRowDxfId="75"/>
    <tableColumn id="6" xr3:uid="{00000000-0010-0000-0000-000006000000}" name="QUANTIDADE HORAS (M)" dataDxfId="74" totalsRowDxfId="73">
      <calculatedColumnFormula>SUMIF(Tabela3[[ID]:[Horas estimadas]],Tab_Estim_ANAC[[#This Row],[ID (C) ]],Tabela3[Horas estimadas])</calculatedColumnFormula>
    </tableColumn>
    <tableColumn id="8" xr3:uid="{00000000-0010-0000-0000-000008000000}" name="FATOR DE AJUSTE (N)" dataDxfId="72" totalsRowDxfId="71" dataCellStyle="Vírgula"/>
    <tableColumn id="9" xr3:uid="{00000000-0010-0000-0000-000009000000}" name="QUANTIDADE DE UES_x000a_(O = M*N)" dataDxfId="70" totalsRowDxfId="69" dataCellStyle="Vírgula">
      <calculatedColumnFormula>Tab_Estim_ANAC[[#This Row],[QUANTIDADE HORAS (M)]]</calculatedColumnFormula>
    </tableColumn>
    <tableColumn id="10" xr3:uid="{00000000-0010-0000-0000-00000A000000}" name="QUANTIDADE DE EXECUÇÕES PREVISTAS EM 36 MESES (P)" dataDxfId="68" totalsRowDxfId="67"/>
    <tableColumn id="11" xr3:uid="{00000000-0010-0000-0000-00000B000000}" name="QUANTIDADE 36 MESES DE UES AJUSTADO_x000a_(Q =O*P)" totalsRowFunction="sum" dataDxfId="66" totalsRowDxfId="65" dataCellStyle="Vírgula">
      <calculatedColumnFormula>IFERROR(Tab_Estim_ANAC[[#This Row],[QUANTIDADE DE UES
(O = M*N)]]*Tab_Estim_ANAC[[#This Row],[QUANTIDADE DE EXECUÇÕES PREVISTAS EM 36 MESES (P)]],"")</calculatedColumnFormula>
    </tableColumn>
    <tableColumn id="13" xr3:uid="{00000000-0010-0000-0000-00000D000000}" name="CUSTO UNITÁRIO DO SERVIÇO (R = M*J)" dataDxfId="64" totalsRowDxfId="63" dataCellStyle="Moeda">
      <calculatedColumnFormula>IFERROR(Tab_Estim_ANAC[[#This Row],[CUSTO HORA DO PROFISSIONAL (J)]]*Tab_Estim_ANAC[[#This Row],[QUANTIDADE HORAS (M)]],"")</calculatedColumnFormula>
    </tableColumn>
    <tableColumn id="14" xr3:uid="{00000000-0010-0000-0000-00000E000000}" name="CUSTO TOTAL DO SERVIÇO (S = R*P)" totalsRowFunction="sum" dataDxfId="62" totalsRowDxfId="61" dataCellStyle="Moeda">
      <calculatedColumnFormula>IFERROR(Tab_Estim_ANAC[[#This Row],[CUSTO UNITÁRIO DO SERVIÇO (R = M*J)]]*Tab_Estim_ANAC[[#This Row],[QUANTIDADE DE EXECUÇÕES PREVISTAS EM 36 MESES (P)]],"")</calculatedColumnFormula>
    </tableColumn>
    <tableColumn id="22" xr3:uid="{00000000-0010-0000-0000-000016000000}" name="PRAZO PARA EXECUÇÃO DO SERVIÇO (DIAS ÚTEIS)" dataDxfId="60" totalsRowDxfId="59" dataCellStyle="Vírgula">
      <calculatedColumnFormula>IF(((Tab_Estim_ANAC[[#This Row],[QUANTIDADE HORAS (M)]]*3)/24)&lt;7,7,((Tab_Estim_ANAC[[#This Row],[QUANTIDADE HORAS (M)]]*3)/24))</calculatedColumnFormula>
    </tableColumn>
    <tableColumn id="20" xr3:uid="{00000000-0010-0000-0000-000014000000}" name="JUSTIFICATIVA PARA QUANTIDADE DE EXECUÇÕES" dataDxfId="58" totalsRowDxfId="57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_Estim_Empresas" displayName="Tab_Estim_Empresas" ref="A2:W25" totalsRowCount="1" headerRowDxfId="56" headerRowBorderDxfId="55" tableBorderDxfId="54" totalsRowBorderDxfId="53">
  <autoFilter ref="A2:W24" xr:uid="{00000000-0009-0000-0100-000002000000}"/>
  <tableColumns count="23">
    <tableColumn id="1" xr3:uid="{00000000-0010-0000-0100-000001000000}" name="SEGMENTO (A)" dataDxfId="52" totalsRowDxfId="51">
      <calculatedColumnFormula>Tab_Estim_ANAC[[#This Row],[SEGMENTO (A)]]</calculatedColumnFormula>
    </tableColumn>
    <tableColumn id="2" xr3:uid="{00000000-0010-0000-0100-000002000000}" name="ITEM (B)" dataDxfId="50" totalsRowDxfId="49">
      <calculatedColumnFormula>Tab_Estim_ANAC[[#This Row],[ITEM (B)]]</calculatedColumnFormula>
    </tableColumn>
    <tableColumn id="3" xr3:uid="{00000000-0010-0000-0100-000003000000}" name="ID (C) " dataDxfId="48" totalsRowDxfId="47">
      <calculatedColumnFormula>Tab_Estim_ANAC[[#This Row],[ID (C) ]]</calculatedColumnFormula>
    </tableColumn>
    <tableColumn id="7" xr3:uid="{00000000-0010-0000-0100-000007000000}" name="NOME DO SERVIÇO (D)" dataDxfId="46" totalsRowDxfId="45">
      <calculatedColumnFormula>Tab_Estim_ANAC[[#This Row],[NOME DO SERVIÇO (D)]]</calculatedColumnFormula>
    </tableColumn>
    <tableColumn id="15" xr3:uid="{00000000-0010-0000-0100-00000F000000}" name="DESCRIÇÃO DO SERVIÇO (E)" dataDxfId="44" totalsRowDxfId="43">
      <calculatedColumnFormula>Tab_Estim_ANAC[[#This Row],[DESCRIÇÃO DO SERVIÇO (E)]]</calculatedColumnFormula>
    </tableColumn>
    <tableColumn id="16" xr3:uid="{00000000-0010-0000-0100-000010000000}" name="PRODUTOS/ENTREGÁVEIS (F)" dataDxfId="42" totalsRowDxfId="41">
      <calculatedColumnFormula>Tab_Estim_ANAC[[#This Row],[PRODUTOS/ENTREGÁVEIS (F)]]</calculatedColumnFormula>
    </tableColumn>
    <tableColumn id="12" xr3:uid="{00000000-0010-0000-0100-00000C000000}" name="ATIVIDADES ESPERADAS (G)" dataDxfId="40" totalsRowDxfId="39">
      <calculatedColumnFormula>Tab_Estim_ANAC[[#This Row],[ATIVIDADES ESPERADAS (G)]]</calculatedColumnFormula>
    </tableColumn>
    <tableColumn id="17" xr3:uid="{00000000-0010-0000-0100-000011000000}" name="QUALIFICAÇÃO DOS PROFISSIONAIS NECESSÁRIOS (H)" dataDxfId="38" totalsRowDxfId="37">
      <calculatedColumnFormula>IF(Tab_Estim_Empresas[[#This Row],[COMPLEXIDADE (L)]]="Baixa","Júnior",IF(Tab_Estim_Empresas[[#This Row],[COMPLEXIDADE (L)]]="Média","Pleno","Sênior"))</calculatedColumnFormula>
    </tableColumn>
    <tableColumn id="19" xr3:uid="{00000000-0010-0000-0100-000013000000}" name="ESTIMATIVA DO CUSTO MENSAL DO PROFISSIONAL (I)" dataDxfId="36" totalsRowDxfId="35" dataCellStyle="Moeda">
      <calculatedColumnFormula>IFERROR(VLOOKUP(Tab_Estim_Empresas[[#This Row],[QUALIFICAÇÃO DOS PROFISSIONAIS NECESSÁRIOS (H)]],'Custo dos Profissionais'!$A$5:$D$7,3,FALSE),"")</calculatedColumnFormula>
    </tableColumn>
    <tableColumn id="21" xr3:uid="{00000000-0010-0000-0100-000015000000}" name="CUSTO HORA DO PROFISSIONAL (J)" dataDxfId="34" totalsRowDxfId="33" dataCellStyle="Moeda">
      <calculatedColumnFormula>IFERROR(Tab_Estim_Empresas[[#This Row],[ESTIMATIVA DO CUSTO MENSAL DO PROFISSIONAL (I)]]/(22*8),"")</calculatedColumnFormula>
    </tableColumn>
    <tableColumn id="4" xr3:uid="{00000000-0010-0000-0100-000004000000}" name="PARÂMETRO (K)" dataDxfId="32" totalsRowDxfId="31">
      <calculatedColumnFormula>Tab_Estim_ANAC[[#This Row],[PARÂMETRO (K)]]</calculatedColumnFormula>
    </tableColumn>
    <tableColumn id="5" xr3:uid="{00000000-0010-0000-0100-000005000000}" name="COMPLEXIDADE (L)" dataDxfId="30" totalsRowDxfId="29">
      <calculatedColumnFormula>Tab_Estim_ANAC[[#This Row],[COMPLEXIDADE (L)]]</calculatedColumnFormula>
    </tableColumn>
    <tableColumn id="6" xr3:uid="{00000000-0010-0000-0100-000006000000}" name="QUANTIDADE HORAS (M)" dataDxfId="28" totalsRowDxfId="27">
      <calculatedColumnFormula>SUMIF(Tabela3[[ID]:[Horas estimadas]],Tab_Estim_Empresas[[#This Row],[ID (C) ]],Tabela3[Horas estimadas])</calculatedColumnFormula>
    </tableColumn>
    <tableColumn id="8" xr3:uid="{00000000-0010-0000-0100-000008000000}" name="FATOR DE AJUSTE (N)" dataDxfId="26" totalsRowDxfId="25" dataCellStyle="Vírgula">
      <calculatedColumnFormula>IFERROR(VLOOKUP(Tab_Estim_Empresas[[#This Row],[QUALIFICAÇÃO DOS PROFISSIONAIS NECESSÁRIOS (H)]],'Custo dos Profissionais'!$A$5:$D$7,4,FALSE),"")</calculatedColumnFormula>
    </tableColumn>
    <tableColumn id="9" xr3:uid="{00000000-0010-0000-0100-000009000000}" name="QUANTIDADE DE UES_x000a_(O = M*N)" dataDxfId="24" totalsRowDxfId="23" dataCellStyle="Vírgula">
      <calculatedColumnFormula>IFERROR(M3*N3,"")</calculatedColumnFormula>
    </tableColumn>
    <tableColumn id="10" xr3:uid="{00000000-0010-0000-0100-00000A000000}" name="QUANTIDADE DE EXECUÇÕES PREVISTAS EM 36 MESES (P)" dataDxfId="22" totalsRowDxfId="21">
      <calculatedColumnFormula>Tab_Estim_ANAC[[#This Row],[QUANTIDADE DE EXECUÇÕES PREVISTAS EM 36 MESES (P)]]</calculatedColumnFormula>
    </tableColumn>
    <tableColumn id="11" xr3:uid="{00000000-0010-0000-0100-00000B000000}" name="QUANTIDADE 36 MESES DE UES AJUSTADO_x000a_(Q =O*P)" totalsRowFunction="sum" dataDxfId="20" totalsRowDxfId="19" dataCellStyle="Vírgula">
      <calculatedColumnFormula>IFERROR(Tab_Estim_Empresas[[#This Row],[QUANTIDADE DE UES
(O = M*N)]]*Tab_Estim_Empresas[[#This Row],[QUANTIDADE DE EXECUÇÕES PREVISTAS EM 36 MESES (P)]],"")</calculatedColumnFormula>
    </tableColumn>
    <tableColumn id="13" xr3:uid="{00000000-0010-0000-0100-00000D000000}" name="CUSTO UNITÁRIO DO SERVIÇO (R = M*J)" dataDxfId="18" totalsRowDxfId="17" dataCellStyle="Moeda">
      <calculatedColumnFormula>IFERROR(Tab_Estim_Empresas[[#This Row],[CUSTO HORA DO PROFISSIONAL (J)]]*Tab_Estim_Empresas[[#This Row],[QUANTIDADE HORAS (M)]],"")</calculatedColumnFormula>
    </tableColumn>
    <tableColumn id="14" xr3:uid="{00000000-0010-0000-0100-00000E000000}" name="CUSTO TOTAL DO SERVIÇO (S = R*P)" totalsRowFunction="sum" dataDxfId="16" totalsRowDxfId="15" dataCellStyle="Moeda">
      <calculatedColumnFormula>IFERROR(Tab_Estim_Empresas[[#This Row],[CUSTO UNITÁRIO DO SERVIÇO (R = M*J)]]*Tab_Estim_Empresas[[#This Row],[QUANTIDADE DE EXECUÇÕES PREVISTAS EM 36 MESES (P)]],"")</calculatedColumnFormula>
    </tableColumn>
    <tableColumn id="18" xr3:uid="{00000000-0010-0000-0100-000012000000}" name="CUSTO UNITÁRIO DO SERVIÇO (T = O*UES OFERTADA)" dataDxfId="14" totalsRowDxfId="13" dataCellStyle="Moeda">
      <calculatedColumnFormula>Tab_Estim_Empresas[[#This Row],[QUANTIDADE DE UES
(O = M*N)]]*'Quadro Resumo'!$J$6</calculatedColumnFormula>
    </tableColumn>
    <tableColumn id="22" xr3:uid="{00000000-0010-0000-0100-000016000000}" name="CUSTO TOTAL DO SERVIÇO (U = UES OFERTADA*Q)" totalsRowFunction="sum" dataDxfId="12" totalsRowDxfId="11" dataCellStyle="Moeda">
      <calculatedColumnFormula>Tab_Estim_Empresas[[#This Row],[QUANTIDADE 36 MESES DE UES AJUSTADO
(Q =O*P)]]*'Quadro Resumo'!$J$6</calculatedColumnFormula>
    </tableColumn>
    <tableColumn id="23" xr3:uid="{00000000-0010-0000-0100-000017000000}" name="PRAZO PARA EXECUÇÃO DO SERVIÇO (DIAS ÚTEIS)" dataDxfId="10" totalsRowDxfId="9" dataCellStyle="Vírgula">
      <calculatedColumnFormula>Tab_Estim_ANAC[[#This Row],[PRAZO PARA EXECUÇÃO DO SERVIÇO (DIAS ÚTEIS)]]</calculatedColumnFormula>
    </tableColumn>
    <tableColumn id="20" xr3:uid="{00000000-0010-0000-0100-000014000000}" name="JUSTIFICATIVA PARA QUANTIDADE DE EXECUÇÕES " dataDxfId="8" totalsRowDxfId="7">
      <calculatedColumnFormula>Tab_Estim_ANAC[[#This Row],[JUSTIFICATIVA PARA QUANTIDADE DE EXECUÇÕES]]</calculatedColumnFormula>
    </tableColumn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a3" displayName="Tabela3" ref="A1:E121" totalsRowShown="0" headerRowDxfId="6" dataDxfId="5">
  <autoFilter ref="A1:E121" xr:uid="{00000000-0009-0000-0100-000003000000}"/>
  <tableColumns count="5">
    <tableColumn id="1" xr3:uid="{00000000-0010-0000-0200-000001000000}" name="Segmento" dataDxfId="4"/>
    <tableColumn id="2" xr3:uid="{00000000-0010-0000-0200-000002000000}" name="ID" dataDxfId="3"/>
    <tableColumn id="3" xr3:uid="{00000000-0010-0000-0200-000003000000}" name="Serviço" dataDxfId="2"/>
    <tableColumn id="4" xr3:uid="{00000000-0010-0000-0200-000004000000}" name="Atividades" dataDxfId="1"/>
    <tableColumn id="5" xr3:uid="{00000000-0010-0000-0200-000005000000}" name="Horas estimada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showGridLines="0" workbookViewId="0">
      <selection activeCell="A7" sqref="A7"/>
    </sheetView>
  </sheetViews>
  <sheetFormatPr defaultRowHeight="14.5" x14ac:dyDescent="0.35"/>
  <cols>
    <col min="1" max="1" width="13" customWidth="1"/>
    <col min="2" max="2" width="25.54296875" customWidth="1"/>
    <col min="3" max="3" width="30.7265625" customWidth="1"/>
    <col min="4" max="4" width="17" customWidth="1"/>
    <col min="5" max="5" width="16.54296875" customWidth="1"/>
    <col min="6" max="6" width="18.453125" customWidth="1"/>
    <col min="7" max="7" width="17.7265625" customWidth="1"/>
    <col min="8" max="8" width="2" customWidth="1"/>
    <col min="9" max="9" width="15" customWidth="1"/>
    <col min="10" max="10" width="10.54296875" bestFit="1" customWidth="1"/>
    <col min="11" max="11" width="17.7265625" customWidth="1"/>
    <col min="12" max="12" width="15.26953125" customWidth="1"/>
  </cols>
  <sheetData>
    <row r="1" spans="1:12" x14ac:dyDescent="0.35">
      <c r="A1" s="31" t="s">
        <v>68</v>
      </c>
      <c r="B1" s="31"/>
    </row>
    <row r="2" spans="1:12" x14ac:dyDescent="0.35">
      <c r="B2" s="99" t="s">
        <v>28</v>
      </c>
      <c r="C2" s="99"/>
      <c r="D2" s="99"/>
      <c r="E2" s="99"/>
      <c r="F2" s="99"/>
      <c r="G2" s="99"/>
    </row>
    <row r="3" spans="1:12" ht="43.5" x14ac:dyDescent="0.35">
      <c r="B3" s="15" t="s">
        <v>30</v>
      </c>
      <c r="C3" s="15" t="s">
        <v>31</v>
      </c>
      <c r="D3" s="16" t="s">
        <v>70</v>
      </c>
      <c r="E3" s="15" t="s">
        <v>32</v>
      </c>
      <c r="F3" s="15" t="s">
        <v>33</v>
      </c>
      <c r="G3" s="15" t="s">
        <v>34</v>
      </c>
      <c r="H3" s="14"/>
      <c r="I3" s="15" t="s">
        <v>67</v>
      </c>
      <c r="J3" s="15" t="s">
        <v>48</v>
      </c>
      <c r="K3" s="15" t="s">
        <v>65</v>
      </c>
      <c r="L3" s="36" t="s">
        <v>239</v>
      </c>
    </row>
    <row r="4" spans="1:12" ht="63" x14ac:dyDescent="0.35">
      <c r="A4" s="26" t="s">
        <v>57</v>
      </c>
      <c r="B4" s="26" t="s">
        <v>61</v>
      </c>
      <c r="C4" s="26" t="s">
        <v>60</v>
      </c>
      <c r="D4" s="26" t="s">
        <v>51</v>
      </c>
      <c r="E4" s="26" t="s">
        <v>52</v>
      </c>
      <c r="F4" s="26" t="s">
        <v>53</v>
      </c>
      <c r="G4" s="26" t="s">
        <v>54</v>
      </c>
      <c r="H4" s="14"/>
      <c r="I4" s="26" t="s">
        <v>62</v>
      </c>
      <c r="J4" s="26" t="s">
        <v>63</v>
      </c>
      <c r="K4" s="26" t="s">
        <v>66</v>
      </c>
      <c r="L4" s="26" t="s">
        <v>69</v>
      </c>
    </row>
    <row r="5" spans="1:12" ht="21" x14ac:dyDescent="0.35">
      <c r="A5" s="26" t="s">
        <v>58</v>
      </c>
      <c r="B5" s="26" t="s">
        <v>59</v>
      </c>
      <c r="C5" s="26" t="s">
        <v>55</v>
      </c>
      <c r="D5" s="26" t="s">
        <v>56</v>
      </c>
      <c r="E5" s="26" t="s">
        <v>56</v>
      </c>
      <c r="F5" s="26" t="s">
        <v>56</v>
      </c>
      <c r="G5" s="26" t="s">
        <v>56</v>
      </c>
      <c r="H5" s="14"/>
      <c r="I5" s="26" t="s">
        <v>64</v>
      </c>
      <c r="J5" s="26" t="s">
        <v>64</v>
      </c>
      <c r="K5" s="26" t="s">
        <v>64</v>
      </c>
      <c r="L5" s="26" t="s">
        <v>64</v>
      </c>
    </row>
    <row r="6" spans="1:12" x14ac:dyDescent="0.35">
      <c r="B6" s="24">
        <f ca="1">Tab_Estim_Empresas[[#Totals],[QUANTIDADE 36 MESES DE UES AJUSTADO
(Q =O*P)]]</f>
        <v>12891.497614434918</v>
      </c>
      <c r="C6" s="25">
        <f ca="1">Tab_Estim_ANAC[[#Totals],[CUSTO TOTAL DO SERVIÇO (S = R*P)]]</f>
        <v>1075265.1665909092</v>
      </c>
      <c r="D6" s="37">
        <f>'Custo dos Profissionais'!C3</f>
        <v>2.2882428578092937</v>
      </c>
      <c r="E6" s="30">
        <f>'Custo dos Profissionais'!B7</f>
        <v>6250.8148571428565</v>
      </c>
      <c r="F6" s="30">
        <f>'Custo dos Profissionais'!B6</f>
        <v>8570.2285714285717</v>
      </c>
      <c r="G6" s="30">
        <f>'Custo dos Profissionais'!B5</f>
        <v>12975.284999999998</v>
      </c>
      <c r="I6" s="13">
        <f ca="1">C6/B6</f>
        <v>83.408863636363634</v>
      </c>
      <c r="J6" s="23">
        <v>83.41</v>
      </c>
      <c r="K6" s="27">
        <f ca="1">J6*B6</f>
        <v>1075279.8160200166</v>
      </c>
      <c r="L6" s="27">
        <f ca="1">C6-K6</f>
        <v>-14.649429107317701</v>
      </c>
    </row>
    <row r="7" spans="1:12" x14ac:dyDescent="0.35">
      <c r="A7" s="98" t="s">
        <v>315</v>
      </c>
      <c r="B7" s="12"/>
      <c r="C7" s="12"/>
    </row>
    <row r="8" spans="1:12" x14ac:dyDescent="0.35">
      <c r="B8" s="22"/>
      <c r="C8" s="12"/>
    </row>
    <row r="9" spans="1:12" x14ac:dyDescent="0.35">
      <c r="B9" s="12"/>
      <c r="C9" s="12"/>
    </row>
  </sheetData>
  <mergeCells count="1">
    <mergeCell ref="B2:G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925"/>
  <sheetViews>
    <sheetView showGridLines="0" topLeftCell="A25" zoomScale="80" zoomScaleNormal="80" workbookViewId="0">
      <selection activeCell="A26" sqref="A26"/>
    </sheetView>
  </sheetViews>
  <sheetFormatPr defaultRowHeight="14.5" x14ac:dyDescent="0.35"/>
  <cols>
    <col min="1" max="1" width="16.7265625" customWidth="1"/>
    <col min="2" max="2" width="6.81640625" customWidth="1"/>
    <col min="3" max="3" width="5.7265625" customWidth="1"/>
    <col min="4" max="4" width="26.54296875" customWidth="1"/>
    <col min="5" max="5" width="41.81640625" customWidth="1"/>
    <col min="6" max="6" width="24.81640625" customWidth="1"/>
    <col min="7" max="7" width="35.1796875" customWidth="1"/>
    <col min="8" max="8" width="16.1796875" customWidth="1"/>
    <col min="9" max="9" width="16.26953125" customWidth="1"/>
    <col min="10" max="10" width="14.453125" customWidth="1"/>
    <col min="11" max="11" width="16.7265625" customWidth="1"/>
    <col min="12" max="12" width="13" customWidth="1"/>
    <col min="13" max="13" width="12.26953125" customWidth="1"/>
    <col min="14" max="14" width="9.81640625" customWidth="1"/>
    <col min="15" max="15" width="12" customWidth="1"/>
    <col min="16" max="16" width="15.1796875" customWidth="1"/>
    <col min="17" max="17" width="13" customWidth="1"/>
    <col min="18" max="18" width="14.26953125" customWidth="1"/>
    <col min="19" max="19" width="20" bestFit="1" customWidth="1"/>
    <col min="20" max="20" width="14.26953125" customWidth="1"/>
    <col min="21" max="21" width="44.7265625" customWidth="1"/>
  </cols>
  <sheetData>
    <row r="1" spans="1:21" x14ac:dyDescent="0.35">
      <c r="A1" s="32" t="s">
        <v>68</v>
      </c>
      <c r="B1" s="32"/>
      <c r="C1" s="33"/>
      <c r="D1" s="33"/>
    </row>
    <row r="2" spans="1:21" ht="52" x14ac:dyDescent="0.35">
      <c r="A2" s="11" t="s">
        <v>7</v>
      </c>
      <c r="B2" s="10" t="s">
        <v>8</v>
      </c>
      <c r="C2" s="10" t="s">
        <v>9</v>
      </c>
      <c r="D2" s="10" t="s">
        <v>10</v>
      </c>
      <c r="E2" s="10" t="s">
        <v>11</v>
      </c>
      <c r="F2" s="10" t="s">
        <v>12</v>
      </c>
      <c r="G2" s="10" t="s">
        <v>13</v>
      </c>
      <c r="H2" s="10" t="s">
        <v>14</v>
      </c>
      <c r="I2" s="10" t="s">
        <v>27</v>
      </c>
      <c r="J2" s="10" t="s">
        <v>22</v>
      </c>
      <c r="K2" s="10" t="s">
        <v>23</v>
      </c>
      <c r="L2" s="10" t="s">
        <v>24</v>
      </c>
      <c r="M2" s="10" t="s">
        <v>25</v>
      </c>
      <c r="N2" s="10" t="s">
        <v>26</v>
      </c>
      <c r="O2" s="10" t="s">
        <v>29</v>
      </c>
      <c r="P2" s="10" t="s">
        <v>216</v>
      </c>
      <c r="Q2" s="10" t="s">
        <v>218</v>
      </c>
      <c r="R2" s="10" t="s">
        <v>49</v>
      </c>
      <c r="S2" s="10" t="s">
        <v>50</v>
      </c>
      <c r="T2" s="10" t="s">
        <v>130</v>
      </c>
      <c r="U2" s="10" t="s">
        <v>237</v>
      </c>
    </row>
    <row r="3" spans="1:21" ht="136.5" customHeight="1" x14ac:dyDescent="0.35">
      <c r="A3" s="7" t="s">
        <v>76</v>
      </c>
      <c r="B3" s="4">
        <v>1</v>
      </c>
      <c r="C3" s="4" t="s">
        <v>4</v>
      </c>
      <c r="D3" s="4" t="s">
        <v>117</v>
      </c>
      <c r="E3" s="4" t="s">
        <v>118</v>
      </c>
      <c r="F3" s="4" t="s">
        <v>82</v>
      </c>
      <c r="G3" s="4" t="str">
        <f>CONCATENATE(Atividades!D2," ",Atividades!D3," ",Atividades!D4," ",Atividades!D5," ",Atividades!D6," ",Atividades!D7," ",Atividades!D8," ",Atividades!D9)</f>
        <v>1. Levantar dados e informações para parametrização 2. Parametrizar campos e layouts do formulário na solução 3. Parametrizar regras de controle no formulário 4. Parametrizar notificações e layouts do formulário 5. Parametrizar workflow do formulário 6. Validar com o demandante o formulário 7. Promover ajustes no formulário 8. Disponibilizar em ambiente de produção</v>
      </c>
      <c r="H3" s="53" t="str">
        <f>IF(Tab_Estim_ANAC[[#This Row],[COMPLEXIDADE (L)]]="Baixa","Júnior",IF(Tab_Estim_ANAC[[#This Row],[COMPLEXIDADE (L)]]="Média","Pleno","Sênior"))</f>
        <v>Pleno</v>
      </c>
      <c r="I3" s="54">
        <f>IFERROR(VLOOKUP(Tab_Estim_ANAC[[#This Row],[QUALIFICAÇÃO DOS PROFISSIONAIS NECESSÁRIOS (H)]],'Custo dos Profissionais'!$A$5:$D$7,3,FALSE),"")</f>
        <v>19690.86</v>
      </c>
      <c r="J3" s="54">
        <f>IFERROR(Tab_Estim_ANAC[[#This Row],[ESTIMATIVA DO CUSTO MENSAL DO PROFISSIONAL (I)]]/(22*8),"")</f>
        <v>111.87988636363637</v>
      </c>
      <c r="K3" s="6" t="s">
        <v>83</v>
      </c>
      <c r="L3" s="4" t="s">
        <v>2</v>
      </c>
      <c r="M3" s="3">
        <f ca="1">SUMIF(Tabela3[[ID]:[Horas estimadas]],Tab_Estim_ANAC[[#This Row],[ID (C) ]],Tabela3[Horas estimadas])</f>
        <v>88</v>
      </c>
      <c r="N3" s="19"/>
      <c r="O3" s="55">
        <f ca="1">Tab_Estim_ANAC[[#This Row],[QUANTIDADE HORAS (M)]]</f>
        <v>88</v>
      </c>
      <c r="P3" s="4">
        <f>1*3*3</f>
        <v>9</v>
      </c>
      <c r="Q3" s="19">
        <f ca="1">IFERROR(Tab_Estim_ANAC[[#This Row],[QUANTIDADE DE UES
(O = M*N)]]*Tab_Estim_ANAC[[#This Row],[QUANTIDADE DE EXECUÇÕES PREVISTAS EM 36 MESES (P)]],"")</f>
        <v>792</v>
      </c>
      <c r="R3" s="56">
        <f ca="1">IFERROR(Tab_Estim_ANAC[[#This Row],[CUSTO HORA DO PROFISSIONAL (J)]]*Tab_Estim_ANAC[[#This Row],[QUANTIDADE HORAS (M)]],"")</f>
        <v>9845.43</v>
      </c>
      <c r="S3" s="56">
        <f ca="1">IFERROR(Tab_Estim_ANAC[[#This Row],[CUSTO UNITÁRIO DO SERVIÇO (R = M*J)]]*Tab_Estim_ANAC[[#This Row],[QUANTIDADE DE EXECUÇÕES PREVISTAS EM 36 MESES (P)]],"")</f>
        <v>88608.87</v>
      </c>
      <c r="T3" s="80">
        <v>15</v>
      </c>
      <c r="U3" s="4" t="s">
        <v>289</v>
      </c>
    </row>
    <row r="4" spans="1:21" ht="76.5" customHeight="1" x14ac:dyDescent="0.35">
      <c r="A4" s="7" t="s">
        <v>76</v>
      </c>
      <c r="B4" s="4">
        <v>1</v>
      </c>
      <c r="C4" s="4" t="s">
        <v>6</v>
      </c>
      <c r="D4" s="4" t="s">
        <v>252</v>
      </c>
      <c r="E4" s="4" t="s">
        <v>86</v>
      </c>
      <c r="F4" s="4" t="s">
        <v>250</v>
      </c>
      <c r="G4" s="4" t="str">
        <f>CONCATENATE(Atividades!D10," ",Atividades!D11," ",Atividades!D12," ",Atividades!D13)</f>
        <v>1. Levantar dados e informações para ajuste 2. Ajustar campo de formulário 3. Validar com o demandante ajustes realizados 4. Disponibilizar em ambiente de produção</v>
      </c>
      <c r="H4" s="53" t="str">
        <f>IF(Tab_Estim_ANAC[[#This Row],[COMPLEXIDADE (L)]]="Baixa","Júnior",IF(Tab_Estim_ANAC[[#This Row],[COMPLEXIDADE (L)]]="Média","Pleno","Sênior"))</f>
        <v>Júnior</v>
      </c>
      <c r="I4" s="54">
        <f>IFERROR(VLOOKUP(Tab_Estim_ANAC[[#This Row],[QUALIFICAÇÃO DOS PROFISSIONAIS NECESSÁRIOS (H)]],'Custo dos Profissionais'!$A$5:$D$7,3,FALSE),"")</f>
        <v>14679.96</v>
      </c>
      <c r="J4" s="56">
        <f>IFERROR(Tab_Estim_ANAC[[#This Row],[ESTIMATIVA DO CUSTO MENSAL DO PROFISSIONAL (I)]]/(22*8),"")</f>
        <v>83.408863636363634</v>
      </c>
      <c r="K4" s="6" t="s">
        <v>249</v>
      </c>
      <c r="L4" s="4" t="s">
        <v>1</v>
      </c>
      <c r="M4" s="3">
        <f ca="1">SUMIF(Tabela3[[ID]:[Horas estimadas]],Tab_Estim_ANAC[[#This Row],[ID (C) ]],Tabela3[Horas estimadas])</f>
        <v>19</v>
      </c>
      <c r="N4" s="57"/>
      <c r="O4" s="58">
        <f ca="1">Tab_Estim_ANAC[[#This Row],[QUANTIDADE HORAS (M)]]</f>
        <v>19</v>
      </c>
      <c r="P4" s="4">
        <f t="shared" ref="P4:P9" si="0">2*3*3</f>
        <v>18</v>
      </c>
      <c r="Q4" s="57">
        <f ca="1">IFERROR(Tab_Estim_ANAC[[#This Row],[QUANTIDADE DE UES
(O = M*N)]]*Tab_Estim_ANAC[[#This Row],[QUANTIDADE DE EXECUÇÕES PREVISTAS EM 36 MESES (P)]],"")</f>
        <v>342</v>
      </c>
      <c r="R4" s="56">
        <f ca="1">IFERROR(Tab_Estim_ANAC[[#This Row],[CUSTO HORA DO PROFISSIONAL (J)]]*Tab_Estim_ANAC[[#This Row],[QUANTIDADE HORAS (M)]],"")</f>
        <v>1584.768409090909</v>
      </c>
      <c r="S4" s="56">
        <f ca="1">IFERROR(Tab_Estim_ANAC[[#This Row],[CUSTO UNITÁRIO DO SERVIÇO (R = M*J)]]*Tab_Estim_ANAC[[#This Row],[QUANTIDADE DE EXECUÇÕES PREVISTAS EM 36 MESES (P)]],"")</f>
        <v>28525.831363636364</v>
      </c>
      <c r="T4" s="80">
        <v>5</v>
      </c>
      <c r="U4" s="4" t="s">
        <v>290</v>
      </c>
    </row>
    <row r="5" spans="1:21" ht="62.25" customHeight="1" x14ac:dyDescent="0.35">
      <c r="A5" s="7" t="s">
        <v>76</v>
      </c>
      <c r="B5" s="4">
        <v>2</v>
      </c>
      <c r="C5" s="4" t="s">
        <v>251</v>
      </c>
      <c r="D5" s="4" t="s">
        <v>253</v>
      </c>
      <c r="E5" s="4" t="s">
        <v>86</v>
      </c>
      <c r="F5" s="4" t="s">
        <v>250</v>
      </c>
      <c r="G5" s="4" t="str">
        <f>CONCATENATE(Atividades!D14," ",Atividades!D15," ",Atividades!D16," ",Atividades!D17)</f>
        <v>1. Levantar dados e informações para ajuste 2. Ajustar campo de formulário 3. Validar com o demandante ajustes realizados 4. Disponibilizar em ambiente de produção</v>
      </c>
      <c r="H5" s="69" t="str">
        <f>IF(Tab_Estim_ANAC[[#This Row],[COMPLEXIDADE (L)]]="Baixa","Júnior",IF(Tab_Estim_ANAC[[#This Row],[COMPLEXIDADE (L)]]="Média","Pleno","Sênior"))</f>
        <v>Pleno</v>
      </c>
      <c r="I5" s="73">
        <f>IFERROR(VLOOKUP(Tab_Estim_ANAC[[#This Row],[QUALIFICAÇÃO DOS PROFISSIONAIS NECESSÁRIOS (H)]],'Custo dos Profissionais'!$A$5:$D$7,3,FALSE),"")</f>
        <v>19690.86</v>
      </c>
      <c r="J5" s="73">
        <f>IFERROR(Tab_Estim_ANAC[[#This Row],[ESTIMATIVA DO CUSTO MENSAL DO PROFISSIONAL (I)]]/(22*8),"")</f>
        <v>111.87988636363637</v>
      </c>
      <c r="K5" s="6" t="s">
        <v>249</v>
      </c>
      <c r="L5" s="4" t="s">
        <v>2</v>
      </c>
      <c r="M5" s="71">
        <f ca="1">SUMIF(Tabela3[[ID]:[Horas estimadas]],Tab_Estim_ANAC[[#This Row],[ID (C) ]],Tabela3[Horas estimadas])</f>
        <v>19</v>
      </c>
      <c r="N5" s="75"/>
      <c r="O5" s="81">
        <f ca="1">Tab_Estim_ANAC[[#This Row],[QUANTIDADE HORAS (M)]]</f>
        <v>19</v>
      </c>
      <c r="P5" s="4">
        <f t="shared" si="0"/>
        <v>18</v>
      </c>
      <c r="Q5" s="75">
        <f ca="1">IFERROR(Tab_Estim_ANAC[[#This Row],[QUANTIDADE DE UES
(O = M*N)]]*Tab_Estim_ANAC[[#This Row],[QUANTIDADE DE EXECUÇÕES PREVISTAS EM 36 MESES (P)]],"")</f>
        <v>342</v>
      </c>
      <c r="R5" s="76">
        <f ca="1">IFERROR(Tab_Estim_ANAC[[#This Row],[CUSTO HORA DO PROFISSIONAL (J)]]*Tab_Estim_ANAC[[#This Row],[QUANTIDADE HORAS (M)]],"")</f>
        <v>2125.7178409090911</v>
      </c>
      <c r="S5" s="76">
        <f ca="1">IFERROR(Tab_Estim_ANAC[[#This Row],[CUSTO UNITÁRIO DO SERVIÇO (R = M*J)]]*Tab_Estim_ANAC[[#This Row],[QUANTIDADE DE EXECUÇÕES PREVISTAS EM 36 MESES (P)]],"")</f>
        <v>38262.921136363642</v>
      </c>
      <c r="T5" s="82">
        <v>5</v>
      </c>
      <c r="U5" s="4" t="s">
        <v>290</v>
      </c>
    </row>
    <row r="6" spans="1:21" ht="88.5" customHeight="1" x14ac:dyDescent="0.35">
      <c r="A6" s="7" t="s">
        <v>87</v>
      </c>
      <c r="B6" s="4">
        <v>2</v>
      </c>
      <c r="C6" s="4" t="s">
        <v>88</v>
      </c>
      <c r="D6" s="4" t="s">
        <v>90</v>
      </c>
      <c r="E6" s="4" t="s">
        <v>91</v>
      </c>
      <c r="F6" s="4" t="s">
        <v>93</v>
      </c>
      <c r="G6" s="4" t="str">
        <f>CONCATENATE(Atividades!D18," ",Atividades!D19," ",Atividades!D20," ",Atividades!D21," ",Atividades!D22)</f>
        <v>1. Levantar dados e informações para parametrização 2. Parametrizar o relatório na solução 3. Validar com o demandante o relatório 4. Promover ajustes no relatório 5. Disponibilizar em ambiente de produção</v>
      </c>
      <c r="H6" s="53" t="str">
        <f>IF(Tab_Estim_ANAC[[#This Row],[COMPLEXIDADE (L)]]="Baixa","Júnior",IF(Tab_Estim_ANAC[[#This Row],[COMPLEXIDADE (L)]]="Média","Pleno","Sênior"))</f>
        <v>Pleno</v>
      </c>
      <c r="I6" s="54">
        <f>IFERROR(VLOOKUP(Tab_Estim_ANAC[[#This Row],[QUALIFICAÇÃO DOS PROFISSIONAIS NECESSÁRIOS (H)]],'Custo dos Profissionais'!$A$5:$D$7,3,FALSE),"")</f>
        <v>19690.86</v>
      </c>
      <c r="J6" s="56">
        <f>IFERROR(Tab_Estim_ANAC[[#This Row],[ESTIMATIVA DO CUSTO MENSAL DO PROFISSIONAL (I)]]/(22*8),"")</f>
        <v>111.87988636363637</v>
      </c>
      <c r="K6" s="6" t="s">
        <v>94</v>
      </c>
      <c r="L6" s="4" t="s">
        <v>2</v>
      </c>
      <c r="M6" s="3">
        <f ca="1">SUMIF(Tabela3[[ID]:[Horas estimadas]],Tab_Estim_ANAC[[#This Row],[ID (C) ]],Tabela3[Horas estimadas])</f>
        <v>44</v>
      </c>
      <c r="N6" s="57"/>
      <c r="O6" s="58">
        <f ca="1">Tab_Estim_ANAC[[#This Row],[QUANTIDADE HORAS (M)]]</f>
        <v>44</v>
      </c>
      <c r="P6" s="4">
        <f t="shared" si="0"/>
        <v>18</v>
      </c>
      <c r="Q6" s="57">
        <f ca="1">IFERROR(Tab_Estim_ANAC[[#This Row],[QUANTIDADE DE UES
(O = M*N)]]*Tab_Estim_ANAC[[#This Row],[QUANTIDADE DE EXECUÇÕES PREVISTAS EM 36 MESES (P)]],"")</f>
        <v>792</v>
      </c>
      <c r="R6" s="56">
        <f ca="1">IFERROR(Tab_Estim_ANAC[[#This Row],[CUSTO HORA DO PROFISSIONAL (J)]]*Tab_Estim_ANAC[[#This Row],[QUANTIDADE HORAS (M)]],"")</f>
        <v>4922.7150000000001</v>
      </c>
      <c r="S6" s="56">
        <f ca="1">IFERROR(Tab_Estim_ANAC[[#This Row],[CUSTO UNITÁRIO DO SERVIÇO (R = M*J)]]*Tab_Estim_ANAC[[#This Row],[QUANTIDADE DE EXECUÇÕES PREVISTAS EM 36 MESES (P)]],"")</f>
        <v>88608.87</v>
      </c>
      <c r="T6" s="80">
        <v>8</v>
      </c>
      <c r="U6" s="4" t="s">
        <v>291</v>
      </c>
    </row>
    <row r="7" spans="1:21" ht="66" customHeight="1" x14ac:dyDescent="0.35">
      <c r="A7" s="7" t="s">
        <v>87</v>
      </c>
      <c r="B7" s="4">
        <v>2</v>
      </c>
      <c r="C7" s="4" t="s">
        <v>89</v>
      </c>
      <c r="D7" s="4" t="s">
        <v>257</v>
      </c>
      <c r="E7" s="4" t="s">
        <v>92</v>
      </c>
      <c r="F7" s="4" t="s">
        <v>262</v>
      </c>
      <c r="G7" s="4" t="str">
        <f>CONCATENATE(Atividades!D23," ",Atividades!D24," ",Atividades!D25," ",Atividades!D26)</f>
        <v>1. Levantar dados e informações para ajuste 2. Ajustar campo do relatório 3. Validar com o demandante o rela e promover ajustes 4. Disponibilizar em ambiente de produção</v>
      </c>
      <c r="H7" s="53" t="str">
        <f>IF(Tab_Estim_ANAC[[#This Row],[COMPLEXIDADE (L)]]="Baixa","Júnior",IF(Tab_Estim_ANAC[[#This Row],[COMPLEXIDADE (L)]]="Média","Pleno","Sênior"))</f>
        <v>Júnior</v>
      </c>
      <c r="I7" s="54">
        <f>IFERROR(VLOOKUP(Tab_Estim_ANAC[[#This Row],[QUALIFICAÇÃO DOS PROFISSIONAIS NECESSÁRIOS (H)]],'Custo dos Profissionais'!$A$5:$D$7,3,FALSE),"")</f>
        <v>14679.96</v>
      </c>
      <c r="J7" s="56">
        <f>IFERROR(Tab_Estim_ANAC[[#This Row],[ESTIMATIVA DO CUSTO MENSAL DO PROFISSIONAL (I)]]/(22*8),"")</f>
        <v>83.408863636363634</v>
      </c>
      <c r="K7" s="6" t="s">
        <v>256</v>
      </c>
      <c r="L7" s="4" t="s">
        <v>1</v>
      </c>
      <c r="M7" s="3">
        <f ca="1">SUMIF(Tabela3[[ID]:[Horas estimadas]],Tab_Estim_ANAC[[#This Row],[ID (C) ]],Tabela3[Horas estimadas])</f>
        <v>14</v>
      </c>
      <c r="N7" s="57"/>
      <c r="O7" s="58">
        <f ca="1">Tab_Estim_ANAC[[#This Row],[QUANTIDADE HORAS (M)]]</f>
        <v>14</v>
      </c>
      <c r="P7" s="4">
        <f t="shared" si="0"/>
        <v>18</v>
      </c>
      <c r="Q7" s="57">
        <f ca="1">IFERROR(Tab_Estim_ANAC[[#This Row],[QUANTIDADE DE UES
(O = M*N)]]*Tab_Estim_ANAC[[#This Row],[QUANTIDADE DE EXECUÇÕES PREVISTAS EM 36 MESES (P)]],"")</f>
        <v>252</v>
      </c>
      <c r="R7" s="56">
        <f ca="1">IFERROR(Tab_Estim_ANAC[[#This Row],[CUSTO HORA DO PROFISSIONAL (J)]]*Tab_Estim_ANAC[[#This Row],[QUANTIDADE HORAS (M)]],"")</f>
        <v>1167.7240909090908</v>
      </c>
      <c r="S7" s="56">
        <f ca="1">IFERROR(Tab_Estim_ANAC[[#This Row],[CUSTO UNITÁRIO DO SERVIÇO (R = M*J)]]*Tab_Estim_ANAC[[#This Row],[QUANTIDADE DE EXECUÇÕES PREVISTAS EM 36 MESES (P)]],"")</f>
        <v>21019.033636363634</v>
      </c>
      <c r="T7" s="80">
        <v>5</v>
      </c>
      <c r="U7" s="4" t="s">
        <v>292</v>
      </c>
    </row>
    <row r="8" spans="1:21" ht="52" x14ac:dyDescent="0.35">
      <c r="A8" s="7" t="s">
        <v>87</v>
      </c>
      <c r="B8" s="4">
        <v>2</v>
      </c>
      <c r="C8" s="4" t="s">
        <v>258</v>
      </c>
      <c r="D8" s="4" t="s">
        <v>259</v>
      </c>
      <c r="E8" s="4" t="s">
        <v>92</v>
      </c>
      <c r="F8" s="4" t="s">
        <v>262</v>
      </c>
      <c r="G8" s="4" t="str">
        <f>CONCATENATE(Atividades!D27," ",Atividades!D28," ",Atividades!D29," ",Atividades!D30)</f>
        <v>1. Levantar dados e informações para ajuste 2. Ajustar campo do relatório 3. Validar com o demandante o rela e promover ajustes 4. Disponibilizar em ambiente de produção</v>
      </c>
      <c r="H8" s="69" t="str">
        <f>IF(Tab_Estim_ANAC[[#This Row],[COMPLEXIDADE (L)]]="Baixa","Júnior",IF(Tab_Estim_ANAC[[#This Row],[COMPLEXIDADE (L)]]="Média","Pleno","Sênior"))</f>
        <v>Pleno</v>
      </c>
      <c r="I8" s="73">
        <f>IFERROR(VLOOKUP(Tab_Estim_ANAC[[#This Row],[QUALIFICAÇÃO DOS PROFISSIONAIS NECESSÁRIOS (H)]],'Custo dos Profissionais'!$A$5:$D$7,3,FALSE),"")</f>
        <v>19690.86</v>
      </c>
      <c r="J8" s="73">
        <f>IFERROR(Tab_Estim_ANAC[[#This Row],[ESTIMATIVA DO CUSTO MENSAL DO PROFISSIONAL (I)]]/(22*8),"")</f>
        <v>111.87988636363637</v>
      </c>
      <c r="K8" s="6" t="s">
        <v>256</v>
      </c>
      <c r="L8" s="68" t="s">
        <v>2</v>
      </c>
      <c r="M8" s="71">
        <f ca="1">SUMIF(Tabela3[[ID]:[Horas estimadas]],Tab_Estim_ANAC[[#This Row],[ID (C) ]],Tabela3[Horas estimadas])</f>
        <v>18</v>
      </c>
      <c r="N8" s="75"/>
      <c r="O8" s="81">
        <f ca="1">Tab_Estim_ANAC[[#This Row],[QUANTIDADE HORAS (M)]]</f>
        <v>18</v>
      </c>
      <c r="P8" s="4">
        <f t="shared" si="0"/>
        <v>18</v>
      </c>
      <c r="Q8" s="75">
        <f ca="1">IFERROR(Tab_Estim_ANAC[[#This Row],[QUANTIDADE DE UES
(O = M*N)]]*Tab_Estim_ANAC[[#This Row],[QUANTIDADE DE EXECUÇÕES PREVISTAS EM 36 MESES (P)]],"")</f>
        <v>324</v>
      </c>
      <c r="R8" s="76">
        <f ca="1">IFERROR(Tab_Estim_ANAC[[#This Row],[CUSTO HORA DO PROFISSIONAL (J)]]*Tab_Estim_ANAC[[#This Row],[QUANTIDADE HORAS (M)]],"")</f>
        <v>2013.8379545454547</v>
      </c>
      <c r="S8" s="76">
        <f ca="1">IFERROR(Tab_Estim_ANAC[[#This Row],[CUSTO UNITÁRIO DO SERVIÇO (R = M*J)]]*Tab_Estim_ANAC[[#This Row],[QUANTIDADE DE EXECUÇÕES PREVISTAS EM 36 MESES (P)]],"")</f>
        <v>36249.083181818183</v>
      </c>
      <c r="T8" s="82">
        <v>5</v>
      </c>
      <c r="U8" s="4" t="s">
        <v>292</v>
      </c>
    </row>
    <row r="9" spans="1:21" ht="102" customHeight="1" x14ac:dyDescent="0.35">
      <c r="A9" s="7" t="s">
        <v>99</v>
      </c>
      <c r="B9" s="4">
        <v>3</v>
      </c>
      <c r="C9" s="4" t="s">
        <v>97</v>
      </c>
      <c r="D9" s="4" t="s">
        <v>100</v>
      </c>
      <c r="E9" s="4" t="s">
        <v>105</v>
      </c>
      <c r="F9" s="4" t="s">
        <v>106</v>
      </c>
      <c r="G9" s="4" t="str">
        <f>CONCATENATE(Atividades!D31," ",Atividades!D32," ",Atividades!D33," ",Atividades!D34," ",Atividades!D35)</f>
        <v>1. Levantar dados e informações para parametrização 2. Parametrizar o painel/dashboard na solução 3. Validar com o demandante o painel elaborado 4. Promover ajustes no painel/dashboard 5. Disponibilizar em ambiente de produção</v>
      </c>
      <c r="H9" s="53" t="str">
        <f>IF(Tab_Estim_ANAC[[#This Row],[COMPLEXIDADE (L)]]="Baixa","Júnior",IF(Tab_Estim_ANAC[[#This Row],[COMPLEXIDADE (L)]]="Média","Pleno","Sênior"))</f>
        <v>Pleno</v>
      </c>
      <c r="I9" s="54">
        <f>IFERROR(VLOOKUP(Tab_Estim_ANAC[[#This Row],[QUALIFICAÇÃO DOS PROFISSIONAIS NECESSÁRIOS (H)]],'Custo dos Profissionais'!$A$5:$D$7,3,FALSE),"")</f>
        <v>19690.86</v>
      </c>
      <c r="J9" s="56">
        <f>IFERROR(Tab_Estim_ANAC[[#This Row],[ESTIMATIVA DO CUSTO MENSAL DO PROFISSIONAL (I)]]/(22*8),"")</f>
        <v>111.87988636363637</v>
      </c>
      <c r="K9" s="6" t="s">
        <v>104</v>
      </c>
      <c r="L9" s="4" t="s">
        <v>2</v>
      </c>
      <c r="M9" s="3">
        <f ca="1">SUMIF(Tabela3[[ID]:[Horas estimadas]],Tab_Estim_ANAC[[#This Row],[ID (C) ]],Tabela3[Horas estimadas])</f>
        <v>32</v>
      </c>
      <c r="N9" s="57"/>
      <c r="O9" s="58">
        <f ca="1">Tab_Estim_ANAC[[#This Row],[QUANTIDADE HORAS (M)]]</f>
        <v>32</v>
      </c>
      <c r="P9" s="4">
        <f t="shared" si="0"/>
        <v>18</v>
      </c>
      <c r="Q9" s="57">
        <f ca="1">IFERROR(Tab_Estim_ANAC[[#This Row],[QUANTIDADE DE UES
(O = M*N)]]*Tab_Estim_ANAC[[#This Row],[QUANTIDADE DE EXECUÇÕES PREVISTAS EM 36 MESES (P)]],"")</f>
        <v>576</v>
      </c>
      <c r="R9" s="56">
        <f ca="1">IFERROR(Tab_Estim_ANAC[[#This Row],[CUSTO HORA DO PROFISSIONAL (J)]]*Tab_Estim_ANAC[[#This Row],[QUANTIDADE HORAS (M)]],"")</f>
        <v>3580.1563636363639</v>
      </c>
      <c r="S9" s="56">
        <f ca="1">IFERROR(Tab_Estim_ANAC[[#This Row],[CUSTO UNITÁRIO DO SERVIÇO (R = M*J)]]*Tab_Estim_ANAC[[#This Row],[QUANTIDADE DE EXECUÇÕES PREVISTAS EM 36 MESES (P)]],"")</f>
        <v>64442.814545454552</v>
      </c>
      <c r="T9" s="80">
        <v>8</v>
      </c>
      <c r="U9" s="4" t="s">
        <v>293</v>
      </c>
    </row>
    <row r="10" spans="1:21" ht="65" x14ac:dyDescent="0.35">
      <c r="A10" s="7" t="s">
        <v>99</v>
      </c>
      <c r="B10" s="4">
        <v>3</v>
      </c>
      <c r="C10" s="4" t="s">
        <v>98</v>
      </c>
      <c r="D10" s="4" t="s">
        <v>101</v>
      </c>
      <c r="E10" s="4" t="s">
        <v>107</v>
      </c>
      <c r="F10" s="4" t="s">
        <v>108</v>
      </c>
      <c r="G10" s="4" t="str">
        <f>CONCATENATE(Atividades!D36," ",Atividades!D37," ",Atividades!D38," ",Atividades!D39)</f>
        <v>1. Levantar dados e informações para ajuste 2. Ajustar gráfico do painel/dashboard 3. Validar com o demandante o painel elaborado e promover ajustes 4. Disponibilizar em ambiente de produção</v>
      </c>
      <c r="H10" s="53" t="str">
        <f>IF(Tab_Estim_ANAC[[#This Row],[COMPLEXIDADE (L)]]="Baixa","Júnior",IF(Tab_Estim_ANAC[[#This Row],[COMPLEXIDADE (L)]]="Média","Pleno","Sênior"))</f>
        <v>Pleno</v>
      </c>
      <c r="I10" s="54">
        <f>IFERROR(VLOOKUP(Tab_Estim_ANAC[[#This Row],[QUALIFICAÇÃO DOS PROFISSIONAIS NECESSÁRIOS (H)]],'Custo dos Profissionais'!$A$5:$D$7,3,FALSE),"")</f>
        <v>19690.86</v>
      </c>
      <c r="J10" s="56">
        <f>IFERROR(Tab_Estim_ANAC[[#This Row],[ESTIMATIVA DO CUSTO MENSAL DO PROFISSIONAL (I)]]/(22*8),"")</f>
        <v>111.87988636363637</v>
      </c>
      <c r="K10" s="6" t="s">
        <v>265</v>
      </c>
      <c r="L10" s="4" t="s">
        <v>2</v>
      </c>
      <c r="M10" s="3">
        <f ca="1">SUMIF(Tabela3[[ID]:[Horas estimadas]],Tab_Estim_ANAC[[#This Row],[ID (C) ]],Tabela3[Horas estimadas])</f>
        <v>12</v>
      </c>
      <c r="N10" s="57"/>
      <c r="O10" s="58">
        <f ca="1">Tab_Estim_ANAC[[#This Row],[QUANTIDADE HORAS (M)]]</f>
        <v>12</v>
      </c>
      <c r="P10" s="4">
        <f>1*3*3</f>
        <v>9</v>
      </c>
      <c r="Q10" s="57">
        <f ca="1">IFERROR(Tab_Estim_ANAC[[#This Row],[QUANTIDADE DE UES
(O = M*N)]]*Tab_Estim_ANAC[[#This Row],[QUANTIDADE DE EXECUÇÕES PREVISTAS EM 36 MESES (P)]],"")</f>
        <v>108</v>
      </c>
      <c r="R10" s="56">
        <f ca="1">IFERROR(Tab_Estim_ANAC[[#This Row],[CUSTO HORA DO PROFISSIONAL (J)]]*Tab_Estim_ANAC[[#This Row],[QUANTIDADE HORAS (M)]],"")</f>
        <v>1342.5586363636364</v>
      </c>
      <c r="S10" s="56">
        <f ca="1">IFERROR(Tab_Estim_ANAC[[#This Row],[CUSTO UNITÁRIO DO SERVIÇO (R = M*J)]]*Tab_Estim_ANAC[[#This Row],[QUANTIDADE DE EXECUÇÕES PREVISTAS EM 36 MESES (P)]],"")</f>
        <v>12083.027727272727</v>
      </c>
      <c r="T10" s="80">
        <v>5</v>
      </c>
      <c r="U10" s="4" t="s">
        <v>294</v>
      </c>
    </row>
    <row r="11" spans="1:21" ht="114" customHeight="1" x14ac:dyDescent="0.35">
      <c r="A11" s="7" t="s">
        <v>3</v>
      </c>
      <c r="B11" s="4">
        <v>4</v>
      </c>
      <c r="C11" s="4" t="s">
        <v>110</v>
      </c>
      <c r="D11" s="4" t="s">
        <v>113</v>
      </c>
      <c r="E11" s="4" t="s">
        <v>115</v>
      </c>
      <c r="F11" s="4" t="s">
        <v>116</v>
      </c>
      <c r="G11" s="4" t="str">
        <f>CONCATENATE(Atividades!D40," ",Atividades!D41," ",Atividades!D42," ",Atividades!D43," ",Atividades!D44," ",Atividades!D45," ",Atividades!D46)</f>
        <v>1. Levantar sistemas e dados para integração 2. Documentar sistemas e tipos de dados a serem integrados 3. Parametrizar conectores de integração 4. Validar com o demandante a integração 5. Promover ajustes 6. Disponibilizar em ambiente de produção 7. Configurar atualização periódica</v>
      </c>
      <c r="H11" s="53" t="str">
        <f>IF(Tab_Estim_ANAC[[#This Row],[COMPLEXIDADE (L)]]="Baixa","Júnior",IF(Tab_Estim_ANAC[[#This Row],[COMPLEXIDADE (L)]]="Média","Pleno","Sênior"))</f>
        <v>Sênior</v>
      </c>
      <c r="I11" s="54">
        <f>IFERROR(VLOOKUP(Tab_Estim_ANAC[[#This Row],[QUALIFICAÇÃO DOS PROFISSIONAIS NECESSÁRIOS (H)]],'Custo dos Profissionais'!$A$5:$D$7,3,FALSE),"")</f>
        <v>29233.93</v>
      </c>
      <c r="J11" s="56">
        <f>IFERROR(Tab_Estim_ANAC[[#This Row],[ESTIMATIVA DO CUSTO MENSAL DO PROFISSIONAL (I)]]/(22*8),"")</f>
        <v>166.10187500000001</v>
      </c>
      <c r="K11" s="6" t="s">
        <v>5</v>
      </c>
      <c r="L11" s="4" t="s">
        <v>0</v>
      </c>
      <c r="M11" s="3">
        <f ca="1">SUMIF(Tabela3[[ID]:[Horas estimadas]],Tab_Estim_ANAC[[#This Row],[ID (C) ]],Tabela3[Horas estimadas])</f>
        <v>80</v>
      </c>
      <c r="N11" s="57"/>
      <c r="O11" s="58">
        <f ca="1">Tab_Estim_ANAC[[#This Row],[QUANTIDADE HORAS (M)]]</f>
        <v>80</v>
      </c>
      <c r="P11" s="4">
        <f>1*3*1*3</f>
        <v>9</v>
      </c>
      <c r="Q11" s="57">
        <f ca="1">IFERROR(Tab_Estim_ANAC[[#This Row],[QUANTIDADE DE UES
(O = M*N)]]*Tab_Estim_ANAC[[#This Row],[QUANTIDADE DE EXECUÇÕES PREVISTAS EM 36 MESES (P)]],"")</f>
        <v>720</v>
      </c>
      <c r="R11" s="56">
        <f ca="1">IFERROR(Tab_Estim_ANAC[[#This Row],[CUSTO HORA DO PROFISSIONAL (J)]]*Tab_Estim_ANAC[[#This Row],[QUANTIDADE HORAS (M)]],"")</f>
        <v>13288.150000000001</v>
      </c>
      <c r="S11" s="56">
        <f ca="1">IFERROR(Tab_Estim_ANAC[[#This Row],[CUSTO UNITÁRIO DO SERVIÇO (R = M*J)]]*Tab_Estim_ANAC[[#This Row],[QUANTIDADE DE EXECUÇÕES PREVISTAS EM 36 MESES (P)]],"")</f>
        <v>119593.35</v>
      </c>
      <c r="T11" s="80">
        <v>15</v>
      </c>
      <c r="U11" s="4" t="s">
        <v>295</v>
      </c>
    </row>
    <row r="12" spans="1:21" ht="77.25" customHeight="1" x14ac:dyDescent="0.35">
      <c r="A12" s="7" t="s">
        <v>3</v>
      </c>
      <c r="B12" s="4">
        <v>4</v>
      </c>
      <c r="C12" s="4" t="s">
        <v>111</v>
      </c>
      <c r="D12" s="4" t="s">
        <v>112</v>
      </c>
      <c r="E12" s="4" t="s">
        <v>136</v>
      </c>
      <c r="F12" s="4" t="s">
        <v>135</v>
      </c>
      <c r="G12" s="4" t="str">
        <f>CONCATENATE(Atividades!D47," ",Atividades!D48," ",Atividades!D49," ",Atividades!D50)</f>
        <v>1. Avaliação das Especificações funcional e Técnica 2. Preparação dos dados a serem carregados 3. Realização da carga 4. Verificação funcional da carga realizada</v>
      </c>
      <c r="H12" s="53" t="str">
        <f>IF(Tab_Estim_ANAC[[#This Row],[COMPLEXIDADE (L)]]="Baixa","Júnior",IF(Tab_Estim_ANAC[[#This Row],[COMPLEXIDADE (L)]]="Média","Pleno","Sênior"))</f>
        <v>Sênior</v>
      </c>
      <c r="I12" s="54">
        <f>IFERROR(VLOOKUP(Tab_Estim_ANAC[[#This Row],[QUALIFICAÇÃO DOS PROFISSIONAIS NECESSÁRIOS (H)]],'Custo dos Profissionais'!$A$5:$D$7,3,FALSE),"")</f>
        <v>29233.93</v>
      </c>
      <c r="J12" s="56">
        <f>IFERROR(Tab_Estim_ANAC[[#This Row],[ESTIMATIVA DO CUSTO MENSAL DO PROFISSIONAL (I)]]/(22*8),"")</f>
        <v>166.10187500000001</v>
      </c>
      <c r="K12" s="6" t="s">
        <v>5</v>
      </c>
      <c r="L12" s="4" t="s">
        <v>0</v>
      </c>
      <c r="M12" s="3">
        <f ca="1">SUMIF(Tabela3[[ID]:[Horas estimadas]],Tab_Estim_ANAC[[#This Row],[ID (C) ]],Tabela3[Horas estimadas])</f>
        <v>12</v>
      </c>
      <c r="N12" s="57"/>
      <c r="O12" s="58">
        <f ca="1">Tab_Estim_ANAC[[#This Row],[QUANTIDADE HORAS (M)]]</f>
        <v>12</v>
      </c>
      <c r="P12" s="4">
        <f>1*3*3</f>
        <v>9</v>
      </c>
      <c r="Q12" s="57">
        <f ca="1">IFERROR(Tab_Estim_ANAC[[#This Row],[QUANTIDADE DE UES
(O = M*N)]]*Tab_Estim_ANAC[[#This Row],[QUANTIDADE DE EXECUÇÕES PREVISTAS EM 36 MESES (P)]],"")</f>
        <v>108</v>
      </c>
      <c r="R12" s="56">
        <f ca="1">IFERROR(Tab_Estim_ANAC[[#This Row],[CUSTO HORA DO PROFISSIONAL (J)]]*Tab_Estim_ANAC[[#This Row],[QUANTIDADE HORAS (M)]],"")</f>
        <v>1993.2225000000001</v>
      </c>
      <c r="S12" s="56">
        <f ca="1">IFERROR(Tab_Estim_ANAC[[#This Row],[CUSTO UNITÁRIO DO SERVIÇO (R = M*J)]]*Tab_Estim_ANAC[[#This Row],[QUANTIDADE DE EXECUÇÕES PREVISTAS EM 36 MESES (P)]],"")</f>
        <v>17939.002500000002</v>
      </c>
      <c r="T12" s="80">
        <v>5</v>
      </c>
      <c r="U12" s="4" t="s">
        <v>296</v>
      </c>
    </row>
    <row r="13" spans="1:21" ht="136.5" customHeight="1" x14ac:dyDescent="0.35">
      <c r="A13" s="7" t="s">
        <v>137</v>
      </c>
      <c r="B13" s="4">
        <v>5</v>
      </c>
      <c r="C13" s="4" t="s">
        <v>138</v>
      </c>
      <c r="D13" s="4" t="s">
        <v>143</v>
      </c>
      <c r="E13" s="4" t="s">
        <v>139</v>
      </c>
      <c r="F13" s="4" t="s">
        <v>148</v>
      </c>
      <c r="G13" s="4" t="str">
        <f>CONCATENATE(Atividades!D51," ",Atividades!D52," ",Atividades!D53," ",Atividades!D54," ",Atividades!D55," ",Atividades!D56)</f>
        <v>1. Levantar dados e informações para parametrização 2. Parametrizar solução com os perfis validados pelo demandante 3. Validar com o demandante os perfis cadastrados e promover ajustes 4. Produzir documento de perfis e ações permitidas 5. Verificação funcional dos perfis 6. Ajustes nos perfis de acessos e grupos implementados</v>
      </c>
      <c r="H13" s="53" t="str">
        <f>IF(Tab_Estim_ANAC[[#This Row],[COMPLEXIDADE (L)]]="Baixa","Júnior",IF(Tab_Estim_ANAC[[#This Row],[COMPLEXIDADE (L)]]="Média","Pleno","Sênior"))</f>
        <v>Sênior</v>
      </c>
      <c r="I13" s="54">
        <f>IFERROR(VLOOKUP(Tab_Estim_ANAC[[#This Row],[QUALIFICAÇÃO DOS PROFISSIONAIS NECESSÁRIOS (H)]],'Custo dos Profissionais'!$A$5:$D$7,3,FALSE),"")</f>
        <v>29233.93</v>
      </c>
      <c r="J13" s="56">
        <f>IFERROR(Tab_Estim_ANAC[[#This Row],[ESTIMATIVA DO CUSTO MENSAL DO PROFISSIONAL (I)]]/(22*8),"")</f>
        <v>166.10187500000001</v>
      </c>
      <c r="K13" s="6" t="s">
        <v>140</v>
      </c>
      <c r="L13" s="4" t="s">
        <v>0</v>
      </c>
      <c r="M13" s="3">
        <f ca="1">SUMIF(Tabela3[[ID]:[Horas estimadas]],Tab_Estim_ANAC[[#This Row],[ID (C) ]],Tabela3[Horas estimadas])</f>
        <v>66</v>
      </c>
      <c r="N13" s="57"/>
      <c r="O13" s="58">
        <f ca="1">Tab_Estim_ANAC[[#This Row],[QUANTIDADE HORAS (M)]]</f>
        <v>66</v>
      </c>
      <c r="P13" s="4">
        <v>1</v>
      </c>
      <c r="Q13" s="57">
        <f ca="1">IFERROR(Tab_Estim_ANAC[[#This Row],[QUANTIDADE DE UES
(O = M*N)]]*Tab_Estim_ANAC[[#This Row],[QUANTIDADE DE EXECUÇÕES PREVISTAS EM 36 MESES (P)]],"")</f>
        <v>66</v>
      </c>
      <c r="R13" s="56">
        <f ca="1">IFERROR(Tab_Estim_ANAC[[#This Row],[CUSTO HORA DO PROFISSIONAL (J)]]*Tab_Estim_ANAC[[#This Row],[QUANTIDADE HORAS (M)]],"")</f>
        <v>10962.723750000001</v>
      </c>
      <c r="S13" s="56">
        <f ca="1">IFERROR(Tab_Estim_ANAC[[#This Row],[CUSTO UNITÁRIO DO SERVIÇO (R = M*J)]]*Tab_Estim_ANAC[[#This Row],[QUANTIDADE DE EXECUÇÕES PREVISTAS EM 36 MESES (P)]],"")</f>
        <v>10962.723750000001</v>
      </c>
      <c r="T13" s="80">
        <v>15</v>
      </c>
      <c r="U13" s="4" t="s">
        <v>141</v>
      </c>
    </row>
    <row r="14" spans="1:21" ht="133.5" customHeight="1" x14ac:dyDescent="0.35">
      <c r="A14" s="7" t="s">
        <v>137</v>
      </c>
      <c r="B14" s="4">
        <v>5</v>
      </c>
      <c r="C14" s="4" t="s">
        <v>142</v>
      </c>
      <c r="D14" s="4" t="s">
        <v>146</v>
      </c>
      <c r="E14" s="4" t="s">
        <v>147</v>
      </c>
      <c r="F14" s="4" t="s">
        <v>152</v>
      </c>
      <c r="G14" s="4" t="str">
        <f>CONCATENATE(Atividades!D57," ",Atividades!D58," ",Atividades!D59," ",Atividades!D60," ",Atividades!D61," ",Atividades!D62)</f>
        <v>1. Levantar dados e informações para parametrização 2. Parametrizar solução com a estrutura aprovada pelo demandante 3. Validar com o demandante a estrutura implementada e promover ajustes 4. Produzir documento de estrutura organizacional 5. Disponibilizar em ambiente de produção 6. Verificação funcional do fluxo na solução</v>
      </c>
      <c r="H14" s="53" t="str">
        <f>IF(Tab_Estim_ANAC[[#This Row],[COMPLEXIDADE (L)]]="Baixa","Júnior",IF(Tab_Estim_ANAC[[#This Row],[COMPLEXIDADE (L)]]="Média","Pleno","Sênior"))</f>
        <v>Sênior</v>
      </c>
      <c r="I14" s="54">
        <f>IFERROR(VLOOKUP(Tab_Estim_ANAC[[#This Row],[QUALIFICAÇÃO DOS PROFISSIONAIS NECESSÁRIOS (H)]],'Custo dos Profissionais'!$A$5:$D$7,3,FALSE),"")</f>
        <v>29233.93</v>
      </c>
      <c r="J14" s="56">
        <f>IFERROR(Tab_Estim_ANAC[[#This Row],[ESTIMATIVA DO CUSTO MENSAL DO PROFISSIONAL (I)]]/(22*8),"")</f>
        <v>166.10187500000001</v>
      </c>
      <c r="K14" s="6" t="s">
        <v>140</v>
      </c>
      <c r="L14" s="4" t="s">
        <v>0</v>
      </c>
      <c r="M14" s="3">
        <f ca="1">SUMIF(Tabela3[[ID]:[Horas estimadas]],Tab_Estim_ANAC[[#This Row],[ID (C) ]],Tabela3[Horas estimadas])</f>
        <v>32</v>
      </c>
      <c r="N14" s="57"/>
      <c r="O14" s="58">
        <f ca="1">Tab_Estim_ANAC[[#This Row],[QUANTIDADE HORAS (M)]]</f>
        <v>32</v>
      </c>
      <c r="P14" s="4">
        <v>1</v>
      </c>
      <c r="Q14" s="57">
        <f ca="1">IFERROR(Tab_Estim_ANAC[[#This Row],[QUANTIDADE DE UES
(O = M*N)]]*Tab_Estim_ANAC[[#This Row],[QUANTIDADE DE EXECUÇÕES PREVISTAS EM 36 MESES (P)]],"")</f>
        <v>32</v>
      </c>
      <c r="R14" s="56">
        <f ca="1">IFERROR(Tab_Estim_ANAC[[#This Row],[CUSTO HORA DO PROFISSIONAL (J)]]*Tab_Estim_ANAC[[#This Row],[QUANTIDADE HORAS (M)]],"")</f>
        <v>5315.26</v>
      </c>
      <c r="S14" s="56">
        <f ca="1">IFERROR(Tab_Estim_ANAC[[#This Row],[CUSTO UNITÁRIO DO SERVIÇO (R = M*J)]]*Tab_Estim_ANAC[[#This Row],[QUANTIDADE DE EXECUÇÕES PREVISTAS EM 36 MESES (P)]],"")</f>
        <v>5315.26</v>
      </c>
      <c r="T14" s="80">
        <v>8</v>
      </c>
      <c r="U14" s="4" t="s">
        <v>141</v>
      </c>
    </row>
    <row r="15" spans="1:21" ht="123.75" customHeight="1" x14ac:dyDescent="0.35">
      <c r="A15" s="7" t="s">
        <v>196</v>
      </c>
      <c r="B15" s="4">
        <v>6</v>
      </c>
      <c r="C15" s="4" t="s">
        <v>153</v>
      </c>
      <c r="D15" s="4" t="s">
        <v>154</v>
      </c>
      <c r="E15" s="4" t="s">
        <v>194</v>
      </c>
      <c r="F15" s="4" t="s">
        <v>162</v>
      </c>
      <c r="G15" s="4" t="str">
        <f>CONCATENATE(Atividades!D63," ",Atividades!D64," ",Atividades!D65," ",Atividades!D66," ",Atividades!D67," ",Atividades!D68)</f>
        <v>1. Levantar dados e informações de mapeamento do fluxo 2. Parametrizar solução com o fluxo validado pelo demandante 3. Validar com o demandante o fluxo implementado e promover ajustes 4. Produzir documento de fluxo implementado 5. Disponibilizar em ambiente de produção 6. Verificação funcional do fluxo na solução</v>
      </c>
      <c r="H15" s="53" t="str">
        <f>IF(Tab_Estim_ANAC[[#This Row],[COMPLEXIDADE (L)]]="Baixa","Júnior",IF(Tab_Estim_ANAC[[#This Row],[COMPLEXIDADE (L)]]="Média","Pleno","Sênior"))</f>
        <v>Sênior</v>
      </c>
      <c r="I15" s="54">
        <f>IFERROR(VLOOKUP(Tab_Estim_ANAC[[#This Row],[QUALIFICAÇÃO DOS PROFISSIONAIS NECESSÁRIOS (H)]],'Custo dos Profissionais'!$A$5:$D$7,3,FALSE),"")</f>
        <v>29233.93</v>
      </c>
      <c r="J15" s="56">
        <f>IFERROR(Tab_Estim_ANAC[[#This Row],[ESTIMATIVA DO CUSTO MENSAL DO PROFISSIONAL (I)]]/(22*8),"")</f>
        <v>166.10187500000001</v>
      </c>
      <c r="K15" s="6" t="s">
        <v>161</v>
      </c>
      <c r="L15" s="4" t="s">
        <v>0</v>
      </c>
      <c r="M15" s="3">
        <f ca="1">SUMIF(Tabela3[[ID]:[Horas estimadas]],Tab_Estim_ANAC[[#This Row],[ID (C) ]],Tabela3[Horas estimadas])</f>
        <v>66</v>
      </c>
      <c r="N15" s="57"/>
      <c r="O15" s="58">
        <f ca="1">Tab_Estim_ANAC[[#This Row],[QUANTIDADE HORAS (M)]]</f>
        <v>66</v>
      </c>
      <c r="P15" s="4">
        <f>1*3*3</f>
        <v>9</v>
      </c>
      <c r="Q15" s="57">
        <f ca="1">IFERROR(Tab_Estim_ANAC[[#This Row],[QUANTIDADE DE UES
(O = M*N)]]*Tab_Estim_ANAC[[#This Row],[QUANTIDADE DE EXECUÇÕES PREVISTAS EM 36 MESES (P)]],"")</f>
        <v>594</v>
      </c>
      <c r="R15" s="56">
        <f ca="1">IFERROR(Tab_Estim_ANAC[[#This Row],[CUSTO HORA DO PROFISSIONAL (J)]]*Tab_Estim_ANAC[[#This Row],[QUANTIDADE HORAS (M)]],"")</f>
        <v>10962.723750000001</v>
      </c>
      <c r="S15" s="56">
        <f ca="1">IFERROR(Tab_Estim_ANAC[[#This Row],[CUSTO UNITÁRIO DO SERVIÇO (R = M*J)]]*Tab_Estim_ANAC[[#This Row],[QUANTIDADE DE EXECUÇÕES PREVISTAS EM 36 MESES (P)]],"")</f>
        <v>98664.513750000013</v>
      </c>
      <c r="T15" s="80">
        <v>15</v>
      </c>
      <c r="U15" s="4" t="s">
        <v>299</v>
      </c>
    </row>
    <row r="16" spans="1:21" ht="138" customHeight="1" x14ac:dyDescent="0.35">
      <c r="A16" s="7" t="s">
        <v>196</v>
      </c>
      <c r="B16" s="4">
        <v>6</v>
      </c>
      <c r="C16" s="4" t="s">
        <v>163</v>
      </c>
      <c r="D16" s="4" t="s">
        <v>165</v>
      </c>
      <c r="E16" s="4" t="s">
        <v>164</v>
      </c>
      <c r="F16" s="4" t="s">
        <v>166</v>
      </c>
      <c r="G16" s="4" t="str">
        <f>CONCATENATE(Atividades!D69," ",Atividades!D70," ",Atividades!D71," ",Atividades!D72," ",Atividades!D73," ",Atividades!D74)</f>
        <v>1. Levantar dados e informações de mapeamento do fluxo e visão de interesse 2. Parametrizar solução com o fluxo e visão validados pelo demandante 3. Validar com o demandante o fluxo e visão implementados e promover ajustes 4. Produzir documento de fluxo e visão implementado 5. Disponibilizar em ambiente de produção 6. Verificação funcional do fluxo e visão na solução</v>
      </c>
      <c r="H16" s="53" t="str">
        <f>IF(Tab_Estim_ANAC[[#This Row],[COMPLEXIDADE (L)]]="Baixa","Júnior",IF(Tab_Estim_ANAC[[#This Row],[COMPLEXIDADE (L)]]="Média","Pleno","Sênior"))</f>
        <v>Sênior</v>
      </c>
      <c r="I16" s="54">
        <f>IFERROR(VLOOKUP(Tab_Estim_ANAC[[#This Row],[QUALIFICAÇÃO DOS PROFISSIONAIS NECESSÁRIOS (H)]],'Custo dos Profissionais'!$A$5:$D$7,3,FALSE),"")</f>
        <v>29233.93</v>
      </c>
      <c r="J16" s="56">
        <f>IFERROR(Tab_Estim_ANAC[[#This Row],[ESTIMATIVA DO CUSTO MENSAL DO PROFISSIONAL (I)]]/(22*8),"")</f>
        <v>166.10187500000001</v>
      </c>
      <c r="K16" s="6" t="s">
        <v>167</v>
      </c>
      <c r="L16" s="4" t="s">
        <v>0</v>
      </c>
      <c r="M16" s="3">
        <f ca="1">SUMIF(Tabela3[[ID]:[Horas estimadas]],Tab_Estim_ANAC[[#This Row],[ID (C) ]],Tabela3[Horas estimadas])</f>
        <v>48</v>
      </c>
      <c r="N16" s="57"/>
      <c r="O16" s="58">
        <f ca="1">Tab_Estim_ANAC[[#This Row],[QUANTIDADE HORAS (M)]]</f>
        <v>48</v>
      </c>
      <c r="P16" s="4">
        <f>1*6</f>
        <v>6</v>
      </c>
      <c r="Q16" s="57">
        <f ca="1">IFERROR(Tab_Estim_ANAC[[#This Row],[QUANTIDADE DE UES
(O = M*N)]]*Tab_Estim_ANAC[[#This Row],[QUANTIDADE DE EXECUÇÕES PREVISTAS EM 36 MESES (P)]],"")</f>
        <v>288</v>
      </c>
      <c r="R16" s="56">
        <f ca="1">IFERROR(Tab_Estim_ANAC[[#This Row],[CUSTO HORA DO PROFISSIONAL (J)]]*Tab_Estim_ANAC[[#This Row],[QUANTIDADE HORAS (M)]],"")</f>
        <v>7972.89</v>
      </c>
      <c r="S16" s="56">
        <f ca="1">IFERROR(Tab_Estim_ANAC[[#This Row],[CUSTO UNITÁRIO DO SERVIÇO (R = M*J)]]*Tab_Estim_ANAC[[#This Row],[QUANTIDADE DE EXECUÇÕES PREVISTAS EM 36 MESES (P)]],"")</f>
        <v>47837.340000000004</v>
      </c>
      <c r="T16" s="80">
        <v>10</v>
      </c>
      <c r="U16" s="4" t="s">
        <v>297</v>
      </c>
    </row>
    <row r="17" spans="1:21" ht="99" customHeight="1" x14ac:dyDescent="0.35">
      <c r="A17" s="7" t="s">
        <v>172</v>
      </c>
      <c r="B17" s="4">
        <v>7</v>
      </c>
      <c r="C17" s="4" t="s">
        <v>173</v>
      </c>
      <c r="D17" s="4" t="s">
        <v>175</v>
      </c>
      <c r="E17" s="4" t="s">
        <v>176</v>
      </c>
      <c r="F17" s="4" t="s">
        <v>177</v>
      </c>
      <c r="G17" s="4" t="str">
        <f>CONCATENATE(Atividades!D75," ",Atividades!D76," ",Atividades!D77," ",Atividades!D78," ",Atividades!D79)</f>
        <v>1. Levantar norma e parâmetros a serem inseridos na solução 2. Promover tratamento da norma para inclusão na solução 3. Carga da norma na solução 4. Validar com o demandante as normas e regulamentos inseridos 5. Disponibilizar em ambiente de produção</v>
      </c>
      <c r="H17" s="53" t="str">
        <f>IF(Tab_Estim_ANAC[[#This Row],[COMPLEXIDADE (L)]]="Baixa","Júnior",IF(Tab_Estim_ANAC[[#This Row],[COMPLEXIDADE (L)]]="Média","Pleno","Sênior"))</f>
        <v>Pleno</v>
      </c>
      <c r="I17" s="54">
        <f>IFERROR(VLOOKUP(Tab_Estim_ANAC[[#This Row],[QUALIFICAÇÃO DOS PROFISSIONAIS NECESSÁRIOS (H)]],'Custo dos Profissionais'!$A$5:$D$7,3,FALSE),"")</f>
        <v>19690.86</v>
      </c>
      <c r="J17" s="56">
        <f>IFERROR(Tab_Estim_ANAC[[#This Row],[ESTIMATIVA DO CUSTO MENSAL DO PROFISSIONAL (I)]]/(22*8),"")</f>
        <v>111.87988636363637</v>
      </c>
      <c r="K17" s="6" t="s">
        <v>174</v>
      </c>
      <c r="L17" s="4" t="s">
        <v>2</v>
      </c>
      <c r="M17" s="3">
        <f ca="1">SUMIF(Tabela3[[ID]:[Horas estimadas]],Tab_Estim_ANAC[[#This Row],[ID (C) ]],Tabela3[Horas estimadas])</f>
        <v>24</v>
      </c>
      <c r="N17" s="57"/>
      <c r="O17" s="58">
        <f ca="1">Tab_Estim_ANAC[[#This Row],[QUANTIDADE HORAS (M)]]</f>
        <v>24</v>
      </c>
      <c r="P17" s="4">
        <f>2*3*3</f>
        <v>18</v>
      </c>
      <c r="Q17" s="57">
        <f ca="1">IFERROR(Tab_Estim_ANAC[[#This Row],[QUANTIDADE DE UES
(O = M*N)]]*Tab_Estim_ANAC[[#This Row],[QUANTIDADE DE EXECUÇÕES PREVISTAS EM 36 MESES (P)]],"")</f>
        <v>432</v>
      </c>
      <c r="R17" s="56">
        <f ca="1">IFERROR(Tab_Estim_ANAC[[#This Row],[CUSTO HORA DO PROFISSIONAL (J)]]*Tab_Estim_ANAC[[#This Row],[QUANTIDADE HORAS (M)]],"")</f>
        <v>2685.1172727272728</v>
      </c>
      <c r="S17" s="56">
        <f ca="1">IFERROR(Tab_Estim_ANAC[[#This Row],[CUSTO UNITÁRIO DO SERVIÇO (R = M*J)]]*Tab_Estim_ANAC[[#This Row],[QUANTIDADE DE EXECUÇÕES PREVISTAS EM 36 MESES (P)]],"")</f>
        <v>48332.110909090909</v>
      </c>
      <c r="T17" s="80">
        <v>5</v>
      </c>
      <c r="U17" s="4" t="s">
        <v>298</v>
      </c>
    </row>
    <row r="18" spans="1:21" ht="105" customHeight="1" x14ac:dyDescent="0.35">
      <c r="A18" s="7" t="s">
        <v>172</v>
      </c>
      <c r="B18" s="4">
        <v>7</v>
      </c>
      <c r="C18" s="4" t="s">
        <v>181</v>
      </c>
      <c r="D18" s="4" t="s">
        <v>182</v>
      </c>
      <c r="E18" s="4" t="s">
        <v>183</v>
      </c>
      <c r="F18" s="4" t="s">
        <v>184</v>
      </c>
      <c r="G18" s="4" t="str">
        <f>CONCATENATE(Atividades!D80," ",Atividades!D81," ",Atividades!D82," ",Atividades!D83," ",Atividades!D84)</f>
        <v>1. Levantar padrão de controle a ser inserido na solução 2. Promover tratamento do padrão de controle para inclusão na solução 3. Carga do padrão de controle na solução 4. Validar com o demandante os padrões de controle inseridos 5. Disponibilizar em ambiente de produção</v>
      </c>
      <c r="H18" s="53" t="str">
        <f>IF(Tab_Estim_ANAC[[#This Row],[COMPLEXIDADE (L)]]="Baixa","Júnior",IF(Tab_Estim_ANAC[[#This Row],[COMPLEXIDADE (L)]]="Média","Pleno","Sênior"))</f>
        <v>Pleno</v>
      </c>
      <c r="I18" s="54">
        <f>IFERROR(VLOOKUP(Tab_Estim_ANAC[[#This Row],[QUALIFICAÇÃO DOS PROFISSIONAIS NECESSÁRIOS (H)]],'Custo dos Profissionais'!$A$5:$D$7,3,FALSE),"")</f>
        <v>19690.86</v>
      </c>
      <c r="J18" s="56">
        <f>IFERROR(Tab_Estim_ANAC[[#This Row],[ESTIMATIVA DO CUSTO MENSAL DO PROFISSIONAL (I)]]/(22*8),"")</f>
        <v>111.87988636363637</v>
      </c>
      <c r="K18" s="6" t="s">
        <v>193</v>
      </c>
      <c r="L18" s="4" t="s">
        <v>2</v>
      </c>
      <c r="M18" s="3">
        <f ca="1">SUMIF(Tabela3[[ID]:[Horas estimadas]],Tab_Estim_ANAC[[#This Row],[ID (C) ]],Tabela3[Horas estimadas])</f>
        <v>20</v>
      </c>
      <c r="N18" s="57"/>
      <c r="O18" s="58">
        <f ca="1">Tab_Estim_ANAC[[#This Row],[QUANTIDADE HORAS (M)]]</f>
        <v>20</v>
      </c>
      <c r="P18" s="4">
        <f>3*2*3</f>
        <v>18</v>
      </c>
      <c r="Q18" s="57">
        <f ca="1">IFERROR(Tab_Estim_ANAC[[#This Row],[QUANTIDADE DE UES
(O = M*N)]]*Tab_Estim_ANAC[[#This Row],[QUANTIDADE DE EXECUÇÕES PREVISTAS EM 36 MESES (P)]],"")</f>
        <v>360</v>
      </c>
      <c r="R18" s="56">
        <f ca="1">IFERROR(Tab_Estim_ANAC[[#This Row],[CUSTO HORA DO PROFISSIONAL (J)]]*Tab_Estim_ANAC[[#This Row],[QUANTIDADE HORAS (M)]],"")</f>
        <v>2237.5977272727273</v>
      </c>
      <c r="S18" s="56">
        <f ca="1">IFERROR(Tab_Estim_ANAC[[#This Row],[CUSTO UNITÁRIO DO SERVIÇO (R = M*J)]]*Tab_Estim_ANAC[[#This Row],[QUANTIDADE DE EXECUÇÕES PREVISTAS EM 36 MESES (P)]],"")</f>
        <v>40276.759090909094</v>
      </c>
      <c r="T18" s="80">
        <v>5</v>
      </c>
      <c r="U18" s="4" t="s">
        <v>217</v>
      </c>
    </row>
    <row r="19" spans="1:21" ht="122.25" customHeight="1" x14ac:dyDescent="0.35">
      <c r="A19" s="7" t="s">
        <v>188</v>
      </c>
      <c r="B19" s="4">
        <v>8</v>
      </c>
      <c r="C19" s="4" t="s">
        <v>189</v>
      </c>
      <c r="D19" s="4" t="s">
        <v>190</v>
      </c>
      <c r="E19" s="4" t="s">
        <v>191</v>
      </c>
      <c r="F19" s="4" t="s">
        <v>192</v>
      </c>
      <c r="G19" s="4" t="str">
        <f>CONCATENATE(Atividades!D85," ",Atividades!D86," ",Atividades!D87," ",Atividades!D88," ",Atividades!D89," ",Atividades!D90)</f>
        <v>1. Levantar dados e informações de mapeamento do fluxo 2. Parametrizar solução com o fluxo validado pelo demandante 3. Validar com o demandante o fluxo implementado e promover ajustes 4. Produzir documento de fluxo implementado 5. Disponibilizar em ambiente de produção 6. Verificação funcional do fluxo na solução</v>
      </c>
      <c r="H19" s="53" t="str">
        <f>IF(Tab_Estim_ANAC[[#This Row],[COMPLEXIDADE (L)]]="Baixa","Júnior",IF(Tab_Estim_ANAC[[#This Row],[COMPLEXIDADE (L)]]="Média","Pleno","Sênior"))</f>
        <v>Sênior</v>
      </c>
      <c r="I19" s="54">
        <f>IFERROR(VLOOKUP(Tab_Estim_ANAC[[#This Row],[QUALIFICAÇÃO DOS PROFISSIONAIS NECESSÁRIOS (H)]],'Custo dos Profissionais'!$A$5:$D$7,3,FALSE),"")</f>
        <v>29233.93</v>
      </c>
      <c r="J19" s="56">
        <f>IFERROR(Tab_Estim_ANAC[[#This Row],[ESTIMATIVA DO CUSTO MENSAL DO PROFISSIONAL (I)]]/(22*8),"")</f>
        <v>166.10187500000001</v>
      </c>
      <c r="K19" s="6" t="s">
        <v>195</v>
      </c>
      <c r="L19" s="4" t="s">
        <v>0</v>
      </c>
      <c r="M19" s="3">
        <f ca="1">SUMIF(Tabela3[[ID]:[Horas estimadas]],Tab_Estim_ANAC[[#This Row],[ID (C) ]],Tabela3[Horas estimadas])</f>
        <v>82</v>
      </c>
      <c r="N19" s="57"/>
      <c r="O19" s="58">
        <f ca="1">Tab_Estim_ANAC[[#This Row],[QUANTIDADE HORAS (M)]]</f>
        <v>82</v>
      </c>
      <c r="P19" s="4">
        <f>1*3*3</f>
        <v>9</v>
      </c>
      <c r="Q19" s="57">
        <f ca="1">IFERROR(Tab_Estim_ANAC[[#This Row],[QUANTIDADE DE UES
(O = M*N)]]*Tab_Estim_ANAC[[#This Row],[QUANTIDADE DE EXECUÇÕES PREVISTAS EM 36 MESES (P)]],"")</f>
        <v>738</v>
      </c>
      <c r="R19" s="56">
        <f ca="1">IFERROR(Tab_Estim_ANAC[[#This Row],[CUSTO HORA DO PROFISSIONAL (J)]]*Tab_Estim_ANAC[[#This Row],[QUANTIDADE HORAS (M)]],"")</f>
        <v>13620.35375</v>
      </c>
      <c r="S19" s="56">
        <f ca="1">IFERROR(Tab_Estim_ANAC[[#This Row],[CUSTO UNITÁRIO DO SERVIÇO (R = M*J)]]*Tab_Estim_ANAC[[#This Row],[QUANTIDADE DE EXECUÇÕES PREVISTAS EM 36 MESES (P)]],"")</f>
        <v>122583.18375</v>
      </c>
      <c r="T19" s="80">
        <v>15</v>
      </c>
      <c r="U19" s="4" t="s">
        <v>299</v>
      </c>
    </row>
    <row r="20" spans="1:21" ht="159" customHeight="1" x14ac:dyDescent="0.35">
      <c r="A20" s="7" t="s">
        <v>197</v>
      </c>
      <c r="B20" s="4">
        <v>9</v>
      </c>
      <c r="C20" s="4" t="s">
        <v>198</v>
      </c>
      <c r="D20" s="4" t="s">
        <v>199</v>
      </c>
      <c r="E20" s="4" t="s">
        <v>200</v>
      </c>
      <c r="F20" s="4" t="s">
        <v>201</v>
      </c>
      <c r="G20" s="4" t="str">
        <f>CONCATENATE(Atividades!D91," ",Atividades!D92," ",Atividades!D93," ",Atividades!D94," ",Atividades!D95,," ",Atividades!D96," ",Atividades!D97)</f>
        <v>1. Levantar dados e informações de risco e visão de interesse 2. Parametrizar solução com catálogo de risco validado pelo demandante 3. Promover a vinculação dos riscos com a estrutura organizacional e com as fiscalizações 4. Validar com o demandante catálogo de risco implementado e promover ajustes 5. Produzir documentação do catálogo 6. Disponibilizar em ambiente de produção 7. Verificação funcional do catálogo na solução</v>
      </c>
      <c r="H20" s="3" t="str">
        <f>IF(Tab_Estim_ANAC[[#This Row],[COMPLEXIDADE (L)]]="Baixa","Júnior",IF(Tab_Estim_ANAC[[#This Row],[COMPLEXIDADE (L)]]="Média","Pleno","Sênior"))</f>
        <v>Pleno</v>
      </c>
      <c r="I20" s="5">
        <f>IFERROR(VLOOKUP(Tab_Estim_ANAC[[#This Row],[QUALIFICAÇÃO DOS PROFISSIONAIS NECESSÁRIOS (H)]],'Custo dos Profissionais'!$A$5:$D$7,3,FALSE),"")</f>
        <v>19690.86</v>
      </c>
      <c r="J20" s="5">
        <f>IFERROR(Tab_Estim_ANAC[[#This Row],[ESTIMATIVA DO CUSTO MENSAL DO PROFISSIONAL (I)]]/(22*8),"")</f>
        <v>111.87988636363637</v>
      </c>
      <c r="K20" s="6" t="s">
        <v>204</v>
      </c>
      <c r="L20" s="4" t="s">
        <v>2</v>
      </c>
      <c r="M20" s="3">
        <f ca="1">SUMIF(Tabela3[[ID]:[Horas estimadas]],Tab_Estim_ANAC[[#This Row],[ID (C) ]],Tabela3[Horas estimadas])</f>
        <v>86</v>
      </c>
      <c r="N20" s="19"/>
      <c r="O20" s="19">
        <f ca="1">Tab_Estim_ANAC[[#This Row],[QUANTIDADE HORAS (M)]]</f>
        <v>86</v>
      </c>
      <c r="P20" s="4">
        <f>1*6</f>
        <v>6</v>
      </c>
      <c r="Q20" s="19">
        <f ca="1">IFERROR(Tab_Estim_ANAC[[#This Row],[QUANTIDADE DE UES
(O = M*N)]]*Tab_Estim_ANAC[[#This Row],[QUANTIDADE DE EXECUÇÕES PREVISTAS EM 36 MESES (P)]],"")</f>
        <v>516</v>
      </c>
      <c r="R20" s="8">
        <f ca="1">IFERROR(Tab_Estim_ANAC[[#This Row],[CUSTO HORA DO PROFISSIONAL (J)]]*Tab_Estim_ANAC[[#This Row],[QUANTIDADE HORAS (M)]],"")</f>
        <v>9621.6702272727289</v>
      </c>
      <c r="S20" s="8">
        <f ca="1">IFERROR(Tab_Estim_ANAC[[#This Row],[CUSTO UNITÁRIO DO SERVIÇO (R = M*J)]]*Tab_Estim_ANAC[[#This Row],[QUANTIDADE DE EXECUÇÕES PREVISTAS EM 36 MESES (P)]],"")</f>
        <v>57730.021363636377</v>
      </c>
      <c r="T20" s="80">
        <v>15</v>
      </c>
      <c r="U20" s="4" t="s">
        <v>300</v>
      </c>
    </row>
    <row r="21" spans="1:21" ht="105" customHeight="1" x14ac:dyDescent="0.35">
      <c r="A21" s="7" t="s">
        <v>205</v>
      </c>
      <c r="B21" s="4">
        <v>10</v>
      </c>
      <c r="C21" s="4" t="s">
        <v>206</v>
      </c>
      <c r="D21" s="4" t="s">
        <v>207</v>
      </c>
      <c r="E21" s="4" t="s">
        <v>208</v>
      </c>
      <c r="F21" s="4" t="s">
        <v>209</v>
      </c>
      <c r="G21" s="4" t="str">
        <f>CONCATENATE(Atividades!D98," ",Atividades!D99," ",Atividades!D100," ",Atividades!D101," ",Atividades!D102)</f>
        <v>1. Levantar dados e informações para parametrização 2. Parametrizar do campo na solução 3. Validar com o demandante o cálculo e promover ajustes 4. Ajustar após validação do demandante 5. Disponibilizar em ambiente de produção</v>
      </c>
      <c r="H21" s="3" t="str">
        <f>IF(Tab_Estim_ANAC[[#This Row],[COMPLEXIDADE (L)]]="Baixa","Júnior",IF(Tab_Estim_ANAC[[#This Row],[COMPLEXIDADE (L)]]="Média","Pleno","Sênior"))</f>
        <v>Pleno</v>
      </c>
      <c r="I21" s="5">
        <f>IFERROR(VLOOKUP(Tab_Estim_ANAC[[#This Row],[QUALIFICAÇÃO DOS PROFISSIONAIS NECESSÁRIOS (H)]],'Custo dos Profissionais'!$A$5:$D$7,3,FALSE),"")</f>
        <v>19690.86</v>
      </c>
      <c r="J21" s="5">
        <f>IFERROR(Tab_Estim_ANAC[[#This Row],[ESTIMATIVA DO CUSTO MENSAL DO PROFISSIONAL (I)]]/(22*8),"")</f>
        <v>111.87988636363637</v>
      </c>
      <c r="K21" s="6" t="s">
        <v>210</v>
      </c>
      <c r="L21" s="4" t="s">
        <v>2</v>
      </c>
      <c r="M21" s="3">
        <f ca="1">SUMIF(Tabela3[[ID]:[Horas estimadas]],Tab_Estim_ANAC[[#This Row],[ID (C) ]],Tabela3[Horas estimadas])</f>
        <v>28</v>
      </c>
      <c r="N21" s="19"/>
      <c r="O21" s="19">
        <f ca="1">Tab_Estim_ANAC[[#This Row],[QUANTIDADE HORAS (M)]]</f>
        <v>28</v>
      </c>
      <c r="P21" s="4">
        <f>3*2*3</f>
        <v>18</v>
      </c>
      <c r="Q21" s="19">
        <f ca="1">IFERROR(Tab_Estim_ANAC[[#This Row],[QUANTIDADE DE UES
(O = M*N)]]*Tab_Estim_ANAC[[#This Row],[QUANTIDADE DE EXECUÇÕES PREVISTAS EM 36 MESES (P)]],"")</f>
        <v>504</v>
      </c>
      <c r="R21" s="8">
        <f ca="1">IFERROR(Tab_Estim_ANAC[[#This Row],[CUSTO HORA DO PROFISSIONAL (J)]]*Tab_Estim_ANAC[[#This Row],[QUANTIDADE HORAS (M)]],"")</f>
        <v>3132.6368181818184</v>
      </c>
      <c r="S21" s="8">
        <f ca="1">IFERROR(Tab_Estim_ANAC[[#This Row],[CUSTO UNITÁRIO DO SERVIÇO (R = M*J)]]*Tab_Estim_ANAC[[#This Row],[QUANTIDADE DE EXECUÇÕES PREVISTAS EM 36 MESES (P)]],"")</f>
        <v>56387.46272727273</v>
      </c>
      <c r="T21" s="80">
        <v>5</v>
      </c>
      <c r="U21" s="9" t="s">
        <v>226</v>
      </c>
    </row>
    <row r="22" spans="1:21" ht="123" customHeight="1" x14ac:dyDescent="0.35">
      <c r="A22" s="7" t="s">
        <v>213</v>
      </c>
      <c r="B22" s="4">
        <v>11</v>
      </c>
      <c r="C22" s="4" t="s">
        <v>214</v>
      </c>
      <c r="D22" s="4" t="s">
        <v>215</v>
      </c>
      <c r="E22" s="4" t="s">
        <v>225</v>
      </c>
      <c r="F22" s="4" t="s">
        <v>224</v>
      </c>
      <c r="G22" s="4" t="str">
        <f>CONCATENATE(Atividades!D103," ",Atividades!D104," ",Atividades!D105," ",Atividades!D106," ",Atividades!D107," ",Atividades!D108)</f>
        <v>1. Levantar requisitos para ajuste no aplicativo 2. Customizar aplicativo com requisitos validados pelo demandante 3. Validar com o demandante aplicativo customizado e promover ajustes 4. Produzir documentação de customização 5. Disponibilizar em ambiente de produção 6. Verificação funcional da implementação</v>
      </c>
      <c r="H22" s="3" t="str">
        <f>IF(Tab_Estim_ANAC[[#This Row],[COMPLEXIDADE (L)]]="Baixa","Júnior",IF(Tab_Estim_ANAC[[#This Row],[COMPLEXIDADE (L)]]="Média","Pleno","Sênior"))</f>
        <v>Pleno</v>
      </c>
      <c r="I22" s="5">
        <f>IFERROR(VLOOKUP(Tab_Estim_ANAC[[#This Row],[QUALIFICAÇÃO DOS PROFISSIONAIS NECESSÁRIOS (H)]],'Custo dos Profissionais'!$A$5:$D$7,3,FALSE),"")</f>
        <v>19690.86</v>
      </c>
      <c r="J22" s="5">
        <f>IFERROR(Tab_Estim_ANAC[[#This Row],[ESTIMATIVA DO CUSTO MENSAL DO PROFISSIONAL (I)]]/(22*8),"")</f>
        <v>111.87988636363637</v>
      </c>
      <c r="K22" s="6" t="s">
        <v>288</v>
      </c>
      <c r="L22" s="4" t="s">
        <v>2</v>
      </c>
      <c r="M22" s="3">
        <f ca="1">SUMIF(Tabela3[[ID]:[Horas estimadas]],Tab_Estim_ANAC[[#This Row],[ID (C) ]],Tabela3[Horas estimadas])</f>
        <v>82</v>
      </c>
      <c r="N22" s="19"/>
      <c r="O22" s="19">
        <f ca="1">Tab_Estim_ANAC[[#This Row],[QUANTIDADE HORAS (M)]]</f>
        <v>82</v>
      </c>
      <c r="P22" s="4">
        <v>3</v>
      </c>
      <c r="Q22" s="19">
        <f ca="1">IFERROR(Tab_Estim_ANAC[[#This Row],[QUANTIDADE DE UES
(O = M*N)]]*Tab_Estim_ANAC[[#This Row],[QUANTIDADE DE EXECUÇÕES PREVISTAS EM 36 MESES (P)]],"")</f>
        <v>246</v>
      </c>
      <c r="R22" s="8">
        <f ca="1">IFERROR(Tab_Estim_ANAC[[#This Row],[CUSTO HORA DO PROFISSIONAL (J)]]*Tab_Estim_ANAC[[#This Row],[QUANTIDADE HORAS (M)]],"")</f>
        <v>9174.1506818181824</v>
      </c>
      <c r="S22" s="8">
        <f ca="1">IFERROR(Tab_Estim_ANAC[[#This Row],[CUSTO UNITÁRIO DO SERVIÇO (R = M*J)]]*Tab_Estim_ANAC[[#This Row],[QUANTIDADE DE EXECUÇÕES PREVISTAS EM 36 MESES (P)]],"")</f>
        <v>27522.452045454549</v>
      </c>
      <c r="T22" s="80">
        <v>15</v>
      </c>
      <c r="U22" s="9" t="s">
        <v>227</v>
      </c>
    </row>
    <row r="23" spans="1:21" ht="123.75" customHeight="1" x14ac:dyDescent="0.35">
      <c r="A23" s="67" t="s">
        <v>229</v>
      </c>
      <c r="B23" s="68">
        <v>12</v>
      </c>
      <c r="C23" s="68" t="s">
        <v>219</v>
      </c>
      <c r="D23" s="68" t="s">
        <v>221</v>
      </c>
      <c r="E23" s="68" t="s">
        <v>222</v>
      </c>
      <c r="F23" s="68" t="s">
        <v>223</v>
      </c>
      <c r="G23" s="4" t="str">
        <f>CONCATENATE(Atividades!D109," ",Atividades!D110," ",Atividades!D111," ",Atividades!D112," ",Atividades!D113," ",Atividades!D114)</f>
        <v>1. Levantar dados e informações sobre o fluxo a ser implementado 2. Parametrizar solução com o fluxo validado pelo demandante 3. Validar com o demandante fluxo implementado e promover ajustes 4. Produzir documentação do fluxo 5. Disponibilizar em ambiente de produção 6. Verificação funcional do fluxo na solução</v>
      </c>
      <c r="H23" s="69" t="str">
        <f>IF(Tab_Estim_ANAC[[#This Row],[COMPLEXIDADE (L)]]="Baixa","Júnior",IF(Tab_Estim_ANAC[[#This Row],[COMPLEXIDADE (L)]]="Média","Pleno","Sênior"))</f>
        <v>Sênior</v>
      </c>
      <c r="I23" s="73">
        <f>IFERROR(VLOOKUP(Tab_Estim_ANAC[[#This Row],[QUALIFICAÇÃO DOS PROFISSIONAIS NECESSÁRIOS (H)]],'Custo dos Profissionais'!$A$5:$D$7,3,FALSE),"")</f>
        <v>29233.93</v>
      </c>
      <c r="J23" s="73">
        <f>IFERROR(Tab_Estim_ANAC[[#This Row],[ESTIMATIVA DO CUSTO MENSAL DO PROFISSIONAL (I)]]/(22*8),"")</f>
        <v>166.10187500000001</v>
      </c>
      <c r="K23" s="70" t="s">
        <v>220</v>
      </c>
      <c r="L23" s="68" t="s">
        <v>0</v>
      </c>
      <c r="M23" s="71">
        <f ca="1">SUMIF(Tabela3[[ID]:[Horas estimadas]],Tab_Estim_ANAC[[#This Row],[ID (C) ]],Tabela3[Horas estimadas])</f>
        <v>62</v>
      </c>
      <c r="N23" s="75"/>
      <c r="O23" s="81">
        <f ca="1">Tab_Estim_ANAC[[#This Row],[QUANTIDADE HORAS (M)]]</f>
        <v>62</v>
      </c>
      <c r="P23" s="68">
        <v>3</v>
      </c>
      <c r="Q23" s="75">
        <f ca="1">IFERROR(Tab_Estim_ANAC[[#This Row],[QUANTIDADE DE UES
(O = M*N)]]*Tab_Estim_ANAC[[#This Row],[QUANTIDADE DE EXECUÇÕES PREVISTAS EM 36 MESES (P)]],"")</f>
        <v>186</v>
      </c>
      <c r="R23" s="76">
        <f ca="1">IFERROR(Tab_Estim_ANAC[[#This Row],[CUSTO HORA DO PROFISSIONAL (J)]]*Tab_Estim_ANAC[[#This Row],[QUANTIDADE HORAS (M)]],"")</f>
        <v>10298.31625</v>
      </c>
      <c r="S23" s="76">
        <f ca="1">IFERROR(Tab_Estim_ANAC[[#This Row],[CUSTO UNITÁRIO DO SERVIÇO (R = M*J)]]*Tab_Estim_ANAC[[#This Row],[QUANTIDADE DE EXECUÇÕES PREVISTAS EM 36 MESES (P)]],"")</f>
        <v>30894.94875</v>
      </c>
      <c r="T23" s="82">
        <v>12</v>
      </c>
      <c r="U23" s="9" t="s">
        <v>228</v>
      </c>
    </row>
    <row r="24" spans="1:21" ht="157.5" customHeight="1" x14ac:dyDescent="0.35">
      <c r="A24" s="7" t="s">
        <v>301</v>
      </c>
      <c r="B24" s="4">
        <v>13</v>
      </c>
      <c r="C24" s="4" t="s">
        <v>302</v>
      </c>
      <c r="D24" s="4" t="s">
        <v>303</v>
      </c>
      <c r="E24" s="4" t="s">
        <v>305</v>
      </c>
      <c r="F24" s="4" t="s">
        <v>304</v>
      </c>
      <c r="G24" s="4" t="str">
        <f>CONCATENATE(Atividades!D115," ",Atividades!D116," ",Atividades!D117," ",Atividades!D118," ",Atividades!D119," ",Atividades!D120," ",Atividades!D121)</f>
        <v>1. Levantamento macro dos fluxos operacionais e processos de negócio da ANAC 2. Validação de proposta de escopo e entregas 3. Revisão e ajuste do escopo e entregas 4. Elaboração do cronograma e plano do projeto 5. Elaboração do documento de especificação a ser implementado 6. Definição da visão estratégica, tática e operacional na solução 7. Revisão e validação da visão, tática e operacional na solução</v>
      </c>
      <c r="H24" s="97" t="str">
        <f>IF(Tab_Estim_ANAC[[#This Row],[COMPLEXIDADE (L)]]="Baixa","Júnior",IF(Tab_Estim_ANAC[[#This Row],[COMPLEXIDADE (L)]]="Média","Pleno","Sênior"))</f>
        <v>Pleno</v>
      </c>
      <c r="I24" s="54">
        <f>IFERROR(VLOOKUP(Tab_Estim_ANAC[[#This Row],[QUALIFICAÇÃO DOS PROFISSIONAIS NECESSÁRIOS (H)]],'Custo dos Profissionais'!$A$5:$D$7,3,FALSE),"")</f>
        <v>19690.86</v>
      </c>
      <c r="J24" s="54">
        <f>IFERROR(Tab_Estim_ANAC[[#This Row],[ESTIMATIVA DO CUSTO MENSAL DO PROFISSIONAL (I)]]/(22*8),"")</f>
        <v>111.87988636363637</v>
      </c>
      <c r="K24" s="6" t="s">
        <v>313</v>
      </c>
      <c r="L24" s="4" t="s">
        <v>2</v>
      </c>
      <c r="M24" s="3">
        <f ca="1">SUMIF(Tabela3[[ID]:[Horas estimadas]],Tab_Estim_ANAC[[#This Row],[ID (C) ]],Tabela3[Horas estimadas])</f>
        <v>120</v>
      </c>
      <c r="N24" s="19"/>
      <c r="O24" s="55">
        <f ca="1">Tab_Estim_ANAC[[#This Row],[QUANTIDADE HORAS (M)]]</f>
        <v>120</v>
      </c>
      <c r="P24" s="4">
        <v>1</v>
      </c>
      <c r="Q24" s="19">
        <f ca="1">IFERROR(Tab_Estim_ANAC[[#This Row],[QUANTIDADE DE UES
(O = M*N)]]*Tab_Estim_ANAC[[#This Row],[QUANTIDADE DE EXECUÇÕES PREVISTAS EM 36 MESES (P)]],"")</f>
        <v>120</v>
      </c>
      <c r="R24" s="56">
        <f ca="1">IFERROR(Tab_Estim_ANAC[[#This Row],[CUSTO HORA DO PROFISSIONAL (J)]]*Tab_Estim_ANAC[[#This Row],[QUANTIDADE HORAS (M)]],"")</f>
        <v>13425.586363636365</v>
      </c>
      <c r="S24" s="56">
        <f ca="1">IFERROR(Tab_Estim_ANAC[[#This Row],[CUSTO UNITÁRIO DO SERVIÇO (R = M*J)]]*Tab_Estim_ANAC[[#This Row],[QUANTIDADE DE EXECUÇÕES PREVISTAS EM 36 MESES (P)]],"")</f>
        <v>13425.586363636365</v>
      </c>
      <c r="T24" s="80">
        <v>22</v>
      </c>
      <c r="U24" s="4" t="s">
        <v>314</v>
      </c>
    </row>
    <row r="25" spans="1:21" x14ac:dyDescent="0.35">
      <c r="A25" s="7"/>
      <c r="B25" s="4"/>
      <c r="C25" s="4"/>
      <c r="D25" s="4"/>
      <c r="E25" s="4"/>
      <c r="F25" s="4"/>
      <c r="G25" s="4"/>
      <c r="H25" s="53"/>
      <c r="I25" s="91"/>
      <c r="J25" s="91"/>
      <c r="K25" s="6"/>
      <c r="L25" s="4"/>
      <c r="M25" s="3"/>
      <c r="N25" s="92"/>
      <c r="O25" s="92"/>
      <c r="P25" s="4"/>
      <c r="Q25" s="92">
        <f ca="1">SUBTOTAL(109,Tab_Estim_ANAC[QUANTIDADE 36 MESES DE UES AJUSTADO
(Q =O*P)])</f>
        <v>8438</v>
      </c>
      <c r="R25" s="93"/>
      <c r="S25" s="93">
        <f ca="1">SUBTOTAL(109,Tab_Estim_ANAC[CUSTO TOTAL DO SERVIÇO (S = R*P)])</f>
        <v>1075265.1665909092</v>
      </c>
      <c r="T25" s="94"/>
      <c r="U25" s="4"/>
    </row>
    <row r="26" spans="1:21" x14ac:dyDescent="0.35">
      <c r="A26" s="98" t="s">
        <v>315</v>
      </c>
    </row>
    <row r="27" spans="1:21" x14ac:dyDescent="0.35">
      <c r="A27" s="2"/>
    </row>
    <row r="28" spans="1:21" x14ac:dyDescent="0.35">
      <c r="A28" s="2"/>
    </row>
    <row r="29" spans="1:21" x14ac:dyDescent="0.35">
      <c r="A29" s="2"/>
    </row>
    <row r="30" spans="1:21" x14ac:dyDescent="0.35">
      <c r="A30" s="2"/>
    </row>
    <row r="31" spans="1:21" x14ac:dyDescent="0.35">
      <c r="A31" s="2"/>
    </row>
    <row r="32" spans="1:21" x14ac:dyDescent="0.35">
      <c r="A32" s="2"/>
    </row>
    <row r="33" spans="1:1" x14ac:dyDescent="0.35">
      <c r="A33" s="2"/>
    </row>
    <row r="34" spans="1:1" x14ac:dyDescent="0.35">
      <c r="A34" s="2"/>
    </row>
    <row r="35" spans="1:1" x14ac:dyDescent="0.35">
      <c r="A35" s="2"/>
    </row>
    <row r="36" spans="1:1" x14ac:dyDescent="0.35">
      <c r="A36" s="2"/>
    </row>
    <row r="37" spans="1:1" x14ac:dyDescent="0.35">
      <c r="A37" s="2"/>
    </row>
    <row r="38" spans="1:1" x14ac:dyDescent="0.35">
      <c r="A38" s="2"/>
    </row>
    <row r="39" spans="1:1" x14ac:dyDescent="0.35">
      <c r="A39" s="2"/>
    </row>
    <row r="40" spans="1:1" x14ac:dyDescent="0.35">
      <c r="A40" s="2"/>
    </row>
    <row r="41" spans="1:1" x14ac:dyDescent="0.35">
      <c r="A41" s="2"/>
    </row>
    <row r="42" spans="1:1" x14ac:dyDescent="0.35">
      <c r="A42" s="2"/>
    </row>
    <row r="43" spans="1:1" x14ac:dyDescent="0.35">
      <c r="A43" s="2"/>
    </row>
    <row r="44" spans="1:1" x14ac:dyDescent="0.35">
      <c r="A44" s="2"/>
    </row>
    <row r="45" spans="1:1" x14ac:dyDescent="0.35">
      <c r="A45" s="2"/>
    </row>
    <row r="46" spans="1:1" x14ac:dyDescent="0.35">
      <c r="A46" s="2"/>
    </row>
    <row r="47" spans="1:1" x14ac:dyDescent="0.35">
      <c r="A47" s="2"/>
    </row>
    <row r="48" spans="1:1" x14ac:dyDescent="0.35">
      <c r="A48" s="2"/>
    </row>
    <row r="49" spans="1:1" x14ac:dyDescent="0.35">
      <c r="A49" s="2"/>
    </row>
    <row r="50" spans="1:1" x14ac:dyDescent="0.35">
      <c r="A50" s="2"/>
    </row>
    <row r="51" spans="1:1" x14ac:dyDescent="0.35">
      <c r="A51" s="2"/>
    </row>
    <row r="52" spans="1:1" x14ac:dyDescent="0.35">
      <c r="A52" s="2"/>
    </row>
    <row r="53" spans="1:1" x14ac:dyDescent="0.35">
      <c r="A53" s="2"/>
    </row>
    <row r="54" spans="1:1" x14ac:dyDescent="0.35">
      <c r="A54" s="2"/>
    </row>
    <row r="55" spans="1:1" x14ac:dyDescent="0.35">
      <c r="A55" s="2"/>
    </row>
    <row r="56" spans="1:1" x14ac:dyDescent="0.35">
      <c r="A56" s="2"/>
    </row>
    <row r="57" spans="1:1" x14ac:dyDescent="0.35">
      <c r="A57" s="2"/>
    </row>
    <row r="58" spans="1:1" x14ac:dyDescent="0.35">
      <c r="A58" s="2"/>
    </row>
    <row r="59" spans="1:1" x14ac:dyDescent="0.35">
      <c r="A59" s="2"/>
    </row>
    <row r="60" spans="1:1" x14ac:dyDescent="0.35">
      <c r="A60" s="2"/>
    </row>
    <row r="61" spans="1:1" x14ac:dyDescent="0.35">
      <c r="A61" s="2"/>
    </row>
    <row r="62" spans="1:1" x14ac:dyDescent="0.35">
      <c r="A62" s="2"/>
    </row>
    <row r="63" spans="1:1" x14ac:dyDescent="0.35">
      <c r="A63" s="2"/>
    </row>
    <row r="64" spans="1:1" x14ac:dyDescent="0.35">
      <c r="A64" s="2"/>
    </row>
    <row r="65" spans="1:1" x14ac:dyDescent="0.35">
      <c r="A65" s="2"/>
    </row>
    <row r="66" spans="1:1" x14ac:dyDescent="0.35">
      <c r="A66" s="2"/>
    </row>
    <row r="67" spans="1:1" x14ac:dyDescent="0.35">
      <c r="A67" s="2"/>
    </row>
    <row r="68" spans="1:1" x14ac:dyDescent="0.35">
      <c r="A68" s="2"/>
    </row>
    <row r="69" spans="1:1" x14ac:dyDescent="0.35">
      <c r="A69" s="2"/>
    </row>
    <row r="70" spans="1:1" x14ac:dyDescent="0.35">
      <c r="A70" s="2"/>
    </row>
    <row r="71" spans="1:1" x14ac:dyDescent="0.35">
      <c r="A71" s="2"/>
    </row>
    <row r="72" spans="1:1" x14ac:dyDescent="0.35">
      <c r="A72" s="2"/>
    </row>
    <row r="73" spans="1:1" x14ac:dyDescent="0.35">
      <c r="A73" s="2"/>
    </row>
    <row r="74" spans="1:1" x14ac:dyDescent="0.35">
      <c r="A74" s="2"/>
    </row>
    <row r="75" spans="1:1" x14ac:dyDescent="0.35">
      <c r="A75" s="2"/>
    </row>
    <row r="76" spans="1:1" x14ac:dyDescent="0.35">
      <c r="A76" s="2"/>
    </row>
    <row r="77" spans="1:1" x14ac:dyDescent="0.35">
      <c r="A77" s="2"/>
    </row>
    <row r="78" spans="1:1" x14ac:dyDescent="0.35">
      <c r="A78" s="2"/>
    </row>
    <row r="79" spans="1:1" x14ac:dyDescent="0.35">
      <c r="A79" s="2"/>
    </row>
    <row r="80" spans="1:1" x14ac:dyDescent="0.35">
      <c r="A80" s="2"/>
    </row>
    <row r="81" spans="1:1" x14ac:dyDescent="0.35">
      <c r="A81" s="2"/>
    </row>
    <row r="82" spans="1:1" x14ac:dyDescent="0.35">
      <c r="A82" s="2"/>
    </row>
    <row r="83" spans="1:1" x14ac:dyDescent="0.35">
      <c r="A83" s="2"/>
    </row>
    <row r="84" spans="1:1" x14ac:dyDescent="0.35">
      <c r="A84" s="2"/>
    </row>
    <row r="85" spans="1:1" x14ac:dyDescent="0.35">
      <c r="A85" s="2"/>
    </row>
    <row r="86" spans="1:1" x14ac:dyDescent="0.35">
      <c r="A86" s="2"/>
    </row>
    <row r="87" spans="1:1" x14ac:dyDescent="0.35">
      <c r="A87" s="2"/>
    </row>
    <row r="88" spans="1:1" x14ac:dyDescent="0.35">
      <c r="A88" s="2"/>
    </row>
    <row r="89" spans="1:1" x14ac:dyDescent="0.35">
      <c r="A89" s="2"/>
    </row>
    <row r="90" spans="1:1" x14ac:dyDescent="0.35">
      <c r="A90" s="2"/>
    </row>
    <row r="91" spans="1:1" x14ac:dyDescent="0.35">
      <c r="A91" s="2"/>
    </row>
    <row r="92" spans="1:1" x14ac:dyDescent="0.35">
      <c r="A92" s="2"/>
    </row>
    <row r="93" spans="1:1" x14ac:dyDescent="0.35">
      <c r="A93" s="2"/>
    </row>
    <row r="94" spans="1:1" x14ac:dyDescent="0.35">
      <c r="A94" s="2"/>
    </row>
    <row r="95" spans="1:1" x14ac:dyDescent="0.35">
      <c r="A95" s="2"/>
    </row>
    <row r="96" spans="1:1" x14ac:dyDescent="0.35">
      <c r="A96" s="2"/>
    </row>
    <row r="97" spans="1:1" x14ac:dyDescent="0.35">
      <c r="A97" s="2"/>
    </row>
    <row r="98" spans="1:1" x14ac:dyDescent="0.35">
      <c r="A98" s="2"/>
    </row>
    <row r="99" spans="1:1" x14ac:dyDescent="0.35">
      <c r="A99" s="2"/>
    </row>
    <row r="100" spans="1:1" x14ac:dyDescent="0.35">
      <c r="A100" s="2"/>
    </row>
    <row r="101" spans="1:1" x14ac:dyDescent="0.35">
      <c r="A101" s="2"/>
    </row>
    <row r="102" spans="1:1" x14ac:dyDescent="0.35">
      <c r="A102" s="2"/>
    </row>
    <row r="103" spans="1:1" x14ac:dyDescent="0.35">
      <c r="A103" s="2"/>
    </row>
    <row r="104" spans="1:1" x14ac:dyDescent="0.35">
      <c r="A104" s="2"/>
    </row>
    <row r="105" spans="1:1" x14ac:dyDescent="0.35">
      <c r="A105" s="2"/>
    </row>
    <row r="106" spans="1:1" x14ac:dyDescent="0.35">
      <c r="A106" s="2"/>
    </row>
    <row r="107" spans="1:1" x14ac:dyDescent="0.35">
      <c r="A107" s="2"/>
    </row>
    <row r="108" spans="1:1" x14ac:dyDescent="0.35">
      <c r="A108" s="2"/>
    </row>
    <row r="109" spans="1:1" x14ac:dyDescent="0.35">
      <c r="A109" s="2"/>
    </row>
    <row r="110" spans="1:1" x14ac:dyDescent="0.35">
      <c r="A110" s="2"/>
    </row>
    <row r="111" spans="1:1" x14ac:dyDescent="0.35">
      <c r="A111" s="2"/>
    </row>
    <row r="112" spans="1:1" x14ac:dyDescent="0.35">
      <c r="A112" s="2"/>
    </row>
    <row r="113" spans="1:1" x14ac:dyDescent="0.35">
      <c r="A113" s="2"/>
    </row>
    <row r="114" spans="1:1" x14ac:dyDescent="0.35">
      <c r="A114" s="2"/>
    </row>
    <row r="115" spans="1:1" x14ac:dyDescent="0.35">
      <c r="A115" s="2"/>
    </row>
    <row r="116" spans="1:1" x14ac:dyDescent="0.35">
      <c r="A116" s="2"/>
    </row>
    <row r="117" spans="1:1" x14ac:dyDescent="0.35">
      <c r="A117" s="2"/>
    </row>
    <row r="118" spans="1:1" x14ac:dyDescent="0.35">
      <c r="A118" s="2"/>
    </row>
    <row r="119" spans="1:1" x14ac:dyDescent="0.35">
      <c r="A119" s="2"/>
    </row>
    <row r="120" spans="1:1" x14ac:dyDescent="0.35">
      <c r="A120" s="2"/>
    </row>
    <row r="121" spans="1:1" x14ac:dyDescent="0.35">
      <c r="A121" s="2"/>
    </row>
    <row r="122" spans="1:1" x14ac:dyDescent="0.35">
      <c r="A122" s="2"/>
    </row>
    <row r="123" spans="1:1" x14ac:dyDescent="0.35">
      <c r="A123" s="2"/>
    </row>
    <row r="124" spans="1:1" x14ac:dyDescent="0.35">
      <c r="A124" s="2"/>
    </row>
    <row r="125" spans="1:1" x14ac:dyDescent="0.35">
      <c r="A125" s="2"/>
    </row>
    <row r="126" spans="1:1" x14ac:dyDescent="0.35">
      <c r="A126" s="2"/>
    </row>
    <row r="127" spans="1:1" x14ac:dyDescent="0.35">
      <c r="A127" s="2"/>
    </row>
    <row r="128" spans="1:1" x14ac:dyDescent="0.35">
      <c r="A128" s="2"/>
    </row>
    <row r="129" spans="1:1" x14ac:dyDescent="0.35">
      <c r="A129" s="2"/>
    </row>
    <row r="130" spans="1:1" x14ac:dyDescent="0.35">
      <c r="A130" s="2"/>
    </row>
    <row r="131" spans="1:1" x14ac:dyDescent="0.35">
      <c r="A131" s="2"/>
    </row>
    <row r="132" spans="1:1" x14ac:dyDescent="0.35">
      <c r="A132" s="2"/>
    </row>
    <row r="133" spans="1:1" x14ac:dyDescent="0.35">
      <c r="A133" s="2"/>
    </row>
    <row r="134" spans="1:1" x14ac:dyDescent="0.35">
      <c r="A134" s="2"/>
    </row>
    <row r="135" spans="1:1" x14ac:dyDescent="0.35">
      <c r="A135" s="2"/>
    </row>
    <row r="136" spans="1:1" x14ac:dyDescent="0.35">
      <c r="A136" s="2"/>
    </row>
    <row r="137" spans="1:1" x14ac:dyDescent="0.35">
      <c r="A137" s="2"/>
    </row>
    <row r="138" spans="1:1" x14ac:dyDescent="0.35">
      <c r="A138" s="2"/>
    </row>
    <row r="139" spans="1:1" x14ac:dyDescent="0.35">
      <c r="A139" s="2"/>
    </row>
    <row r="140" spans="1:1" x14ac:dyDescent="0.35">
      <c r="A140" s="2"/>
    </row>
    <row r="141" spans="1:1" x14ac:dyDescent="0.35">
      <c r="A141" s="2"/>
    </row>
    <row r="142" spans="1:1" x14ac:dyDescent="0.35">
      <c r="A142" s="2"/>
    </row>
    <row r="143" spans="1:1" x14ac:dyDescent="0.35">
      <c r="A143" s="2"/>
    </row>
    <row r="144" spans="1:1" x14ac:dyDescent="0.35">
      <c r="A144" s="2"/>
    </row>
    <row r="145" spans="1:1" x14ac:dyDescent="0.35">
      <c r="A145" s="2"/>
    </row>
    <row r="146" spans="1:1" x14ac:dyDescent="0.35">
      <c r="A146" s="2"/>
    </row>
    <row r="147" spans="1:1" x14ac:dyDescent="0.35">
      <c r="A147" s="2"/>
    </row>
    <row r="148" spans="1:1" x14ac:dyDescent="0.35">
      <c r="A148" s="2"/>
    </row>
    <row r="149" spans="1:1" x14ac:dyDescent="0.35">
      <c r="A149" s="2"/>
    </row>
    <row r="150" spans="1:1" x14ac:dyDescent="0.35">
      <c r="A150" s="2"/>
    </row>
    <row r="151" spans="1:1" x14ac:dyDescent="0.35">
      <c r="A151" s="2"/>
    </row>
    <row r="152" spans="1:1" x14ac:dyDescent="0.35">
      <c r="A152" s="2"/>
    </row>
    <row r="153" spans="1:1" x14ac:dyDescent="0.35">
      <c r="A153" s="2"/>
    </row>
    <row r="154" spans="1:1" x14ac:dyDescent="0.35">
      <c r="A154" s="2"/>
    </row>
    <row r="155" spans="1:1" x14ac:dyDescent="0.35">
      <c r="A155" s="2"/>
    </row>
    <row r="156" spans="1:1" x14ac:dyDescent="0.35">
      <c r="A156" s="2"/>
    </row>
    <row r="157" spans="1:1" x14ac:dyDescent="0.35">
      <c r="A157" s="2"/>
    </row>
    <row r="158" spans="1:1" x14ac:dyDescent="0.35">
      <c r="A158" s="2"/>
    </row>
    <row r="159" spans="1:1" x14ac:dyDescent="0.35">
      <c r="A159" s="2"/>
    </row>
    <row r="160" spans="1:1" x14ac:dyDescent="0.35">
      <c r="A160" s="2"/>
    </row>
    <row r="161" spans="1:1" x14ac:dyDescent="0.35">
      <c r="A161" s="2"/>
    </row>
    <row r="162" spans="1:1" x14ac:dyDescent="0.35">
      <c r="A162" s="2"/>
    </row>
    <row r="163" spans="1:1" x14ac:dyDescent="0.35">
      <c r="A163" s="2"/>
    </row>
    <row r="164" spans="1:1" x14ac:dyDescent="0.35">
      <c r="A164" s="2"/>
    </row>
    <row r="165" spans="1:1" x14ac:dyDescent="0.35">
      <c r="A165" s="2"/>
    </row>
    <row r="166" spans="1:1" x14ac:dyDescent="0.35">
      <c r="A166" s="2"/>
    </row>
    <row r="167" spans="1:1" x14ac:dyDescent="0.35">
      <c r="A167" s="2"/>
    </row>
    <row r="168" spans="1:1" x14ac:dyDescent="0.35">
      <c r="A168" s="2"/>
    </row>
    <row r="169" spans="1:1" x14ac:dyDescent="0.35">
      <c r="A169" s="2"/>
    </row>
    <row r="170" spans="1:1" x14ac:dyDescent="0.35">
      <c r="A170" s="2"/>
    </row>
    <row r="171" spans="1:1" x14ac:dyDescent="0.35">
      <c r="A171" s="2"/>
    </row>
    <row r="172" spans="1:1" x14ac:dyDescent="0.35">
      <c r="A172" s="2"/>
    </row>
    <row r="173" spans="1:1" x14ac:dyDescent="0.35">
      <c r="A173" s="2"/>
    </row>
    <row r="174" spans="1:1" x14ac:dyDescent="0.35">
      <c r="A174" s="2"/>
    </row>
    <row r="175" spans="1:1" x14ac:dyDescent="0.35">
      <c r="A175" s="2"/>
    </row>
    <row r="176" spans="1:1" x14ac:dyDescent="0.35">
      <c r="A176" s="2"/>
    </row>
    <row r="177" spans="1:1" x14ac:dyDescent="0.35">
      <c r="A177" s="2"/>
    </row>
    <row r="178" spans="1:1" x14ac:dyDescent="0.35">
      <c r="A178" s="2"/>
    </row>
    <row r="179" spans="1:1" x14ac:dyDescent="0.35">
      <c r="A179" s="2"/>
    </row>
    <row r="180" spans="1:1" x14ac:dyDescent="0.35">
      <c r="A180" s="2"/>
    </row>
    <row r="181" spans="1:1" x14ac:dyDescent="0.35">
      <c r="A181" s="2"/>
    </row>
    <row r="182" spans="1:1" x14ac:dyDescent="0.35">
      <c r="A182" s="2"/>
    </row>
    <row r="183" spans="1:1" x14ac:dyDescent="0.35">
      <c r="A183" s="2"/>
    </row>
    <row r="184" spans="1:1" x14ac:dyDescent="0.35">
      <c r="A184" s="2"/>
    </row>
    <row r="185" spans="1:1" x14ac:dyDescent="0.35">
      <c r="A185" s="2"/>
    </row>
    <row r="186" spans="1:1" x14ac:dyDescent="0.35">
      <c r="A186" s="2"/>
    </row>
    <row r="187" spans="1:1" x14ac:dyDescent="0.35">
      <c r="A187" s="2"/>
    </row>
    <row r="188" spans="1:1" x14ac:dyDescent="0.35">
      <c r="A188" s="2"/>
    </row>
    <row r="189" spans="1:1" x14ac:dyDescent="0.35">
      <c r="A189" s="2"/>
    </row>
    <row r="190" spans="1:1" x14ac:dyDescent="0.35">
      <c r="A190" s="2"/>
    </row>
    <row r="191" spans="1:1" x14ac:dyDescent="0.35">
      <c r="A191" s="2"/>
    </row>
    <row r="192" spans="1:1" x14ac:dyDescent="0.35">
      <c r="A192" s="2"/>
    </row>
    <row r="193" spans="1:1" x14ac:dyDescent="0.35">
      <c r="A193" s="2"/>
    </row>
    <row r="194" spans="1:1" x14ac:dyDescent="0.35">
      <c r="A194" s="2"/>
    </row>
    <row r="195" spans="1:1" x14ac:dyDescent="0.35">
      <c r="A195" s="2"/>
    </row>
    <row r="196" spans="1:1" x14ac:dyDescent="0.35">
      <c r="A196" s="2"/>
    </row>
    <row r="197" spans="1:1" x14ac:dyDescent="0.35">
      <c r="A197" s="2"/>
    </row>
    <row r="198" spans="1:1" x14ac:dyDescent="0.35">
      <c r="A198" s="2"/>
    </row>
    <row r="199" spans="1:1" x14ac:dyDescent="0.35">
      <c r="A199" s="2"/>
    </row>
    <row r="200" spans="1:1" x14ac:dyDescent="0.35">
      <c r="A200" s="2"/>
    </row>
    <row r="201" spans="1:1" x14ac:dyDescent="0.35">
      <c r="A201" s="2"/>
    </row>
    <row r="202" spans="1:1" x14ac:dyDescent="0.35">
      <c r="A202" s="2"/>
    </row>
    <row r="203" spans="1:1" x14ac:dyDescent="0.35">
      <c r="A203" s="2"/>
    </row>
    <row r="204" spans="1:1" x14ac:dyDescent="0.35">
      <c r="A204" s="2"/>
    </row>
    <row r="205" spans="1:1" x14ac:dyDescent="0.35">
      <c r="A205" s="2"/>
    </row>
    <row r="206" spans="1:1" x14ac:dyDescent="0.35">
      <c r="A206" s="2"/>
    </row>
    <row r="207" spans="1:1" x14ac:dyDescent="0.35">
      <c r="A207" s="2"/>
    </row>
    <row r="208" spans="1:1" x14ac:dyDescent="0.35">
      <c r="A208" s="2"/>
    </row>
    <row r="209" spans="1:1" x14ac:dyDescent="0.35">
      <c r="A209" s="2"/>
    </row>
    <row r="210" spans="1:1" x14ac:dyDescent="0.35">
      <c r="A210" s="2"/>
    </row>
    <row r="211" spans="1:1" x14ac:dyDescent="0.35">
      <c r="A211" s="2"/>
    </row>
    <row r="212" spans="1:1" x14ac:dyDescent="0.35">
      <c r="A212" s="2"/>
    </row>
    <row r="213" spans="1:1" x14ac:dyDescent="0.35">
      <c r="A213" s="2"/>
    </row>
    <row r="214" spans="1:1" x14ac:dyDescent="0.35">
      <c r="A214" s="2"/>
    </row>
    <row r="215" spans="1:1" x14ac:dyDescent="0.35">
      <c r="A215" s="2"/>
    </row>
    <row r="216" spans="1:1" x14ac:dyDescent="0.35">
      <c r="A216" s="2"/>
    </row>
    <row r="217" spans="1:1" x14ac:dyDescent="0.35">
      <c r="A217" s="2"/>
    </row>
    <row r="218" spans="1:1" x14ac:dyDescent="0.35">
      <c r="A218" s="2"/>
    </row>
    <row r="219" spans="1:1" x14ac:dyDescent="0.35">
      <c r="A219" s="2"/>
    </row>
    <row r="220" spans="1:1" x14ac:dyDescent="0.35">
      <c r="A220" s="2"/>
    </row>
    <row r="221" spans="1:1" x14ac:dyDescent="0.35">
      <c r="A221" s="2"/>
    </row>
    <row r="222" spans="1:1" x14ac:dyDescent="0.35">
      <c r="A222" s="2"/>
    </row>
    <row r="223" spans="1:1" x14ac:dyDescent="0.35">
      <c r="A223" s="2"/>
    </row>
    <row r="224" spans="1:1" x14ac:dyDescent="0.35">
      <c r="A224" s="2"/>
    </row>
    <row r="225" spans="1:1" x14ac:dyDescent="0.35">
      <c r="A225" s="2"/>
    </row>
    <row r="226" spans="1:1" x14ac:dyDescent="0.35">
      <c r="A226" s="2"/>
    </row>
    <row r="227" spans="1:1" x14ac:dyDescent="0.35">
      <c r="A227" s="2"/>
    </row>
    <row r="228" spans="1:1" x14ac:dyDescent="0.35">
      <c r="A228" s="2"/>
    </row>
    <row r="229" spans="1:1" x14ac:dyDescent="0.35">
      <c r="A229" s="2"/>
    </row>
    <row r="230" spans="1:1" x14ac:dyDescent="0.35">
      <c r="A230" s="2"/>
    </row>
    <row r="231" spans="1:1" x14ac:dyDescent="0.35">
      <c r="A231" s="2"/>
    </row>
    <row r="232" spans="1:1" x14ac:dyDescent="0.35">
      <c r="A232" s="2"/>
    </row>
    <row r="233" spans="1:1" x14ac:dyDescent="0.35">
      <c r="A233" s="2"/>
    </row>
    <row r="234" spans="1:1" x14ac:dyDescent="0.35">
      <c r="A234" s="2"/>
    </row>
    <row r="235" spans="1:1" x14ac:dyDescent="0.35">
      <c r="A235" s="2"/>
    </row>
    <row r="236" spans="1:1" x14ac:dyDescent="0.35">
      <c r="A236" s="2"/>
    </row>
    <row r="237" spans="1:1" x14ac:dyDescent="0.35">
      <c r="A237" s="2"/>
    </row>
    <row r="238" spans="1:1" x14ac:dyDescent="0.35">
      <c r="A238" s="2"/>
    </row>
    <row r="239" spans="1:1" x14ac:dyDescent="0.35">
      <c r="A239" s="2"/>
    </row>
    <row r="240" spans="1:1" x14ac:dyDescent="0.35">
      <c r="A240" s="2"/>
    </row>
    <row r="241" spans="1:1" x14ac:dyDescent="0.35">
      <c r="A241" s="2"/>
    </row>
    <row r="242" spans="1:1" x14ac:dyDescent="0.35">
      <c r="A242" s="2"/>
    </row>
    <row r="243" spans="1:1" x14ac:dyDescent="0.35">
      <c r="A243" s="2"/>
    </row>
    <row r="244" spans="1:1" x14ac:dyDescent="0.35">
      <c r="A244" s="2"/>
    </row>
    <row r="245" spans="1:1" x14ac:dyDescent="0.35">
      <c r="A245" s="2"/>
    </row>
    <row r="246" spans="1:1" x14ac:dyDescent="0.35">
      <c r="A246" s="2"/>
    </row>
    <row r="247" spans="1:1" x14ac:dyDescent="0.35">
      <c r="A247" s="2"/>
    </row>
    <row r="248" spans="1:1" x14ac:dyDescent="0.35">
      <c r="A248" s="2"/>
    </row>
    <row r="249" spans="1:1" x14ac:dyDescent="0.35">
      <c r="A249" s="2"/>
    </row>
    <row r="250" spans="1:1" x14ac:dyDescent="0.35">
      <c r="A250" s="2"/>
    </row>
    <row r="251" spans="1:1" x14ac:dyDescent="0.35">
      <c r="A251" s="2"/>
    </row>
    <row r="252" spans="1:1" x14ac:dyDescent="0.35">
      <c r="A252" s="2"/>
    </row>
    <row r="253" spans="1:1" x14ac:dyDescent="0.35">
      <c r="A253" s="2"/>
    </row>
    <row r="254" spans="1:1" x14ac:dyDescent="0.35">
      <c r="A254" s="2"/>
    </row>
    <row r="255" spans="1:1" x14ac:dyDescent="0.35">
      <c r="A255" s="2"/>
    </row>
    <row r="256" spans="1:1" x14ac:dyDescent="0.35">
      <c r="A256" s="2"/>
    </row>
    <row r="257" spans="1:1" x14ac:dyDescent="0.35">
      <c r="A257" s="2"/>
    </row>
    <row r="258" spans="1:1" x14ac:dyDescent="0.35">
      <c r="A258" s="2"/>
    </row>
    <row r="259" spans="1:1" x14ac:dyDescent="0.35">
      <c r="A259" s="2"/>
    </row>
    <row r="260" spans="1:1" x14ac:dyDescent="0.35">
      <c r="A260" s="2"/>
    </row>
    <row r="261" spans="1:1" x14ac:dyDescent="0.35">
      <c r="A261" s="2"/>
    </row>
    <row r="262" spans="1:1" x14ac:dyDescent="0.35">
      <c r="A262" s="2"/>
    </row>
    <row r="263" spans="1:1" x14ac:dyDescent="0.35">
      <c r="A263" s="2"/>
    </row>
    <row r="264" spans="1:1" x14ac:dyDescent="0.35">
      <c r="A264" s="2"/>
    </row>
    <row r="265" spans="1:1" x14ac:dyDescent="0.35">
      <c r="A265" s="2"/>
    </row>
    <row r="266" spans="1:1" x14ac:dyDescent="0.35">
      <c r="A266" s="2"/>
    </row>
    <row r="267" spans="1:1" x14ac:dyDescent="0.35">
      <c r="A267" s="2"/>
    </row>
    <row r="268" spans="1:1" x14ac:dyDescent="0.35">
      <c r="A268" s="2"/>
    </row>
    <row r="269" spans="1:1" x14ac:dyDescent="0.35">
      <c r="A269" s="2"/>
    </row>
    <row r="270" spans="1:1" x14ac:dyDescent="0.35">
      <c r="A270" s="2"/>
    </row>
    <row r="271" spans="1:1" x14ac:dyDescent="0.35">
      <c r="A271" s="2"/>
    </row>
    <row r="272" spans="1:1" x14ac:dyDescent="0.35">
      <c r="A272" s="2"/>
    </row>
    <row r="273" spans="1:1" x14ac:dyDescent="0.35">
      <c r="A273" s="2"/>
    </row>
    <row r="274" spans="1:1" x14ac:dyDescent="0.35">
      <c r="A274" s="2"/>
    </row>
    <row r="275" spans="1:1" x14ac:dyDescent="0.35">
      <c r="A275" s="2"/>
    </row>
    <row r="276" spans="1:1" x14ac:dyDescent="0.35">
      <c r="A276" s="2"/>
    </row>
    <row r="277" spans="1:1" x14ac:dyDescent="0.35">
      <c r="A277" s="2"/>
    </row>
    <row r="278" spans="1:1" x14ac:dyDescent="0.35">
      <c r="A278" s="2"/>
    </row>
    <row r="279" spans="1:1" x14ac:dyDescent="0.35">
      <c r="A279" s="2"/>
    </row>
    <row r="280" spans="1:1" x14ac:dyDescent="0.35">
      <c r="A280" s="2"/>
    </row>
    <row r="281" spans="1:1" x14ac:dyDescent="0.35">
      <c r="A281" s="2"/>
    </row>
    <row r="282" spans="1:1" x14ac:dyDescent="0.35">
      <c r="A282" s="2"/>
    </row>
    <row r="283" spans="1:1" x14ac:dyDescent="0.35">
      <c r="A283" s="2"/>
    </row>
    <row r="284" spans="1:1" x14ac:dyDescent="0.35">
      <c r="A284" s="2"/>
    </row>
    <row r="285" spans="1:1" x14ac:dyDescent="0.35">
      <c r="A285" s="2"/>
    </row>
    <row r="286" spans="1:1" x14ac:dyDescent="0.35">
      <c r="A286" s="2"/>
    </row>
    <row r="287" spans="1:1" x14ac:dyDescent="0.35">
      <c r="A287" s="2"/>
    </row>
    <row r="288" spans="1:1" x14ac:dyDescent="0.35">
      <c r="A288" s="2"/>
    </row>
    <row r="289" spans="1:1" x14ac:dyDescent="0.35">
      <c r="A289" s="2"/>
    </row>
    <row r="290" spans="1:1" x14ac:dyDescent="0.35">
      <c r="A290" s="2"/>
    </row>
    <row r="291" spans="1:1" x14ac:dyDescent="0.35">
      <c r="A291" s="2"/>
    </row>
    <row r="292" spans="1:1" x14ac:dyDescent="0.35">
      <c r="A292" s="2"/>
    </row>
    <row r="293" spans="1:1" x14ac:dyDescent="0.35">
      <c r="A293" s="2"/>
    </row>
    <row r="294" spans="1:1" x14ac:dyDescent="0.35">
      <c r="A294" s="2"/>
    </row>
    <row r="295" spans="1:1" x14ac:dyDescent="0.35">
      <c r="A295" s="2"/>
    </row>
    <row r="296" spans="1:1" x14ac:dyDescent="0.35">
      <c r="A296" s="2"/>
    </row>
    <row r="297" spans="1:1" x14ac:dyDescent="0.35">
      <c r="A297" s="2"/>
    </row>
    <row r="298" spans="1:1" x14ac:dyDescent="0.35">
      <c r="A298" s="2"/>
    </row>
    <row r="299" spans="1:1" x14ac:dyDescent="0.35">
      <c r="A299" s="2"/>
    </row>
    <row r="300" spans="1:1" x14ac:dyDescent="0.35">
      <c r="A300" s="2"/>
    </row>
    <row r="301" spans="1:1" x14ac:dyDescent="0.35">
      <c r="A301" s="2"/>
    </row>
    <row r="302" spans="1:1" x14ac:dyDescent="0.35">
      <c r="A302" s="2"/>
    </row>
    <row r="303" spans="1:1" x14ac:dyDescent="0.35">
      <c r="A303" s="2"/>
    </row>
    <row r="304" spans="1:1" x14ac:dyDescent="0.35">
      <c r="A304" s="2"/>
    </row>
    <row r="305" spans="1:1" x14ac:dyDescent="0.35">
      <c r="A305" s="2"/>
    </row>
    <row r="306" spans="1:1" x14ac:dyDescent="0.35">
      <c r="A306" s="2"/>
    </row>
    <row r="307" spans="1:1" x14ac:dyDescent="0.35">
      <c r="A307" s="2"/>
    </row>
    <row r="308" spans="1:1" x14ac:dyDescent="0.35">
      <c r="A308" s="2"/>
    </row>
    <row r="309" spans="1:1" x14ac:dyDescent="0.35">
      <c r="A309" s="2"/>
    </row>
    <row r="310" spans="1:1" x14ac:dyDescent="0.35">
      <c r="A310" s="2"/>
    </row>
    <row r="311" spans="1:1" x14ac:dyDescent="0.35">
      <c r="A311" s="2"/>
    </row>
    <row r="312" spans="1:1" x14ac:dyDescent="0.35">
      <c r="A312" s="2"/>
    </row>
    <row r="313" spans="1:1" x14ac:dyDescent="0.35">
      <c r="A313" s="2"/>
    </row>
    <row r="314" spans="1:1" x14ac:dyDescent="0.35">
      <c r="A314" s="2"/>
    </row>
    <row r="315" spans="1:1" x14ac:dyDescent="0.35">
      <c r="A315" s="2"/>
    </row>
    <row r="316" spans="1:1" x14ac:dyDescent="0.35">
      <c r="A316" s="2"/>
    </row>
    <row r="317" spans="1:1" x14ac:dyDescent="0.35">
      <c r="A317" s="2"/>
    </row>
    <row r="318" spans="1:1" x14ac:dyDescent="0.35">
      <c r="A318" s="2"/>
    </row>
    <row r="319" spans="1:1" x14ac:dyDescent="0.35">
      <c r="A319" s="2"/>
    </row>
    <row r="320" spans="1:1" x14ac:dyDescent="0.35">
      <c r="A320" s="2"/>
    </row>
    <row r="321" spans="1:1" x14ac:dyDescent="0.35">
      <c r="A321" s="2"/>
    </row>
    <row r="322" spans="1:1" x14ac:dyDescent="0.35">
      <c r="A322" s="2"/>
    </row>
    <row r="323" spans="1:1" x14ac:dyDescent="0.35">
      <c r="A323" s="2"/>
    </row>
    <row r="324" spans="1:1" x14ac:dyDescent="0.35">
      <c r="A324" s="2"/>
    </row>
    <row r="325" spans="1:1" x14ac:dyDescent="0.35">
      <c r="A325" s="2"/>
    </row>
    <row r="326" spans="1:1" x14ac:dyDescent="0.35">
      <c r="A326" s="2"/>
    </row>
    <row r="327" spans="1:1" x14ac:dyDescent="0.35">
      <c r="A327" s="2"/>
    </row>
    <row r="328" spans="1:1" x14ac:dyDescent="0.35">
      <c r="A328" s="2"/>
    </row>
    <row r="329" spans="1:1" x14ac:dyDescent="0.35">
      <c r="A329" s="2"/>
    </row>
    <row r="330" spans="1:1" x14ac:dyDescent="0.35">
      <c r="A330" s="2"/>
    </row>
    <row r="331" spans="1:1" x14ac:dyDescent="0.35">
      <c r="A331" s="2"/>
    </row>
    <row r="332" spans="1:1" x14ac:dyDescent="0.35">
      <c r="A332" s="2"/>
    </row>
    <row r="333" spans="1:1" x14ac:dyDescent="0.35">
      <c r="A333" s="2"/>
    </row>
    <row r="334" spans="1:1" x14ac:dyDescent="0.35">
      <c r="A334" s="2"/>
    </row>
    <row r="335" spans="1:1" x14ac:dyDescent="0.35">
      <c r="A335" s="2"/>
    </row>
    <row r="336" spans="1:1" x14ac:dyDescent="0.35">
      <c r="A336" s="2"/>
    </row>
    <row r="337" spans="1:1" x14ac:dyDescent="0.35">
      <c r="A337" s="2"/>
    </row>
    <row r="338" spans="1:1" x14ac:dyDescent="0.35">
      <c r="A338" s="2"/>
    </row>
    <row r="339" spans="1:1" x14ac:dyDescent="0.35">
      <c r="A339" s="2"/>
    </row>
    <row r="340" spans="1:1" x14ac:dyDescent="0.35">
      <c r="A340" s="2"/>
    </row>
    <row r="341" spans="1:1" x14ac:dyDescent="0.35">
      <c r="A341" s="2"/>
    </row>
    <row r="342" spans="1:1" x14ac:dyDescent="0.35">
      <c r="A342" s="2"/>
    </row>
    <row r="343" spans="1:1" x14ac:dyDescent="0.35">
      <c r="A343" s="2"/>
    </row>
    <row r="344" spans="1:1" x14ac:dyDescent="0.35">
      <c r="A344" s="2"/>
    </row>
    <row r="345" spans="1:1" x14ac:dyDescent="0.35">
      <c r="A345" s="2"/>
    </row>
    <row r="346" spans="1:1" x14ac:dyDescent="0.35">
      <c r="A346" s="2"/>
    </row>
    <row r="347" spans="1:1" x14ac:dyDescent="0.35">
      <c r="A347" s="2"/>
    </row>
    <row r="348" spans="1:1" x14ac:dyDescent="0.35">
      <c r="A348" s="2"/>
    </row>
    <row r="349" spans="1:1" x14ac:dyDescent="0.35">
      <c r="A349" s="2"/>
    </row>
    <row r="350" spans="1:1" x14ac:dyDescent="0.35">
      <c r="A350" s="2"/>
    </row>
    <row r="351" spans="1:1" x14ac:dyDescent="0.35">
      <c r="A351" s="2"/>
    </row>
    <row r="352" spans="1:1" x14ac:dyDescent="0.35">
      <c r="A352" s="2"/>
    </row>
    <row r="353" spans="1:1" x14ac:dyDescent="0.35">
      <c r="A353" s="2"/>
    </row>
    <row r="354" spans="1:1" x14ac:dyDescent="0.35">
      <c r="A354" s="2"/>
    </row>
    <row r="355" spans="1:1" x14ac:dyDescent="0.35">
      <c r="A355" s="2"/>
    </row>
    <row r="356" spans="1:1" x14ac:dyDescent="0.35">
      <c r="A356" s="2"/>
    </row>
    <row r="357" spans="1:1" x14ac:dyDescent="0.35">
      <c r="A357" s="2"/>
    </row>
    <row r="358" spans="1:1" x14ac:dyDescent="0.35">
      <c r="A358" s="2"/>
    </row>
    <row r="359" spans="1:1" x14ac:dyDescent="0.35">
      <c r="A359" s="2"/>
    </row>
    <row r="360" spans="1:1" x14ac:dyDescent="0.35">
      <c r="A360" s="2"/>
    </row>
    <row r="361" spans="1:1" x14ac:dyDescent="0.35">
      <c r="A361" s="2"/>
    </row>
    <row r="362" spans="1:1" x14ac:dyDescent="0.35">
      <c r="A362" s="2"/>
    </row>
    <row r="363" spans="1:1" x14ac:dyDescent="0.35">
      <c r="A363" s="2"/>
    </row>
    <row r="364" spans="1:1" x14ac:dyDescent="0.35">
      <c r="A364" s="2"/>
    </row>
    <row r="365" spans="1:1" x14ac:dyDescent="0.35">
      <c r="A365" s="2"/>
    </row>
    <row r="366" spans="1:1" x14ac:dyDescent="0.35">
      <c r="A366" s="2"/>
    </row>
    <row r="367" spans="1:1" x14ac:dyDescent="0.35">
      <c r="A367" s="2"/>
    </row>
    <row r="368" spans="1:1" x14ac:dyDescent="0.35">
      <c r="A368" s="2"/>
    </row>
    <row r="369" spans="1:1" x14ac:dyDescent="0.35">
      <c r="A369" s="2"/>
    </row>
    <row r="370" spans="1:1" x14ac:dyDescent="0.35">
      <c r="A370" s="2"/>
    </row>
    <row r="371" spans="1:1" x14ac:dyDescent="0.35">
      <c r="A371" s="2"/>
    </row>
    <row r="372" spans="1:1" x14ac:dyDescent="0.35">
      <c r="A372" s="2"/>
    </row>
    <row r="373" spans="1:1" x14ac:dyDescent="0.35">
      <c r="A373" s="2"/>
    </row>
    <row r="374" spans="1:1" x14ac:dyDescent="0.35">
      <c r="A374" s="2"/>
    </row>
    <row r="375" spans="1:1" x14ac:dyDescent="0.35">
      <c r="A375" s="2"/>
    </row>
    <row r="376" spans="1:1" x14ac:dyDescent="0.35">
      <c r="A376" s="2"/>
    </row>
    <row r="377" spans="1:1" x14ac:dyDescent="0.35">
      <c r="A377" s="2"/>
    </row>
    <row r="378" spans="1:1" x14ac:dyDescent="0.35">
      <c r="A378" s="2"/>
    </row>
    <row r="379" spans="1:1" x14ac:dyDescent="0.35">
      <c r="A379" s="2"/>
    </row>
    <row r="380" spans="1:1" x14ac:dyDescent="0.35">
      <c r="A380" s="2"/>
    </row>
    <row r="381" spans="1:1" x14ac:dyDescent="0.35">
      <c r="A381" s="2"/>
    </row>
    <row r="382" spans="1:1" x14ac:dyDescent="0.35">
      <c r="A382" s="2"/>
    </row>
    <row r="383" spans="1:1" x14ac:dyDescent="0.35">
      <c r="A383" s="2"/>
    </row>
    <row r="384" spans="1:1" x14ac:dyDescent="0.35">
      <c r="A384" s="2"/>
    </row>
    <row r="385" spans="1:1" x14ac:dyDescent="0.35">
      <c r="A385" s="2"/>
    </row>
    <row r="386" spans="1:1" x14ac:dyDescent="0.35">
      <c r="A386" s="2"/>
    </row>
    <row r="387" spans="1:1" x14ac:dyDescent="0.35">
      <c r="A387" s="2"/>
    </row>
    <row r="388" spans="1:1" x14ac:dyDescent="0.35">
      <c r="A388" s="2"/>
    </row>
    <row r="389" spans="1:1" x14ac:dyDescent="0.35">
      <c r="A389" s="2"/>
    </row>
    <row r="390" spans="1:1" x14ac:dyDescent="0.35">
      <c r="A390" s="2"/>
    </row>
    <row r="391" spans="1:1" x14ac:dyDescent="0.35">
      <c r="A391" s="2"/>
    </row>
    <row r="392" spans="1:1" x14ac:dyDescent="0.35">
      <c r="A392" s="2"/>
    </row>
    <row r="393" spans="1:1" x14ac:dyDescent="0.35">
      <c r="A393" s="2"/>
    </row>
    <row r="394" spans="1:1" x14ac:dyDescent="0.35">
      <c r="A394" s="2"/>
    </row>
    <row r="395" spans="1:1" x14ac:dyDescent="0.35">
      <c r="A395" s="2"/>
    </row>
    <row r="396" spans="1:1" x14ac:dyDescent="0.35">
      <c r="A396" s="2"/>
    </row>
    <row r="397" spans="1:1" x14ac:dyDescent="0.35">
      <c r="A397" s="2"/>
    </row>
    <row r="398" spans="1:1" x14ac:dyDescent="0.35">
      <c r="A398" s="2"/>
    </row>
    <row r="399" spans="1:1" x14ac:dyDescent="0.35">
      <c r="A399" s="2"/>
    </row>
    <row r="400" spans="1:1" x14ac:dyDescent="0.35">
      <c r="A400" s="2"/>
    </row>
    <row r="401" spans="1:1" x14ac:dyDescent="0.35">
      <c r="A401" s="2"/>
    </row>
    <row r="402" spans="1:1" x14ac:dyDescent="0.35">
      <c r="A402" s="2"/>
    </row>
    <row r="403" spans="1:1" x14ac:dyDescent="0.35">
      <c r="A403" s="2"/>
    </row>
    <row r="404" spans="1:1" x14ac:dyDescent="0.35">
      <c r="A404" s="2"/>
    </row>
    <row r="405" spans="1:1" x14ac:dyDescent="0.35">
      <c r="A405" s="2"/>
    </row>
    <row r="406" spans="1:1" x14ac:dyDescent="0.35">
      <c r="A406" s="2"/>
    </row>
    <row r="407" spans="1:1" x14ac:dyDescent="0.35">
      <c r="A407" s="2"/>
    </row>
    <row r="408" spans="1:1" x14ac:dyDescent="0.35">
      <c r="A408" s="2"/>
    </row>
    <row r="409" spans="1:1" x14ac:dyDescent="0.35">
      <c r="A409" s="2"/>
    </row>
    <row r="410" spans="1:1" x14ac:dyDescent="0.35">
      <c r="A410" s="2"/>
    </row>
    <row r="411" spans="1:1" x14ac:dyDescent="0.35">
      <c r="A411" s="2"/>
    </row>
    <row r="412" spans="1:1" x14ac:dyDescent="0.35">
      <c r="A412" s="2"/>
    </row>
    <row r="413" spans="1:1" x14ac:dyDescent="0.35">
      <c r="A413" s="2"/>
    </row>
    <row r="414" spans="1:1" x14ac:dyDescent="0.35">
      <c r="A414" s="2"/>
    </row>
    <row r="415" spans="1:1" x14ac:dyDescent="0.35">
      <c r="A415" s="2"/>
    </row>
    <row r="416" spans="1:1" x14ac:dyDescent="0.35">
      <c r="A416" s="2"/>
    </row>
    <row r="417" spans="1:1" x14ac:dyDescent="0.35">
      <c r="A417" s="2"/>
    </row>
    <row r="418" spans="1:1" x14ac:dyDescent="0.35">
      <c r="A418" s="2"/>
    </row>
    <row r="419" spans="1:1" x14ac:dyDescent="0.35">
      <c r="A419" s="2"/>
    </row>
    <row r="420" spans="1:1" x14ac:dyDescent="0.35">
      <c r="A420" s="2"/>
    </row>
    <row r="421" spans="1:1" x14ac:dyDescent="0.35">
      <c r="A421" s="2"/>
    </row>
    <row r="422" spans="1:1" x14ac:dyDescent="0.35">
      <c r="A422" s="2"/>
    </row>
    <row r="423" spans="1:1" x14ac:dyDescent="0.35">
      <c r="A423" s="2"/>
    </row>
    <row r="424" spans="1:1" x14ac:dyDescent="0.35">
      <c r="A424" s="2"/>
    </row>
    <row r="425" spans="1:1" x14ac:dyDescent="0.35">
      <c r="A425" s="2"/>
    </row>
    <row r="426" spans="1:1" x14ac:dyDescent="0.35">
      <c r="A426" s="2"/>
    </row>
    <row r="427" spans="1:1" x14ac:dyDescent="0.35">
      <c r="A427" s="2"/>
    </row>
    <row r="428" spans="1:1" x14ac:dyDescent="0.35">
      <c r="A428" s="2"/>
    </row>
    <row r="429" spans="1:1" x14ac:dyDescent="0.35">
      <c r="A429" s="2"/>
    </row>
    <row r="430" spans="1:1" x14ac:dyDescent="0.35">
      <c r="A430" s="2"/>
    </row>
    <row r="431" spans="1:1" x14ac:dyDescent="0.35">
      <c r="A431" s="2"/>
    </row>
    <row r="432" spans="1:1" x14ac:dyDescent="0.35">
      <c r="A432" s="2"/>
    </row>
    <row r="433" spans="1:1" x14ac:dyDescent="0.35">
      <c r="A433" s="2"/>
    </row>
    <row r="434" spans="1:1" x14ac:dyDescent="0.35">
      <c r="A434" s="2"/>
    </row>
    <row r="435" spans="1:1" x14ac:dyDescent="0.35">
      <c r="A435" s="2"/>
    </row>
    <row r="436" spans="1:1" x14ac:dyDescent="0.35">
      <c r="A436" s="2"/>
    </row>
    <row r="437" spans="1:1" x14ac:dyDescent="0.35">
      <c r="A437" s="2"/>
    </row>
    <row r="438" spans="1:1" x14ac:dyDescent="0.35">
      <c r="A438" s="2"/>
    </row>
    <row r="439" spans="1:1" x14ac:dyDescent="0.35">
      <c r="A439" s="2"/>
    </row>
    <row r="440" spans="1:1" x14ac:dyDescent="0.35">
      <c r="A440" s="2"/>
    </row>
    <row r="441" spans="1:1" x14ac:dyDescent="0.35">
      <c r="A441" s="2"/>
    </row>
    <row r="442" spans="1:1" x14ac:dyDescent="0.35">
      <c r="A442" s="2"/>
    </row>
    <row r="443" spans="1:1" x14ac:dyDescent="0.35">
      <c r="A443" s="2"/>
    </row>
    <row r="444" spans="1:1" x14ac:dyDescent="0.35">
      <c r="A444" s="2"/>
    </row>
    <row r="445" spans="1:1" x14ac:dyDescent="0.35">
      <c r="A445" s="2"/>
    </row>
    <row r="446" spans="1:1" x14ac:dyDescent="0.35">
      <c r="A446" s="2"/>
    </row>
    <row r="447" spans="1:1" x14ac:dyDescent="0.35">
      <c r="A447" s="2"/>
    </row>
    <row r="448" spans="1:1" x14ac:dyDescent="0.35">
      <c r="A448" s="2"/>
    </row>
    <row r="449" spans="1:1" x14ac:dyDescent="0.35">
      <c r="A449" s="2"/>
    </row>
    <row r="450" spans="1:1" x14ac:dyDescent="0.35">
      <c r="A450" s="2"/>
    </row>
    <row r="451" spans="1:1" x14ac:dyDescent="0.35">
      <c r="A451" s="2"/>
    </row>
    <row r="452" spans="1:1" x14ac:dyDescent="0.35">
      <c r="A452" s="2"/>
    </row>
    <row r="453" spans="1:1" x14ac:dyDescent="0.35">
      <c r="A453" s="2"/>
    </row>
    <row r="454" spans="1:1" x14ac:dyDescent="0.35">
      <c r="A454" s="2"/>
    </row>
    <row r="455" spans="1:1" x14ac:dyDescent="0.35">
      <c r="A455" s="2"/>
    </row>
    <row r="456" spans="1:1" x14ac:dyDescent="0.35">
      <c r="A456" s="2"/>
    </row>
    <row r="457" spans="1:1" x14ac:dyDescent="0.35">
      <c r="A457" s="2"/>
    </row>
    <row r="458" spans="1:1" x14ac:dyDescent="0.35">
      <c r="A458" s="2"/>
    </row>
    <row r="459" spans="1:1" x14ac:dyDescent="0.35">
      <c r="A459" s="2"/>
    </row>
    <row r="460" spans="1:1" x14ac:dyDescent="0.35">
      <c r="A460" s="2"/>
    </row>
    <row r="461" spans="1:1" x14ac:dyDescent="0.35">
      <c r="A461" s="2"/>
    </row>
    <row r="462" spans="1:1" x14ac:dyDescent="0.35">
      <c r="A462" s="2"/>
    </row>
    <row r="463" spans="1:1" x14ac:dyDescent="0.35">
      <c r="A463" s="2"/>
    </row>
    <row r="464" spans="1:1" x14ac:dyDescent="0.35">
      <c r="A464" s="2"/>
    </row>
    <row r="465" spans="1:1" x14ac:dyDescent="0.35">
      <c r="A465" s="2"/>
    </row>
    <row r="466" spans="1:1" x14ac:dyDescent="0.35">
      <c r="A466" s="2"/>
    </row>
    <row r="467" spans="1:1" x14ac:dyDescent="0.35">
      <c r="A467" s="2"/>
    </row>
    <row r="468" spans="1:1" x14ac:dyDescent="0.35">
      <c r="A468" s="2"/>
    </row>
    <row r="469" spans="1:1" x14ac:dyDescent="0.35">
      <c r="A469" s="2"/>
    </row>
    <row r="470" spans="1:1" x14ac:dyDescent="0.35">
      <c r="A470" s="2"/>
    </row>
    <row r="471" spans="1:1" x14ac:dyDescent="0.35">
      <c r="A471" s="2"/>
    </row>
    <row r="472" spans="1:1" x14ac:dyDescent="0.35">
      <c r="A472" s="2"/>
    </row>
    <row r="473" spans="1:1" x14ac:dyDescent="0.35">
      <c r="A473" s="2"/>
    </row>
    <row r="474" spans="1:1" x14ac:dyDescent="0.35">
      <c r="A474" s="2"/>
    </row>
    <row r="475" spans="1:1" x14ac:dyDescent="0.35">
      <c r="A475" s="2"/>
    </row>
    <row r="476" spans="1:1" x14ac:dyDescent="0.35">
      <c r="A476" s="2"/>
    </row>
    <row r="477" spans="1:1" x14ac:dyDescent="0.35">
      <c r="A477" s="2"/>
    </row>
    <row r="478" spans="1:1" x14ac:dyDescent="0.35">
      <c r="A478" s="2"/>
    </row>
    <row r="479" spans="1:1" x14ac:dyDescent="0.35">
      <c r="A479" s="2"/>
    </row>
    <row r="480" spans="1:1" x14ac:dyDescent="0.35">
      <c r="A480" s="2"/>
    </row>
    <row r="481" spans="1:1" x14ac:dyDescent="0.35">
      <c r="A481" s="2"/>
    </row>
    <row r="482" spans="1:1" x14ac:dyDescent="0.35">
      <c r="A482" s="2"/>
    </row>
    <row r="483" spans="1:1" x14ac:dyDescent="0.35">
      <c r="A483" s="2"/>
    </row>
    <row r="484" spans="1:1" x14ac:dyDescent="0.35">
      <c r="A484" s="2"/>
    </row>
    <row r="485" spans="1:1" x14ac:dyDescent="0.35">
      <c r="A485" s="2"/>
    </row>
    <row r="486" spans="1:1" x14ac:dyDescent="0.35">
      <c r="A486" s="2"/>
    </row>
    <row r="487" spans="1:1" x14ac:dyDescent="0.35">
      <c r="A487" s="2"/>
    </row>
    <row r="488" spans="1:1" x14ac:dyDescent="0.35">
      <c r="A488" s="2"/>
    </row>
    <row r="489" spans="1:1" x14ac:dyDescent="0.35">
      <c r="A489" s="2"/>
    </row>
    <row r="490" spans="1:1" x14ac:dyDescent="0.35">
      <c r="A490" s="2"/>
    </row>
    <row r="491" spans="1:1" x14ac:dyDescent="0.35">
      <c r="A491" s="2"/>
    </row>
    <row r="492" spans="1:1" x14ac:dyDescent="0.35">
      <c r="A492" s="2"/>
    </row>
    <row r="493" spans="1:1" x14ac:dyDescent="0.35">
      <c r="A493" s="2"/>
    </row>
    <row r="494" spans="1:1" x14ac:dyDescent="0.35">
      <c r="A494" s="2"/>
    </row>
    <row r="495" spans="1:1" x14ac:dyDescent="0.35">
      <c r="A495" s="2"/>
    </row>
    <row r="496" spans="1:1" x14ac:dyDescent="0.35">
      <c r="A496" s="2"/>
    </row>
    <row r="497" spans="1:1" x14ac:dyDescent="0.35">
      <c r="A497" s="2"/>
    </row>
    <row r="498" spans="1:1" x14ac:dyDescent="0.35">
      <c r="A498" s="2"/>
    </row>
    <row r="499" spans="1:1" x14ac:dyDescent="0.35">
      <c r="A499" s="2"/>
    </row>
    <row r="500" spans="1:1" x14ac:dyDescent="0.35">
      <c r="A500" s="2"/>
    </row>
    <row r="501" spans="1:1" x14ac:dyDescent="0.35">
      <c r="A501" s="2"/>
    </row>
    <row r="502" spans="1:1" x14ac:dyDescent="0.35">
      <c r="A502" s="2"/>
    </row>
    <row r="503" spans="1:1" x14ac:dyDescent="0.35">
      <c r="A503" s="2"/>
    </row>
    <row r="504" spans="1:1" x14ac:dyDescent="0.35">
      <c r="A504" s="2"/>
    </row>
    <row r="505" spans="1:1" x14ac:dyDescent="0.35">
      <c r="A505" s="2"/>
    </row>
    <row r="506" spans="1:1" x14ac:dyDescent="0.35">
      <c r="A506" s="2"/>
    </row>
    <row r="507" spans="1:1" x14ac:dyDescent="0.35">
      <c r="A507" s="2"/>
    </row>
    <row r="508" spans="1:1" x14ac:dyDescent="0.35">
      <c r="A508" s="2"/>
    </row>
    <row r="509" spans="1:1" x14ac:dyDescent="0.35">
      <c r="A509" s="2"/>
    </row>
    <row r="510" spans="1:1" x14ac:dyDescent="0.35">
      <c r="A510" s="2"/>
    </row>
    <row r="511" spans="1:1" x14ac:dyDescent="0.35">
      <c r="A511" s="2"/>
    </row>
    <row r="512" spans="1:1" x14ac:dyDescent="0.35">
      <c r="A512" s="2"/>
    </row>
    <row r="513" spans="1:1" x14ac:dyDescent="0.35">
      <c r="A513" s="2"/>
    </row>
    <row r="514" spans="1:1" x14ac:dyDescent="0.35">
      <c r="A514" s="2"/>
    </row>
    <row r="515" spans="1:1" x14ac:dyDescent="0.35">
      <c r="A515" s="2"/>
    </row>
    <row r="516" spans="1:1" x14ac:dyDescent="0.35">
      <c r="A516" s="2"/>
    </row>
    <row r="517" spans="1:1" x14ac:dyDescent="0.35">
      <c r="A517" s="2"/>
    </row>
    <row r="518" spans="1:1" x14ac:dyDescent="0.35">
      <c r="A518" s="2"/>
    </row>
    <row r="519" spans="1:1" x14ac:dyDescent="0.35">
      <c r="A519" s="2"/>
    </row>
    <row r="520" spans="1:1" x14ac:dyDescent="0.35">
      <c r="A520" s="2"/>
    </row>
    <row r="521" spans="1:1" x14ac:dyDescent="0.35">
      <c r="A521" s="2"/>
    </row>
    <row r="522" spans="1:1" x14ac:dyDescent="0.35">
      <c r="A522" s="2"/>
    </row>
    <row r="523" spans="1:1" x14ac:dyDescent="0.35">
      <c r="A523" s="2"/>
    </row>
    <row r="524" spans="1:1" x14ac:dyDescent="0.35">
      <c r="A524" s="2"/>
    </row>
    <row r="525" spans="1:1" x14ac:dyDescent="0.35">
      <c r="A525" s="2"/>
    </row>
    <row r="526" spans="1:1" x14ac:dyDescent="0.35">
      <c r="A526" s="2"/>
    </row>
    <row r="527" spans="1:1" x14ac:dyDescent="0.35">
      <c r="A527" s="2"/>
    </row>
    <row r="528" spans="1:1" x14ac:dyDescent="0.35">
      <c r="A528" s="2"/>
    </row>
    <row r="529" spans="1:1" x14ac:dyDescent="0.35">
      <c r="A529" s="2"/>
    </row>
    <row r="530" spans="1:1" x14ac:dyDescent="0.35">
      <c r="A530" s="2"/>
    </row>
    <row r="531" spans="1:1" x14ac:dyDescent="0.35">
      <c r="A531" s="2"/>
    </row>
    <row r="532" spans="1:1" x14ac:dyDescent="0.35">
      <c r="A532" s="2"/>
    </row>
    <row r="533" spans="1:1" x14ac:dyDescent="0.35">
      <c r="A533" s="2"/>
    </row>
    <row r="534" spans="1:1" x14ac:dyDescent="0.35">
      <c r="A534" s="2"/>
    </row>
    <row r="535" spans="1:1" x14ac:dyDescent="0.35">
      <c r="A535" s="2"/>
    </row>
    <row r="536" spans="1:1" x14ac:dyDescent="0.35">
      <c r="A536" s="2"/>
    </row>
    <row r="537" spans="1:1" x14ac:dyDescent="0.35">
      <c r="A537" s="2"/>
    </row>
    <row r="538" spans="1:1" x14ac:dyDescent="0.35">
      <c r="A538" s="2"/>
    </row>
    <row r="539" spans="1:1" x14ac:dyDescent="0.35">
      <c r="A539" s="2"/>
    </row>
    <row r="540" spans="1:1" x14ac:dyDescent="0.35">
      <c r="A540" s="2"/>
    </row>
    <row r="541" spans="1:1" x14ac:dyDescent="0.35">
      <c r="A541" s="2"/>
    </row>
    <row r="542" spans="1:1" x14ac:dyDescent="0.35">
      <c r="A542" s="2"/>
    </row>
    <row r="543" spans="1:1" x14ac:dyDescent="0.35">
      <c r="A543" s="2"/>
    </row>
    <row r="544" spans="1:1" x14ac:dyDescent="0.35">
      <c r="A544" s="2"/>
    </row>
    <row r="545" spans="1:1" x14ac:dyDescent="0.35">
      <c r="A545" s="2"/>
    </row>
    <row r="546" spans="1:1" x14ac:dyDescent="0.35">
      <c r="A546" s="2"/>
    </row>
    <row r="547" spans="1:1" x14ac:dyDescent="0.35">
      <c r="A547" s="2"/>
    </row>
    <row r="548" spans="1:1" x14ac:dyDescent="0.35">
      <c r="A548" s="2"/>
    </row>
    <row r="549" spans="1:1" x14ac:dyDescent="0.35">
      <c r="A549" s="2"/>
    </row>
    <row r="550" spans="1:1" x14ac:dyDescent="0.35">
      <c r="A550" s="2"/>
    </row>
    <row r="551" spans="1:1" x14ac:dyDescent="0.35">
      <c r="A551" s="2"/>
    </row>
    <row r="552" spans="1:1" x14ac:dyDescent="0.35">
      <c r="A552" s="2"/>
    </row>
    <row r="553" spans="1:1" x14ac:dyDescent="0.35">
      <c r="A553" s="2"/>
    </row>
    <row r="554" spans="1:1" x14ac:dyDescent="0.35">
      <c r="A554" s="2"/>
    </row>
    <row r="555" spans="1:1" x14ac:dyDescent="0.35">
      <c r="A555" s="2"/>
    </row>
    <row r="556" spans="1:1" x14ac:dyDescent="0.35">
      <c r="A556" s="2"/>
    </row>
    <row r="557" spans="1:1" x14ac:dyDescent="0.35">
      <c r="A557" s="2"/>
    </row>
    <row r="558" spans="1:1" x14ac:dyDescent="0.35">
      <c r="A558" s="2"/>
    </row>
    <row r="559" spans="1:1" x14ac:dyDescent="0.35">
      <c r="A559" s="2"/>
    </row>
    <row r="560" spans="1:1" x14ac:dyDescent="0.35">
      <c r="A560" s="2"/>
    </row>
    <row r="561" spans="1:1" x14ac:dyDescent="0.35">
      <c r="A561" s="2"/>
    </row>
    <row r="562" spans="1:1" x14ac:dyDescent="0.35">
      <c r="A562" s="2"/>
    </row>
    <row r="563" spans="1:1" x14ac:dyDescent="0.35">
      <c r="A563" s="2"/>
    </row>
    <row r="564" spans="1:1" x14ac:dyDescent="0.35">
      <c r="A564" s="2"/>
    </row>
    <row r="565" spans="1:1" x14ac:dyDescent="0.35">
      <c r="A565" s="2"/>
    </row>
    <row r="566" spans="1:1" x14ac:dyDescent="0.35">
      <c r="A566" s="2"/>
    </row>
    <row r="567" spans="1:1" x14ac:dyDescent="0.35">
      <c r="A567" s="2"/>
    </row>
    <row r="568" spans="1:1" x14ac:dyDescent="0.35">
      <c r="A568" s="2"/>
    </row>
    <row r="569" spans="1:1" x14ac:dyDescent="0.35">
      <c r="A569" s="2"/>
    </row>
    <row r="570" spans="1:1" x14ac:dyDescent="0.35">
      <c r="A570" s="2"/>
    </row>
    <row r="571" spans="1:1" x14ac:dyDescent="0.35">
      <c r="A571" s="2"/>
    </row>
    <row r="572" spans="1:1" x14ac:dyDescent="0.35">
      <c r="A572" s="2"/>
    </row>
    <row r="573" spans="1:1" x14ac:dyDescent="0.35">
      <c r="A573" s="2"/>
    </row>
    <row r="574" spans="1:1" x14ac:dyDescent="0.35">
      <c r="A574" s="2"/>
    </row>
    <row r="575" spans="1:1" x14ac:dyDescent="0.35">
      <c r="A575" s="2"/>
    </row>
    <row r="576" spans="1:1" x14ac:dyDescent="0.35">
      <c r="A576" s="2"/>
    </row>
    <row r="577" spans="1:1" x14ac:dyDescent="0.35">
      <c r="A577" s="2"/>
    </row>
    <row r="578" spans="1:1" x14ac:dyDescent="0.35">
      <c r="A578" s="2"/>
    </row>
    <row r="579" spans="1:1" x14ac:dyDescent="0.35">
      <c r="A579" s="2"/>
    </row>
    <row r="580" spans="1:1" x14ac:dyDescent="0.35">
      <c r="A580" s="2"/>
    </row>
    <row r="581" spans="1:1" x14ac:dyDescent="0.35">
      <c r="A581" s="2"/>
    </row>
    <row r="582" spans="1:1" x14ac:dyDescent="0.35">
      <c r="A582" s="2"/>
    </row>
    <row r="583" spans="1:1" x14ac:dyDescent="0.35">
      <c r="A583" s="2"/>
    </row>
    <row r="584" spans="1:1" x14ac:dyDescent="0.35">
      <c r="A584" s="2"/>
    </row>
    <row r="585" spans="1:1" x14ac:dyDescent="0.35">
      <c r="A585" s="2"/>
    </row>
    <row r="586" spans="1:1" x14ac:dyDescent="0.35">
      <c r="A586" s="2"/>
    </row>
    <row r="587" spans="1:1" x14ac:dyDescent="0.35">
      <c r="A587" s="2"/>
    </row>
    <row r="588" spans="1:1" x14ac:dyDescent="0.35">
      <c r="A588" s="2"/>
    </row>
    <row r="589" spans="1:1" x14ac:dyDescent="0.35">
      <c r="A589" s="2"/>
    </row>
    <row r="590" spans="1:1" x14ac:dyDescent="0.35">
      <c r="A590" s="2"/>
    </row>
    <row r="591" spans="1:1" x14ac:dyDescent="0.35">
      <c r="A591" s="2"/>
    </row>
    <row r="592" spans="1:1" x14ac:dyDescent="0.35">
      <c r="A592" s="2"/>
    </row>
    <row r="593" spans="1:1" x14ac:dyDescent="0.35">
      <c r="A593" s="2"/>
    </row>
    <row r="594" spans="1:1" x14ac:dyDescent="0.35">
      <c r="A594" s="2"/>
    </row>
    <row r="595" spans="1:1" x14ac:dyDescent="0.35">
      <c r="A595" s="2"/>
    </row>
    <row r="596" spans="1:1" x14ac:dyDescent="0.35">
      <c r="A596" s="2"/>
    </row>
    <row r="597" spans="1:1" x14ac:dyDescent="0.35">
      <c r="A597" s="2"/>
    </row>
    <row r="598" spans="1:1" x14ac:dyDescent="0.35">
      <c r="A598" s="2"/>
    </row>
    <row r="599" spans="1:1" x14ac:dyDescent="0.35">
      <c r="A599" s="2"/>
    </row>
    <row r="600" spans="1:1" x14ac:dyDescent="0.35">
      <c r="A600" s="2"/>
    </row>
    <row r="601" spans="1:1" x14ac:dyDescent="0.35">
      <c r="A601" s="2"/>
    </row>
    <row r="602" spans="1:1" x14ac:dyDescent="0.35">
      <c r="A602" s="2"/>
    </row>
    <row r="603" spans="1:1" x14ac:dyDescent="0.35">
      <c r="A603" s="2"/>
    </row>
    <row r="604" spans="1:1" x14ac:dyDescent="0.35">
      <c r="A604" s="2"/>
    </row>
    <row r="605" spans="1:1" x14ac:dyDescent="0.35">
      <c r="A605" s="2"/>
    </row>
    <row r="606" spans="1:1" x14ac:dyDescent="0.35">
      <c r="A606" s="2"/>
    </row>
    <row r="607" spans="1:1" x14ac:dyDescent="0.35">
      <c r="A607" s="2"/>
    </row>
    <row r="608" spans="1:1" x14ac:dyDescent="0.35">
      <c r="A608" s="2"/>
    </row>
    <row r="609" spans="1:1" x14ac:dyDescent="0.35">
      <c r="A609" s="2"/>
    </row>
    <row r="610" spans="1:1" x14ac:dyDescent="0.35">
      <c r="A610" s="2"/>
    </row>
    <row r="611" spans="1:1" x14ac:dyDescent="0.35">
      <c r="A611" s="2"/>
    </row>
    <row r="612" spans="1:1" x14ac:dyDescent="0.35">
      <c r="A612" s="2"/>
    </row>
    <row r="613" spans="1:1" x14ac:dyDescent="0.35">
      <c r="A613" s="2"/>
    </row>
    <row r="614" spans="1:1" x14ac:dyDescent="0.35">
      <c r="A614" s="2"/>
    </row>
    <row r="615" spans="1:1" x14ac:dyDescent="0.35">
      <c r="A615" s="2"/>
    </row>
    <row r="616" spans="1:1" x14ac:dyDescent="0.35">
      <c r="A616" s="2"/>
    </row>
    <row r="617" spans="1:1" x14ac:dyDescent="0.35">
      <c r="A617" s="2"/>
    </row>
    <row r="618" spans="1:1" x14ac:dyDescent="0.35">
      <c r="A618" s="2"/>
    </row>
    <row r="619" spans="1:1" x14ac:dyDescent="0.35">
      <c r="A619" s="2"/>
    </row>
    <row r="620" spans="1:1" x14ac:dyDescent="0.35">
      <c r="A620" s="2"/>
    </row>
    <row r="621" spans="1:1" x14ac:dyDescent="0.35">
      <c r="A621" s="2"/>
    </row>
    <row r="622" spans="1:1" x14ac:dyDescent="0.35">
      <c r="A622" s="2"/>
    </row>
    <row r="623" spans="1:1" x14ac:dyDescent="0.35">
      <c r="A623" s="2"/>
    </row>
    <row r="624" spans="1:1" x14ac:dyDescent="0.35">
      <c r="A624" s="2"/>
    </row>
    <row r="625" spans="1:1" x14ac:dyDescent="0.35">
      <c r="A625" s="2"/>
    </row>
    <row r="626" spans="1:1" x14ac:dyDescent="0.35">
      <c r="A626" s="2"/>
    </row>
    <row r="627" spans="1:1" x14ac:dyDescent="0.35">
      <c r="A627" s="2"/>
    </row>
    <row r="628" spans="1:1" x14ac:dyDescent="0.35">
      <c r="A628" s="2"/>
    </row>
    <row r="629" spans="1:1" x14ac:dyDescent="0.35">
      <c r="A629" s="2"/>
    </row>
    <row r="630" spans="1:1" x14ac:dyDescent="0.35">
      <c r="A630" s="2"/>
    </row>
    <row r="631" spans="1:1" x14ac:dyDescent="0.35">
      <c r="A631" s="2"/>
    </row>
    <row r="632" spans="1:1" x14ac:dyDescent="0.35">
      <c r="A632" s="2"/>
    </row>
    <row r="633" spans="1:1" x14ac:dyDescent="0.35">
      <c r="A633" s="2"/>
    </row>
    <row r="634" spans="1:1" x14ac:dyDescent="0.35">
      <c r="A634" s="2"/>
    </row>
    <row r="635" spans="1:1" x14ac:dyDescent="0.35">
      <c r="A635" s="2"/>
    </row>
    <row r="636" spans="1:1" x14ac:dyDescent="0.35">
      <c r="A636" s="2"/>
    </row>
    <row r="637" spans="1:1" x14ac:dyDescent="0.35">
      <c r="A637" s="2"/>
    </row>
    <row r="638" spans="1:1" x14ac:dyDescent="0.35">
      <c r="A638" s="2"/>
    </row>
    <row r="639" spans="1:1" x14ac:dyDescent="0.35">
      <c r="A639" s="2"/>
    </row>
    <row r="640" spans="1:1" x14ac:dyDescent="0.35">
      <c r="A640" s="2"/>
    </row>
    <row r="641" spans="1:1" x14ac:dyDescent="0.35">
      <c r="A641" s="2"/>
    </row>
    <row r="642" spans="1:1" x14ac:dyDescent="0.35">
      <c r="A642" s="2"/>
    </row>
    <row r="643" spans="1:1" x14ac:dyDescent="0.35">
      <c r="A643" s="2"/>
    </row>
    <row r="644" spans="1:1" x14ac:dyDescent="0.35">
      <c r="A644" s="2"/>
    </row>
    <row r="645" spans="1:1" x14ac:dyDescent="0.35">
      <c r="A645" s="2"/>
    </row>
    <row r="646" spans="1:1" x14ac:dyDescent="0.35">
      <c r="A646" s="2"/>
    </row>
    <row r="647" spans="1:1" x14ac:dyDescent="0.35">
      <c r="A647" s="2"/>
    </row>
    <row r="648" spans="1:1" x14ac:dyDescent="0.35">
      <c r="A648" s="2"/>
    </row>
    <row r="649" spans="1:1" x14ac:dyDescent="0.35">
      <c r="A649" s="2"/>
    </row>
    <row r="650" spans="1:1" x14ac:dyDescent="0.35">
      <c r="A650" s="2"/>
    </row>
    <row r="651" spans="1:1" x14ac:dyDescent="0.35">
      <c r="A651" s="2"/>
    </row>
    <row r="652" spans="1:1" x14ac:dyDescent="0.35">
      <c r="A652" s="2"/>
    </row>
    <row r="653" spans="1:1" x14ac:dyDescent="0.35">
      <c r="A653" s="2"/>
    </row>
    <row r="654" spans="1:1" x14ac:dyDescent="0.35">
      <c r="A654" s="2"/>
    </row>
    <row r="655" spans="1:1" x14ac:dyDescent="0.35">
      <c r="A655" s="2"/>
    </row>
    <row r="656" spans="1:1" x14ac:dyDescent="0.35">
      <c r="A656" s="2"/>
    </row>
    <row r="657" spans="1:1" x14ac:dyDescent="0.35">
      <c r="A657" s="2"/>
    </row>
    <row r="658" spans="1:1" x14ac:dyDescent="0.35">
      <c r="A658" s="2"/>
    </row>
    <row r="659" spans="1:1" x14ac:dyDescent="0.35">
      <c r="A659" s="2"/>
    </row>
    <row r="660" spans="1:1" x14ac:dyDescent="0.35">
      <c r="A660" s="2"/>
    </row>
    <row r="661" spans="1:1" x14ac:dyDescent="0.35">
      <c r="A661" s="2"/>
    </row>
    <row r="662" spans="1:1" x14ac:dyDescent="0.35">
      <c r="A662" s="2"/>
    </row>
    <row r="663" spans="1:1" x14ac:dyDescent="0.35">
      <c r="A663" s="2"/>
    </row>
    <row r="664" spans="1:1" x14ac:dyDescent="0.35">
      <c r="A664" s="2"/>
    </row>
    <row r="665" spans="1:1" x14ac:dyDescent="0.35">
      <c r="A665" s="2"/>
    </row>
    <row r="666" spans="1:1" x14ac:dyDescent="0.35">
      <c r="A666" s="2"/>
    </row>
    <row r="667" spans="1:1" x14ac:dyDescent="0.35">
      <c r="A667" s="2"/>
    </row>
    <row r="668" spans="1:1" x14ac:dyDescent="0.35">
      <c r="A668" s="2"/>
    </row>
    <row r="669" spans="1:1" x14ac:dyDescent="0.35">
      <c r="A669" s="2"/>
    </row>
    <row r="670" spans="1:1" x14ac:dyDescent="0.35">
      <c r="A670" s="2"/>
    </row>
    <row r="671" spans="1:1" x14ac:dyDescent="0.35">
      <c r="A671" s="2"/>
    </row>
    <row r="672" spans="1:1" x14ac:dyDescent="0.35">
      <c r="A672" s="2"/>
    </row>
    <row r="673" spans="1:1" x14ac:dyDescent="0.35">
      <c r="A673" s="2"/>
    </row>
    <row r="674" spans="1:1" x14ac:dyDescent="0.35">
      <c r="A674" s="2"/>
    </row>
    <row r="675" spans="1:1" x14ac:dyDescent="0.35">
      <c r="A675" s="2"/>
    </row>
    <row r="676" spans="1:1" x14ac:dyDescent="0.35">
      <c r="A676" s="2"/>
    </row>
    <row r="677" spans="1:1" x14ac:dyDescent="0.35">
      <c r="A677" s="2"/>
    </row>
    <row r="678" spans="1:1" x14ac:dyDescent="0.35">
      <c r="A678" s="2"/>
    </row>
    <row r="679" spans="1:1" x14ac:dyDescent="0.35">
      <c r="A679" s="2"/>
    </row>
    <row r="680" spans="1:1" x14ac:dyDescent="0.35">
      <c r="A680" s="2"/>
    </row>
    <row r="681" spans="1:1" x14ac:dyDescent="0.35">
      <c r="A681" s="2"/>
    </row>
    <row r="682" spans="1:1" x14ac:dyDescent="0.35">
      <c r="A682" s="2"/>
    </row>
    <row r="683" spans="1:1" x14ac:dyDescent="0.35">
      <c r="A683" s="2"/>
    </row>
    <row r="684" spans="1:1" x14ac:dyDescent="0.35">
      <c r="A684" s="2"/>
    </row>
    <row r="685" spans="1:1" x14ac:dyDescent="0.35">
      <c r="A685" s="2"/>
    </row>
    <row r="686" spans="1:1" x14ac:dyDescent="0.35">
      <c r="A686" s="2"/>
    </row>
    <row r="687" spans="1:1" x14ac:dyDescent="0.35">
      <c r="A687" s="2"/>
    </row>
    <row r="688" spans="1:1" x14ac:dyDescent="0.35">
      <c r="A688" s="2"/>
    </row>
    <row r="689" spans="1:1" x14ac:dyDescent="0.35">
      <c r="A689" s="2"/>
    </row>
    <row r="690" spans="1:1" x14ac:dyDescent="0.35">
      <c r="A690" s="2"/>
    </row>
    <row r="691" spans="1:1" x14ac:dyDescent="0.35">
      <c r="A691" s="2"/>
    </row>
    <row r="692" spans="1:1" x14ac:dyDescent="0.35">
      <c r="A692" s="2"/>
    </row>
    <row r="693" spans="1:1" x14ac:dyDescent="0.35">
      <c r="A693" s="2"/>
    </row>
    <row r="694" spans="1:1" x14ac:dyDescent="0.35">
      <c r="A694" s="2"/>
    </row>
    <row r="695" spans="1:1" x14ac:dyDescent="0.35">
      <c r="A695" s="2"/>
    </row>
    <row r="696" spans="1:1" x14ac:dyDescent="0.35">
      <c r="A696" s="2"/>
    </row>
    <row r="697" spans="1:1" x14ac:dyDescent="0.35">
      <c r="A697" s="2"/>
    </row>
    <row r="698" spans="1:1" x14ac:dyDescent="0.35">
      <c r="A698" s="2"/>
    </row>
    <row r="699" spans="1:1" x14ac:dyDescent="0.35">
      <c r="A699" s="2"/>
    </row>
    <row r="700" spans="1:1" x14ac:dyDescent="0.35">
      <c r="A700" s="2"/>
    </row>
    <row r="701" spans="1:1" x14ac:dyDescent="0.35">
      <c r="A701" s="2"/>
    </row>
    <row r="702" spans="1:1" x14ac:dyDescent="0.35">
      <c r="A702" s="2"/>
    </row>
    <row r="703" spans="1:1" x14ac:dyDescent="0.35">
      <c r="A703" s="2"/>
    </row>
    <row r="704" spans="1:1" x14ac:dyDescent="0.35">
      <c r="A704" s="2"/>
    </row>
    <row r="705" spans="1:1" x14ac:dyDescent="0.35">
      <c r="A705" s="2"/>
    </row>
    <row r="706" spans="1:1" x14ac:dyDescent="0.35">
      <c r="A706" s="2"/>
    </row>
    <row r="707" spans="1:1" x14ac:dyDescent="0.35">
      <c r="A707" s="2"/>
    </row>
    <row r="708" spans="1:1" x14ac:dyDescent="0.35">
      <c r="A708" s="2"/>
    </row>
    <row r="709" spans="1:1" x14ac:dyDescent="0.35">
      <c r="A709" s="2"/>
    </row>
    <row r="710" spans="1:1" x14ac:dyDescent="0.35">
      <c r="A710" s="2"/>
    </row>
    <row r="711" spans="1:1" x14ac:dyDescent="0.35">
      <c r="A711" s="2"/>
    </row>
    <row r="712" spans="1:1" x14ac:dyDescent="0.35">
      <c r="A712" s="2"/>
    </row>
    <row r="713" spans="1:1" x14ac:dyDescent="0.35">
      <c r="A713" s="2"/>
    </row>
    <row r="714" spans="1:1" x14ac:dyDescent="0.35">
      <c r="A714" s="2"/>
    </row>
    <row r="715" spans="1:1" x14ac:dyDescent="0.35">
      <c r="A715" s="2"/>
    </row>
    <row r="716" spans="1:1" x14ac:dyDescent="0.35">
      <c r="A716" s="2"/>
    </row>
    <row r="717" spans="1:1" x14ac:dyDescent="0.35">
      <c r="A717" s="2"/>
    </row>
    <row r="718" spans="1:1" x14ac:dyDescent="0.35">
      <c r="A718" s="2"/>
    </row>
    <row r="719" spans="1:1" x14ac:dyDescent="0.35">
      <c r="A719" s="2"/>
    </row>
    <row r="720" spans="1:1" x14ac:dyDescent="0.35">
      <c r="A720" s="2"/>
    </row>
    <row r="721" spans="1:1" x14ac:dyDescent="0.35">
      <c r="A721" s="2"/>
    </row>
    <row r="722" spans="1:1" x14ac:dyDescent="0.35">
      <c r="A722" s="2"/>
    </row>
    <row r="723" spans="1:1" x14ac:dyDescent="0.35">
      <c r="A723" s="2"/>
    </row>
    <row r="724" spans="1:1" x14ac:dyDescent="0.35">
      <c r="A724" s="2"/>
    </row>
    <row r="725" spans="1:1" x14ac:dyDescent="0.35">
      <c r="A725" s="2"/>
    </row>
    <row r="726" spans="1:1" x14ac:dyDescent="0.35">
      <c r="A726" s="2"/>
    </row>
    <row r="727" spans="1:1" x14ac:dyDescent="0.35">
      <c r="A727" s="2"/>
    </row>
    <row r="728" spans="1:1" x14ac:dyDescent="0.35">
      <c r="A728" s="2"/>
    </row>
    <row r="729" spans="1:1" x14ac:dyDescent="0.35">
      <c r="A729" s="2"/>
    </row>
    <row r="730" spans="1:1" x14ac:dyDescent="0.35">
      <c r="A730" s="2"/>
    </row>
    <row r="731" spans="1:1" x14ac:dyDescent="0.35">
      <c r="A731" s="2"/>
    </row>
    <row r="732" spans="1:1" x14ac:dyDescent="0.35">
      <c r="A732" s="2"/>
    </row>
    <row r="733" spans="1:1" x14ac:dyDescent="0.35">
      <c r="A733" s="2"/>
    </row>
    <row r="734" spans="1:1" x14ac:dyDescent="0.35">
      <c r="A734" s="2"/>
    </row>
    <row r="735" spans="1:1" x14ac:dyDescent="0.35">
      <c r="A735" s="2"/>
    </row>
    <row r="736" spans="1:1" x14ac:dyDescent="0.35">
      <c r="A736" s="2"/>
    </row>
    <row r="737" spans="1:1" x14ac:dyDescent="0.35">
      <c r="A737" s="2"/>
    </row>
    <row r="738" spans="1:1" x14ac:dyDescent="0.35">
      <c r="A738" s="2"/>
    </row>
    <row r="739" spans="1:1" x14ac:dyDescent="0.35">
      <c r="A739" s="2"/>
    </row>
    <row r="740" spans="1:1" x14ac:dyDescent="0.35">
      <c r="A740" s="2"/>
    </row>
    <row r="741" spans="1:1" x14ac:dyDescent="0.35">
      <c r="A741" s="2"/>
    </row>
    <row r="742" spans="1:1" x14ac:dyDescent="0.35">
      <c r="A742" s="2"/>
    </row>
    <row r="743" spans="1:1" x14ac:dyDescent="0.35">
      <c r="A743" s="2"/>
    </row>
    <row r="744" spans="1:1" x14ac:dyDescent="0.35">
      <c r="A744" s="2"/>
    </row>
    <row r="745" spans="1:1" x14ac:dyDescent="0.35">
      <c r="A745" s="2"/>
    </row>
    <row r="746" spans="1:1" x14ac:dyDescent="0.35">
      <c r="A746" s="2"/>
    </row>
    <row r="747" spans="1:1" x14ac:dyDescent="0.35">
      <c r="A747" s="2"/>
    </row>
    <row r="748" spans="1:1" x14ac:dyDescent="0.35">
      <c r="A748" s="2"/>
    </row>
    <row r="749" spans="1:1" x14ac:dyDescent="0.35">
      <c r="A749" s="2"/>
    </row>
    <row r="750" spans="1:1" x14ac:dyDescent="0.35">
      <c r="A750" s="2"/>
    </row>
    <row r="751" spans="1:1" x14ac:dyDescent="0.35">
      <c r="A751" s="2"/>
    </row>
    <row r="752" spans="1:1" x14ac:dyDescent="0.35">
      <c r="A752" s="2"/>
    </row>
    <row r="753" spans="1:1" x14ac:dyDescent="0.35">
      <c r="A753" s="2"/>
    </row>
    <row r="754" spans="1:1" x14ac:dyDescent="0.35">
      <c r="A754" s="2"/>
    </row>
    <row r="755" spans="1:1" x14ac:dyDescent="0.35">
      <c r="A755" s="2"/>
    </row>
    <row r="756" spans="1:1" x14ac:dyDescent="0.35">
      <c r="A756" s="2"/>
    </row>
    <row r="757" spans="1:1" x14ac:dyDescent="0.35">
      <c r="A757" s="2"/>
    </row>
    <row r="758" spans="1:1" x14ac:dyDescent="0.35">
      <c r="A758" s="2"/>
    </row>
    <row r="759" spans="1:1" x14ac:dyDescent="0.35">
      <c r="A759" s="2"/>
    </row>
    <row r="760" spans="1:1" x14ac:dyDescent="0.35">
      <c r="A760" s="2"/>
    </row>
    <row r="761" spans="1:1" x14ac:dyDescent="0.35">
      <c r="A761" s="2"/>
    </row>
    <row r="762" spans="1:1" x14ac:dyDescent="0.35">
      <c r="A762" s="2"/>
    </row>
    <row r="763" spans="1:1" x14ac:dyDescent="0.35">
      <c r="A763" s="2"/>
    </row>
    <row r="764" spans="1:1" x14ac:dyDescent="0.35">
      <c r="A764" s="2"/>
    </row>
    <row r="765" spans="1:1" x14ac:dyDescent="0.35">
      <c r="A765" s="2"/>
    </row>
    <row r="766" spans="1:1" x14ac:dyDescent="0.35">
      <c r="A766" s="2"/>
    </row>
    <row r="767" spans="1:1" x14ac:dyDescent="0.35">
      <c r="A767" s="2"/>
    </row>
    <row r="768" spans="1:1" x14ac:dyDescent="0.35">
      <c r="A768" s="2"/>
    </row>
    <row r="769" spans="1:1" x14ac:dyDescent="0.35">
      <c r="A769" s="2"/>
    </row>
    <row r="770" spans="1:1" x14ac:dyDescent="0.35">
      <c r="A770" s="2"/>
    </row>
    <row r="771" spans="1:1" x14ac:dyDescent="0.35">
      <c r="A771" s="2"/>
    </row>
    <row r="772" spans="1:1" x14ac:dyDescent="0.35">
      <c r="A772" s="2"/>
    </row>
    <row r="773" spans="1:1" x14ac:dyDescent="0.35">
      <c r="A773" s="2"/>
    </row>
    <row r="774" spans="1:1" x14ac:dyDescent="0.35">
      <c r="A774" s="2"/>
    </row>
    <row r="775" spans="1:1" x14ac:dyDescent="0.35">
      <c r="A775" s="2"/>
    </row>
    <row r="776" spans="1:1" x14ac:dyDescent="0.35">
      <c r="A776" s="2"/>
    </row>
    <row r="777" spans="1:1" x14ac:dyDescent="0.35">
      <c r="A777" s="2"/>
    </row>
    <row r="778" spans="1:1" x14ac:dyDescent="0.35">
      <c r="A778" s="2"/>
    </row>
    <row r="779" spans="1:1" x14ac:dyDescent="0.35">
      <c r="A779" s="2"/>
    </row>
    <row r="780" spans="1:1" x14ac:dyDescent="0.35">
      <c r="A780" s="2"/>
    </row>
    <row r="781" spans="1:1" x14ac:dyDescent="0.35">
      <c r="A781" s="2"/>
    </row>
    <row r="782" spans="1:1" x14ac:dyDescent="0.35">
      <c r="A782" s="2"/>
    </row>
    <row r="783" spans="1:1" x14ac:dyDescent="0.35">
      <c r="A783" s="2"/>
    </row>
    <row r="784" spans="1:1" x14ac:dyDescent="0.35">
      <c r="A784" s="2"/>
    </row>
    <row r="785" spans="1:1" x14ac:dyDescent="0.35">
      <c r="A785" s="2"/>
    </row>
    <row r="786" spans="1:1" x14ac:dyDescent="0.35">
      <c r="A786" s="2"/>
    </row>
    <row r="787" spans="1:1" x14ac:dyDescent="0.35">
      <c r="A787" s="2"/>
    </row>
    <row r="788" spans="1:1" x14ac:dyDescent="0.35">
      <c r="A788" s="2"/>
    </row>
    <row r="789" spans="1:1" x14ac:dyDescent="0.35">
      <c r="A789" s="2"/>
    </row>
    <row r="790" spans="1:1" x14ac:dyDescent="0.35">
      <c r="A790" s="2"/>
    </row>
    <row r="791" spans="1:1" x14ac:dyDescent="0.35">
      <c r="A791" s="2"/>
    </row>
    <row r="792" spans="1:1" x14ac:dyDescent="0.35">
      <c r="A792" s="2"/>
    </row>
    <row r="793" spans="1:1" x14ac:dyDescent="0.35">
      <c r="A793" s="2"/>
    </row>
    <row r="794" spans="1:1" x14ac:dyDescent="0.35">
      <c r="A794" s="2"/>
    </row>
    <row r="795" spans="1:1" x14ac:dyDescent="0.35">
      <c r="A795" s="2"/>
    </row>
    <row r="796" spans="1:1" x14ac:dyDescent="0.35">
      <c r="A796" s="2"/>
    </row>
    <row r="797" spans="1:1" x14ac:dyDescent="0.35">
      <c r="A797" s="2"/>
    </row>
    <row r="798" spans="1:1" x14ac:dyDescent="0.35">
      <c r="A798" s="2"/>
    </row>
    <row r="799" spans="1:1" x14ac:dyDescent="0.35">
      <c r="A799" s="2"/>
    </row>
    <row r="800" spans="1:1" x14ac:dyDescent="0.35">
      <c r="A800" s="2"/>
    </row>
    <row r="801" spans="1:1" x14ac:dyDescent="0.35">
      <c r="A801" s="2"/>
    </row>
    <row r="802" spans="1:1" x14ac:dyDescent="0.35">
      <c r="A802" s="2"/>
    </row>
    <row r="803" spans="1:1" x14ac:dyDescent="0.35">
      <c r="A803" s="2"/>
    </row>
    <row r="804" spans="1:1" x14ac:dyDescent="0.35">
      <c r="A804" s="2"/>
    </row>
    <row r="805" spans="1:1" x14ac:dyDescent="0.35">
      <c r="A805" s="2"/>
    </row>
    <row r="806" spans="1:1" x14ac:dyDescent="0.35">
      <c r="A806" s="2"/>
    </row>
    <row r="807" spans="1:1" x14ac:dyDescent="0.35">
      <c r="A807" s="2"/>
    </row>
    <row r="808" spans="1:1" x14ac:dyDescent="0.35">
      <c r="A808" s="2"/>
    </row>
    <row r="809" spans="1:1" x14ac:dyDescent="0.35">
      <c r="A809" s="2"/>
    </row>
    <row r="810" spans="1:1" x14ac:dyDescent="0.35">
      <c r="A810" s="2"/>
    </row>
    <row r="811" spans="1:1" x14ac:dyDescent="0.35">
      <c r="A811" s="2"/>
    </row>
    <row r="812" spans="1:1" x14ac:dyDescent="0.35">
      <c r="A812" s="2"/>
    </row>
    <row r="813" spans="1:1" x14ac:dyDescent="0.35">
      <c r="A813" s="2"/>
    </row>
    <row r="814" spans="1:1" x14ac:dyDescent="0.35">
      <c r="A814" s="2"/>
    </row>
    <row r="815" spans="1:1" x14ac:dyDescent="0.35">
      <c r="A815" s="2"/>
    </row>
    <row r="816" spans="1:1" x14ac:dyDescent="0.35">
      <c r="A816" s="2"/>
    </row>
    <row r="817" spans="1:1" x14ac:dyDescent="0.35">
      <c r="A817" s="2"/>
    </row>
    <row r="818" spans="1:1" x14ac:dyDescent="0.35">
      <c r="A818" s="2"/>
    </row>
    <row r="819" spans="1:1" x14ac:dyDescent="0.35">
      <c r="A819" s="2"/>
    </row>
    <row r="820" spans="1:1" x14ac:dyDescent="0.35">
      <c r="A820" s="2"/>
    </row>
    <row r="821" spans="1:1" x14ac:dyDescent="0.35">
      <c r="A821" s="2"/>
    </row>
    <row r="822" spans="1:1" x14ac:dyDescent="0.35">
      <c r="A822" s="2"/>
    </row>
    <row r="823" spans="1:1" x14ac:dyDescent="0.35">
      <c r="A823" s="2"/>
    </row>
    <row r="824" spans="1:1" x14ac:dyDescent="0.35">
      <c r="A824" s="2"/>
    </row>
    <row r="825" spans="1:1" x14ac:dyDescent="0.35">
      <c r="A825" s="2"/>
    </row>
    <row r="826" spans="1:1" x14ac:dyDescent="0.35">
      <c r="A826" s="2"/>
    </row>
    <row r="827" spans="1:1" x14ac:dyDescent="0.35">
      <c r="A827" s="2"/>
    </row>
    <row r="828" spans="1:1" x14ac:dyDescent="0.35">
      <c r="A828" s="2"/>
    </row>
    <row r="829" spans="1:1" x14ac:dyDescent="0.35">
      <c r="A829" s="2"/>
    </row>
    <row r="830" spans="1:1" x14ac:dyDescent="0.35">
      <c r="A830" s="2"/>
    </row>
    <row r="831" spans="1:1" x14ac:dyDescent="0.35">
      <c r="A831" s="2"/>
    </row>
    <row r="832" spans="1:1" x14ac:dyDescent="0.35">
      <c r="A832" s="2"/>
    </row>
    <row r="833" spans="1:1" x14ac:dyDescent="0.35">
      <c r="A833" s="2"/>
    </row>
    <row r="834" spans="1:1" x14ac:dyDescent="0.35">
      <c r="A834" s="2"/>
    </row>
    <row r="835" spans="1:1" x14ac:dyDescent="0.35">
      <c r="A835" s="2"/>
    </row>
    <row r="836" spans="1:1" x14ac:dyDescent="0.35">
      <c r="A836" s="2"/>
    </row>
    <row r="837" spans="1:1" x14ac:dyDescent="0.35">
      <c r="A837" s="2"/>
    </row>
    <row r="838" spans="1:1" x14ac:dyDescent="0.35">
      <c r="A838" s="2"/>
    </row>
    <row r="839" spans="1:1" x14ac:dyDescent="0.35">
      <c r="A839" s="2"/>
    </row>
    <row r="840" spans="1:1" x14ac:dyDescent="0.35">
      <c r="A840" s="2"/>
    </row>
    <row r="841" spans="1:1" x14ac:dyDescent="0.35">
      <c r="A841" s="2"/>
    </row>
    <row r="842" spans="1:1" x14ac:dyDescent="0.35">
      <c r="A842" s="2"/>
    </row>
    <row r="843" spans="1:1" x14ac:dyDescent="0.35">
      <c r="A843" s="2"/>
    </row>
    <row r="844" spans="1:1" x14ac:dyDescent="0.35">
      <c r="A844" s="2"/>
    </row>
    <row r="845" spans="1:1" x14ac:dyDescent="0.35">
      <c r="A845" s="2"/>
    </row>
    <row r="846" spans="1:1" x14ac:dyDescent="0.35">
      <c r="A846" s="2"/>
    </row>
    <row r="847" spans="1:1" x14ac:dyDescent="0.35">
      <c r="A847" s="2"/>
    </row>
    <row r="848" spans="1:1" x14ac:dyDescent="0.35">
      <c r="A848" s="2"/>
    </row>
    <row r="849" spans="1:1" x14ac:dyDescent="0.35">
      <c r="A849" s="2"/>
    </row>
    <row r="850" spans="1:1" x14ac:dyDescent="0.35">
      <c r="A850" s="2"/>
    </row>
    <row r="851" spans="1:1" x14ac:dyDescent="0.35">
      <c r="A851" s="2"/>
    </row>
    <row r="852" spans="1:1" x14ac:dyDescent="0.35">
      <c r="A852" s="2"/>
    </row>
    <row r="853" spans="1:1" x14ac:dyDescent="0.35">
      <c r="A853" s="2"/>
    </row>
    <row r="854" spans="1:1" x14ac:dyDescent="0.35">
      <c r="A854" s="2"/>
    </row>
    <row r="855" spans="1:1" x14ac:dyDescent="0.35">
      <c r="A855" s="2"/>
    </row>
    <row r="856" spans="1:1" x14ac:dyDescent="0.35">
      <c r="A856" s="2"/>
    </row>
    <row r="857" spans="1:1" x14ac:dyDescent="0.35">
      <c r="A857" s="2"/>
    </row>
    <row r="858" spans="1:1" x14ac:dyDescent="0.35">
      <c r="A858" s="2"/>
    </row>
    <row r="859" spans="1:1" x14ac:dyDescent="0.35">
      <c r="A859" s="2"/>
    </row>
    <row r="860" spans="1:1" x14ac:dyDescent="0.35">
      <c r="A860" s="2"/>
    </row>
    <row r="861" spans="1:1" x14ac:dyDescent="0.35">
      <c r="A861" s="2"/>
    </row>
    <row r="862" spans="1:1" x14ac:dyDescent="0.35">
      <c r="A862" s="2"/>
    </row>
    <row r="863" spans="1:1" x14ac:dyDescent="0.35">
      <c r="A863" s="2"/>
    </row>
    <row r="864" spans="1:1" x14ac:dyDescent="0.35">
      <c r="A864" s="2"/>
    </row>
    <row r="865" spans="1:1" x14ac:dyDescent="0.35">
      <c r="A865" s="2"/>
    </row>
    <row r="866" spans="1:1" x14ac:dyDescent="0.35">
      <c r="A866" s="2"/>
    </row>
    <row r="867" spans="1:1" x14ac:dyDescent="0.35">
      <c r="A867" s="2"/>
    </row>
    <row r="868" spans="1:1" x14ac:dyDescent="0.35">
      <c r="A868" s="2"/>
    </row>
    <row r="869" spans="1:1" x14ac:dyDescent="0.35">
      <c r="A869" s="2"/>
    </row>
    <row r="870" spans="1:1" x14ac:dyDescent="0.35">
      <c r="A870" s="2"/>
    </row>
    <row r="871" spans="1:1" x14ac:dyDescent="0.35">
      <c r="A871" s="2"/>
    </row>
    <row r="872" spans="1:1" x14ac:dyDescent="0.35">
      <c r="A872" s="2"/>
    </row>
    <row r="873" spans="1:1" x14ac:dyDescent="0.35">
      <c r="A873" s="2"/>
    </row>
    <row r="874" spans="1:1" x14ac:dyDescent="0.35">
      <c r="A874" s="2"/>
    </row>
    <row r="875" spans="1:1" x14ac:dyDescent="0.35">
      <c r="A875" s="2"/>
    </row>
    <row r="876" spans="1:1" x14ac:dyDescent="0.35">
      <c r="A876" s="2"/>
    </row>
    <row r="877" spans="1:1" x14ac:dyDescent="0.35">
      <c r="A877" s="2"/>
    </row>
    <row r="878" spans="1:1" x14ac:dyDescent="0.35">
      <c r="A878" s="2"/>
    </row>
    <row r="879" spans="1:1" x14ac:dyDescent="0.35">
      <c r="A879" s="2"/>
    </row>
    <row r="880" spans="1:1" x14ac:dyDescent="0.35">
      <c r="A880" s="2"/>
    </row>
    <row r="881" spans="1:1" x14ac:dyDescent="0.35">
      <c r="A881" s="2"/>
    </row>
    <row r="882" spans="1:1" x14ac:dyDescent="0.35">
      <c r="A882" s="2"/>
    </row>
    <row r="883" spans="1:1" x14ac:dyDescent="0.35">
      <c r="A883" s="2"/>
    </row>
    <row r="884" spans="1:1" x14ac:dyDescent="0.35">
      <c r="A884" s="2"/>
    </row>
    <row r="885" spans="1:1" x14ac:dyDescent="0.35">
      <c r="A885" s="2"/>
    </row>
    <row r="886" spans="1:1" x14ac:dyDescent="0.35">
      <c r="A886" s="2"/>
    </row>
    <row r="887" spans="1:1" x14ac:dyDescent="0.35">
      <c r="A887" s="2"/>
    </row>
    <row r="888" spans="1:1" x14ac:dyDescent="0.35">
      <c r="A888" s="2"/>
    </row>
    <row r="889" spans="1:1" x14ac:dyDescent="0.35">
      <c r="A889" s="2"/>
    </row>
    <row r="890" spans="1:1" x14ac:dyDescent="0.35">
      <c r="A890" s="2"/>
    </row>
    <row r="891" spans="1:1" x14ac:dyDescent="0.35">
      <c r="A891" s="2"/>
    </row>
    <row r="892" spans="1:1" x14ac:dyDescent="0.35">
      <c r="A892" s="2"/>
    </row>
    <row r="893" spans="1:1" x14ac:dyDescent="0.35">
      <c r="A893" s="2"/>
    </row>
    <row r="894" spans="1:1" x14ac:dyDescent="0.35">
      <c r="A894" s="2"/>
    </row>
    <row r="895" spans="1:1" x14ac:dyDescent="0.35">
      <c r="A895" s="2"/>
    </row>
    <row r="896" spans="1:1" x14ac:dyDescent="0.35">
      <c r="A896" s="2"/>
    </row>
    <row r="897" spans="1:1" x14ac:dyDescent="0.35">
      <c r="A897" s="2"/>
    </row>
    <row r="898" spans="1:1" x14ac:dyDescent="0.35">
      <c r="A898" s="2"/>
    </row>
    <row r="899" spans="1:1" x14ac:dyDescent="0.35">
      <c r="A899" s="2"/>
    </row>
    <row r="900" spans="1:1" x14ac:dyDescent="0.35">
      <c r="A900" s="2"/>
    </row>
    <row r="901" spans="1:1" x14ac:dyDescent="0.35">
      <c r="A901" s="2"/>
    </row>
    <row r="902" spans="1:1" x14ac:dyDescent="0.35">
      <c r="A902" s="2"/>
    </row>
    <row r="903" spans="1:1" x14ac:dyDescent="0.35">
      <c r="A903" s="2"/>
    </row>
    <row r="904" spans="1:1" x14ac:dyDescent="0.35">
      <c r="A904" s="2"/>
    </row>
    <row r="905" spans="1:1" x14ac:dyDescent="0.35">
      <c r="A905" s="2"/>
    </row>
    <row r="906" spans="1:1" x14ac:dyDescent="0.35">
      <c r="A906" s="2"/>
    </row>
    <row r="907" spans="1:1" x14ac:dyDescent="0.35">
      <c r="A907" s="2"/>
    </row>
    <row r="908" spans="1:1" x14ac:dyDescent="0.35">
      <c r="A908" s="2"/>
    </row>
    <row r="909" spans="1:1" x14ac:dyDescent="0.35">
      <c r="A909" s="2"/>
    </row>
    <row r="910" spans="1:1" x14ac:dyDescent="0.35">
      <c r="A910" s="2"/>
    </row>
    <row r="911" spans="1:1" x14ac:dyDescent="0.35">
      <c r="A911" s="2"/>
    </row>
    <row r="912" spans="1:1" x14ac:dyDescent="0.35">
      <c r="A912" s="2"/>
    </row>
    <row r="913" spans="1:1" x14ac:dyDescent="0.35">
      <c r="A913" s="2"/>
    </row>
    <row r="914" spans="1:1" x14ac:dyDescent="0.35">
      <c r="A914" s="2"/>
    </row>
    <row r="915" spans="1:1" x14ac:dyDescent="0.35">
      <c r="A915" s="2"/>
    </row>
    <row r="916" spans="1:1" x14ac:dyDescent="0.35">
      <c r="A916" s="2"/>
    </row>
    <row r="917" spans="1:1" x14ac:dyDescent="0.35">
      <c r="A917" s="2"/>
    </row>
    <row r="918" spans="1:1" x14ac:dyDescent="0.35">
      <c r="A918" s="2"/>
    </row>
    <row r="919" spans="1:1" x14ac:dyDescent="0.35">
      <c r="A919" s="2"/>
    </row>
    <row r="920" spans="1:1" x14ac:dyDescent="0.35">
      <c r="A920" s="2"/>
    </row>
    <row r="921" spans="1:1" x14ac:dyDescent="0.35">
      <c r="A921" s="2"/>
    </row>
    <row r="922" spans="1:1" x14ac:dyDescent="0.35">
      <c r="A922" s="2"/>
    </row>
    <row r="923" spans="1:1" x14ac:dyDescent="0.35">
      <c r="A923" s="2"/>
    </row>
    <row r="924" spans="1:1" x14ac:dyDescent="0.35">
      <c r="A924" s="2"/>
    </row>
    <row r="925" spans="1:1" x14ac:dyDescent="0.35">
      <c r="A925" s="2"/>
    </row>
  </sheetData>
  <dataValidations count="1">
    <dataValidation type="list" allowBlank="1" showInputMessage="1" showErrorMessage="1" sqref="L3:L24" xr:uid="{00000000-0002-0000-0100-000000000000}">
      <formula1>"Baixa,Média,Alta"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922"/>
  <sheetViews>
    <sheetView showGridLines="0" topLeftCell="A25" workbookViewId="0">
      <selection activeCell="F31" sqref="F31"/>
    </sheetView>
  </sheetViews>
  <sheetFormatPr defaultRowHeight="14.5" x14ac:dyDescent="0.35"/>
  <cols>
    <col min="1" max="1" width="11" customWidth="1"/>
    <col min="2" max="2" width="6.81640625" customWidth="1"/>
    <col min="3" max="3" width="5.7265625" customWidth="1"/>
    <col min="4" max="4" width="26.54296875" customWidth="1"/>
    <col min="5" max="5" width="41.81640625" customWidth="1"/>
    <col min="6" max="6" width="21.1796875" customWidth="1"/>
    <col min="7" max="7" width="31.7265625" customWidth="1"/>
    <col min="8" max="8" width="20.1796875" customWidth="1"/>
    <col min="9" max="9" width="18.7265625" customWidth="1"/>
    <col min="10" max="10" width="16.54296875" customWidth="1"/>
    <col min="11" max="12" width="13" customWidth="1"/>
    <col min="13" max="13" width="12.26953125" customWidth="1"/>
    <col min="14" max="14" width="13.453125" customWidth="1"/>
    <col min="15" max="15" width="12" customWidth="1"/>
    <col min="16" max="16" width="13.81640625" customWidth="1"/>
    <col min="17" max="17" width="10.7265625" customWidth="1"/>
    <col min="18" max="22" width="14.26953125" customWidth="1"/>
    <col min="23" max="23" width="44.7265625" customWidth="1"/>
  </cols>
  <sheetData>
    <row r="1" spans="1:23" s="17" customFormat="1" ht="26" x14ac:dyDescent="0.35">
      <c r="A1" s="83" t="s">
        <v>68</v>
      </c>
      <c r="B1" s="32"/>
      <c r="C1" s="33"/>
      <c r="D1" s="33"/>
      <c r="N1" s="21"/>
      <c r="R1" s="28" t="s">
        <v>44</v>
      </c>
      <c r="S1" s="28" t="s">
        <v>44</v>
      </c>
      <c r="T1" s="29" t="s">
        <v>45</v>
      </c>
      <c r="U1" s="29" t="s">
        <v>45</v>
      </c>
    </row>
    <row r="2" spans="1:23" ht="65" x14ac:dyDescent="0.35">
      <c r="A2" s="11" t="s">
        <v>7</v>
      </c>
      <c r="B2" s="10" t="s">
        <v>8</v>
      </c>
      <c r="C2" s="10" t="s">
        <v>9</v>
      </c>
      <c r="D2" s="10" t="s">
        <v>10</v>
      </c>
      <c r="E2" s="10" t="s">
        <v>11</v>
      </c>
      <c r="F2" s="10" t="s">
        <v>12</v>
      </c>
      <c r="G2" s="10" t="s">
        <v>13</v>
      </c>
      <c r="H2" s="10" t="s">
        <v>14</v>
      </c>
      <c r="I2" s="10" t="s">
        <v>27</v>
      </c>
      <c r="J2" s="10" t="s">
        <v>22</v>
      </c>
      <c r="K2" s="10" t="s">
        <v>23</v>
      </c>
      <c r="L2" s="10" t="s">
        <v>24</v>
      </c>
      <c r="M2" s="10" t="s">
        <v>25</v>
      </c>
      <c r="N2" s="10" t="s">
        <v>26</v>
      </c>
      <c r="O2" s="10" t="s">
        <v>29</v>
      </c>
      <c r="P2" s="10" t="s">
        <v>216</v>
      </c>
      <c r="Q2" s="10" t="s">
        <v>218</v>
      </c>
      <c r="R2" s="10" t="s">
        <v>49</v>
      </c>
      <c r="S2" s="10" t="s">
        <v>50</v>
      </c>
      <c r="T2" s="10" t="s">
        <v>46</v>
      </c>
      <c r="U2" s="10" t="s">
        <v>47</v>
      </c>
      <c r="V2" s="10" t="s">
        <v>130</v>
      </c>
      <c r="W2" s="10" t="s">
        <v>238</v>
      </c>
    </row>
    <row r="3" spans="1:23" ht="143" x14ac:dyDescent="0.35">
      <c r="A3" s="59" t="str">
        <f>Tab_Estim_ANAC[[#This Row],[SEGMENTO (A)]]</f>
        <v>Formulário</v>
      </c>
      <c r="B3" s="3">
        <f>Tab_Estim_ANAC[[#This Row],[ITEM (B)]]</f>
        <v>1</v>
      </c>
      <c r="C3" s="3" t="str">
        <f>Tab_Estim_ANAC[[#This Row],[ID (C) ]]</f>
        <v>1.01</v>
      </c>
      <c r="D3" s="3" t="str">
        <f>Tab_Estim_ANAC[[#This Row],[NOME DO SERVIÇO (D)]]</f>
        <v xml:space="preserve">Parametrização de formulário </v>
      </c>
      <c r="E3" s="3" t="str">
        <f>Tab_Estim_ANAC[[#This Row],[DESCRIÇÃO DO SERVIÇO (E)]]</f>
        <v>Parametrizar formulário das áreas de negócio na solução (até 15 campos)</v>
      </c>
      <c r="F3" s="3" t="str">
        <f>Tab_Estim_ANAC[[#This Row],[PRODUTOS/ENTREGÁVEIS (F)]]</f>
        <v>Formulário parametrizado</v>
      </c>
      <c r="G3" s="3" t="str">
        <f>Tab_Estim_ANAC[[#This Row],[ATIVIDADES ESPERADAS (G)]]</f>
        <v>1. Levantar dados e informações para parametrização 2. Parametrizar campos e layouts do formulário na solução 3. Parametrizar regras de controle no formulário 4. Parametrizar notificações e layouts do formulário 5. Parametrizar workflow do formulário 6. Validar com o demandante o formulário 7. Promover ajustes no formulário 8. Disponibilizar em ambiente de produção</v>
      </c>
      <c r="H3" s="3" t="str">
        <f>IF(Tab_Estim_Empresas[[#This Row],[COMPLEXIDADE (L)]]="Baixa","Júnior",IF(Tab_Estim_Empresas[[#This Row],[COMPLEXIDADE (L)]]="Média","Pleno","Sênior"))</f>
        <v>Pleno</v>
      </c>
      <c r="I3" s="5">
        <f>IFERROR(VLOOKUP(Tab_Estim_Empresas[[#This Row],[QUALIFICAÇÃO DOS PROFISSIONAIS NECESSÁRIOS (H)]],'Custo dos Profissionais'!$A$5:$D$7,3,FALSE),"")</f>
        <v>19690.86</v>
      </c>
      <c r="J3" s="5">
        <f>IFERROR(Tab_Estim_Empresas[[#This Row],[ESTIMATIVA DO CUSTO MENSAL DO PROFISSIONAL (I)]]/(22*8),"")</f>
        <v>111.87988636363637</v>
      </c>
      <c r="K3" s="61" t="str">
        <f>Tab_Estim_ANAC[[#This Row],[PARÂMETRO (K)]]</f>
        <v>Por formulário</v>
      </c>
      <c r="L3" s="3" t="str">
        <f>Tab_Estim_ANAC[[#This Row],[COMPLEXIDADE (L)]]</f>
        <v>Média</v>
      </c>
      <c r="M3" s="3">
        <f ca="1">SUMIF(Tabela3[[ID]:[Horas estimadas]],Tab_Estim_Empresas[[#This Row],[ID (C) ]],Tabela3[Horas estimadas])</f>
        <v>88</v>
      </c>
      <c r="N3" s="19">
        <f>IFERROR(VLOOKUP(Tab_Estim_Empresas[[#This Row],[QUALIFICAÇÃO DOS PROFISSIONAIS NECESSÁRIOS (H)]],'Custo dos Profissionais'!$A$5:$D$7,4,FALSE),"")</f>
        <v>1.341342891942485</v>
      </c>
      <c r="O3" s="19">
        <f ca="1">IFERROR(M3*N3,"")</f>
        <v>118.03817449093869</v>
      </c>
      <c r="P3" s="3">
        <f>Tab_Estim_ANAC[[#This Row],[QUANTIDADE DE EXECUÇÕES PREVISTAS EM 36 MESES (P)]]</f>
        <v>9</v>
      </c>
      <c r="Q3" s="19">
        <f ca="1">IFERROR(Tab_Estim_Empresas[[#This Row],[QUANTIDADE DE UES
(O = M*N)]]*Tab_Estim_Empresas[[#This Row],[QUANTIDADE DE EXECUÇÕES PREVISTAS EM 36 MESES (P)]],"")</f>
        <v>1062.3435704184483</v>
      </c>
      <c r="R3" s="8">
        <f ca="1">IFERROR(Tab_Estim_Empresas[[#This Row],[CUSTO HORA DO PROFISSIONAL (J)]]*Tab_Estim_Empresas[[#This Row],[QUANTIDADE HORAS (M)]],"")</f>
        <v>9845.43</v>
      </c>
      <c r="S3" s="8">
        <f ca="1">IFERROR(Tab_Estim_Empresas[[#This Row],[CUSTO UNITÁRIO DO SERVIÇO (R = M*J)]]*Tab_Estim_Empresas[[#This Row],[QUANTIDADE DE EXECUÇÕES PREVISTAS EM 36 MESES (P)]],"")</f>
        <v>88608.87</v>
      </c>
      <c r="T3" s="20">
        <f ca="1">Tab_Estim_Empresas[[#This Row],[QUANTIDADE DE UES
(O = M*N)]]*'Quadro Resumo'!$J$6</f>
        <v>9845.5641342891959</v>
      </c>
      <c r="U3" s="20">
        <f ca="1">Tab_Estim_Empresas[[#This Row],[QUANTIDADE 36 MESES DE UES AJUSTADO
(Q =O*P)]]*'Quadro Resumo'!$J$6</f>
        <v>88610.077208602772</v>
      </c>
      <c r="V3" s="66">
        <f>Tab_Estim_ANAC[[#This Row],[PRAZO PARA EXECUÇÃO DO SERVIÇO (DIAS ÚTEIS)]]</f>
        <v>15</v>
      </c>
      <c r="W3" s="60" t="str">
        <f>Tab_Estim_ANAC[[#This Row],[JUSTIFICATIVA PARA QUANTIDADE DE EXECUÇÕES]]</f>
        <v>1 formulário por unidade, sendo no máximo 3 unidades por ano.</v>
      </c>
    </row>
    <row r="4" spans="1:23" ht="65" x14ac:dyDescent="0.35">
      <c r="A4" s="59" t="str">
        <f>Tab_Estim_ANAC[[#This Row],[SEGMENTO (A)]]</f>
        <v>Formulário</v>
      </c>
      <c r="B4" s="3">
        <f>Tab_Estim_ANAC[[#This Row],[ITEM (B)]]</f>
        <v>1</v>
      </c>
      <c r="C4" s="3" t="str">
        <f>Tab_Estim_ANAC[[#This Row],[ID (C) ]]</f>
        <v>1.02</v>
      </c>
      <c r="D4" s="3" t="str">
        <f>Tab_Estim_ANAC[[#This Row],[NOME DO SERVIÇO (D)]]</f>
        <v>Ajuste nos campos de formulários (baixa complexidade)</v>
      </c>
      <c r="E4" s="3" t="str">
        <f>Tab_Estim_ANAC[[#This Row],[DESCRIÇÃO DO SERVIÇO (E)]]</f>
        <v>Ajustes pontuais em formulários já elaborados</v>
      </c>
      <c r="F4" s="3" t="str">
        <f>Tab_Estim_ANAC[[#This Row],[PRODUTOS/ENTREGÁVEIS (F)]]</f>
        <v>Formulário ajustado</v>
      </c>
      <c r="G4" s="3" t="str">
        <f>Tab_Estim_ANAC[[#This Row],[ATIVIDADES ESPERADAS (G)]]</f>
        <v>1. Levantar dados e informações para ajuste 2. Ajustar campo de formulário 3. Validar com o demandante ajustes realizados 4. Disponibilizar em ambiente de produção</v>
      </c>
      <c r="H4" s="3" t="str">
        <f>IF(Tab_Estim_Empresas[[#This Row],[COMPLEXIDADE (L)]]="Baixa","Júnior",IF(Tab_Estim_Empresas[[#This Row],[COMPLEXIDADE (L)]]="Média","Pleno","Sênior"))</f>
        <v>Júnior</v>
      </c>
      <c r="I4" s="5">
        <f>IFERROR(VLOOKUP(Tab_Estim_Empresas[[#This Row],[QUALIFICAÇÃO DOS PROFISSIONAIS NECESSÁRIOS (H)]],'Custo dos Profissionais'!$A$5:$D$7,3,FALSE),"")</f>
        <v>14679.96</v>
      </c>
      <c r="J4" s="5">
        <f>IFERROR(Tab_Estim_Empresas[[#This Row],[ESTIMATIVA DO CUSTO MENSAL DO PROFISSIONAL (I)]]/(22*8),"")</f>
        <v>83.408863636363634</v>
      </c>
      <c r="K4" s="61" t="str">
        <f>Tab_Estim_ANAC[[#This Row],[PARÂMETRO (K)]]</f>
        <v>Por formulário (até 5 campos)</v>
      </c>
      <c r="L4" s="3" t="str">
        <f>Tab_Estim_ANAC[[#This Row],[COMPLEXIDADE (L)]]</f>
        <v>Baixa</v>
      </c>
      <c r="M4" s="3">
        <f ca="1">SUMIF(Tabela3[[ID]:[Horas estimadas]],Tab_Estim_Empresas[[#This Row],[ID (C) ]],Tabela3[Horas estimadas])</f>
        <v>19</v>
      </c>
      <c r="N4" s="19">
        <f>IFERROR(VLOOKUP(Tab_Estim_Empresas[[#This Row],[QUALIFICAÇÃO DOS PROFISSIONAIS NECESSÁRIOS (H)]],'Custo dos Profissionais'!$A$5:$D$7,4,FALSE),"")</f>
        <v>1</v>
      </c>
      <c r="O4" s="19">
        <f t="shared" ref="O4:O11" ca="1" si="0">IFERROR(M4*N4,"")</f>
        <v>19</v>
      </c>
      <c r="P4" s="3">
        <f>Tab_Estim_ANAC[[#This Row],[QUANTIDADE DE EXECUÇÕES PREVISTAS EM 36 MESES (P)]]</f>
        <v>18</v>
      </c>
      <c r="Q4" s="19">
        <f ca="1">IFERROR(Tab_Estim_Empresas[[#This Row],[QUANTIDADE DE UES
(O = M*N)]]*Tab_Estim_Empresas[[#This Row],[QUANTIDADE DE EXECUÇÕES PREVISTAS EM 36 MESES (P)]],"")</f>
        <v>342</v>
      </c>
      <c r="R4" s="8">
        <f ca="1">IFERROR(Tab_Estim_Empresas[[#This Row],[CUSTO HORA DO PROFISSIONAL (J)]]*Tab_Estim_Empresas[[#This Row],[QUANTIDADE HORAS (M)]],"")</f>
        <v>1584.768409090909</v>
      </c>
      <c r="S4" s="8">
        <f ca="1">IFERROR(Tab_Estim_Empresas[[#This Row],[CUSTO UNITÁRIO DO SERVIÇO (R = M*J)]]*Tab_Estim_Empresas[[#This Row],[QUANTIDADE DE EXECUÇÕES PREVISTAS EM 36 MESES (P)]],"")</f>
        <v>28525.831363636364</v>
      </c>
      <c r="T4" s="20">
        <f ca="1">Tab_Estim_Empresas[[#This Row],[QUANTIDADE DE UES
(O = M*N)]]*'Quadro Resumo'!$J$6</f>
        <v>1584.79</v>
      </c>
      <c r="U4" s="20">
        <f ca="1">Tab_Estim_Empresas[[#This Row],[QUANTIDADE 36 MESES DE UES AJUSTADO
(Q =O*P)]]*'Quadro Resumo'!$J$6</f>
        <v>28526.219999999998</v>
      </c>
      <c r="V4" s="66">
        <f>Tab_Estim_ANAC[[#This Row],[PRAZO PARA EXECUÇÃO DO SERVIÇO (DIAS ÚTEIS)]]</f>
        <v>5</v>
      </c>
      <c r="W4" s="60" t="str">
        <f>Tab_Estim_ANAC[[#This Row],[JUSTIFICATIVA PARA QUANTIDADE DE EXECUÇÕES]]</f>
        <v>2 ajustes por unidade, sendo no máximo 3 unidades por ano.</v>
      </c>
    </row>
    <row r="5" spans="1:23" ht="68.25" customHeight="1" x14ac:dyDescent="0.35">
      <c r="A5" s="59" t="str">
        <f>Tab_Estim_ANAC[[#This Row],[SEGMENTO (A)]]</f>
        <v>Formulário</v>
      </c>
      <c r="B5" s="3">
        <f>Tab_Estim_ANAC[[#This Row],[ITEM (B)]]</f>
        <v>2</v>
      </c>
      <c r="C5" s="3" t="str">
        <f>Tab_Estim_ANAC[[#This Row],[ID (C) ]]</f>
        <v>1.03</v>
      </c>
      <c r="D5" s="3" t="str">
        <f>Tab_Estim_ANAC[[#This Row],[NOME DO SERVIÇO (D)]]</f>
        <v>Ajuste nos campos de formulários (média complexidade)</v>
      </c>
      <c r="E5" s="3" t="str">
        <f>Tab_Estim_ANAC[[#This Row],[DESCRIÇÃO DO SERVIÇO (E)]]</f>
        <v>Ajustes pontuais em formulários já elaborados</v>
      </c>
      <c r="F5" s="3" t="str">
        <f>Tab_Estim_ANAC[[#This Row],[PRODUTOS/ENTREGÁVEIS (F)]]</f>
        <v>Formulário ajustado</v>
      </c>
      <c r="G5" s="3" t="str">
        <f>Tab_Estim_ANAC[[#This Row],[ATIVIDADES ESPERADAS (G)]]</f>
        <v>1. Levantar dados e informações para ajuste 2. Ajustar campo de formulário 3. Validar com o demandante ajustes realizados 4. Disponibilizar em ambiente de produção</v>
      </c>
      <c r="H5" s="3" t="str">
        <f>IF(Tab_Estim_Empresas[[#This Row],[COMPLEXIDADE (L)]]="Baixa","Júnior",IF(Tab_Estim_Empresas[[#This Row],[COMPLEXIDADE (L)]]="Média","Pleno","Sênior"))</f>
        <v>Pleno</v>
      </c>
      <c r="I5" s="5">
        <f>IFERROR(VLOOKUP(Tab_Estim_Empresas[[#This Row],[QUALIFICAÇÃO DOS PROFISSIONAIS NECESSÁRIOS (H)]],'Custo dos Profissionais'!$A$5:$D$7,3,FALSE),"")</f>
        <v>19690.86</v>
      </c>
      <c r="J5" s="5">
        <f>IFERROR(Tab_Estim_Empresas[[#This Row],[ESTIMATIVA DO CUSTO MENSAL DO PROFISSIONAL (I)]]/(22*8),"")</f>
        <v>111.87988636363637</v>
      </c>
      <c r="K5" s="61" t="str">
        <f>Tab_Estim_ANAC[[#This Row],[PARÂMETRO (K)]]</f>
        <v>Por formulário (até 5 campos)</v>
      </c>
      <c r="L5" s="3" t="str">
        <f>Tab_Estim_ANAC[[#This Row],[COMPLEXIDADE (L)]]</f>
        <v>Média</v>
      </c>
      <c r="M5" s="3">
        <f ca="1">SUMIF(Tabela3[[ID]:[Horas estimadas]],Tab_Estim_Empresas[[#This Row],[ID (C) ]],Tabela3[Horas estimadas])</f>
        <v>19</v>
      </c>
      <c r="N5" s="19">
        <f>IFERROR(VLOOKUP(Tab_Estim_Empresas[[#This Row],[QUALIFICAÇÃO DOS PROFISSIONAIS NECESSÁRIOS (H)]],'Custo dos Profissionais'!$A$5:$D$7,4,FALSE),"")</f>
        <v>1.341342891942485</v>
      </c>
      <c r="O5" s="19">
        <f t="shared" ca="1" si="0"/>
        <v>25.485514946907216</v>
      </c>
      <c r="P5" s="3">
        <f>Tab_Estim_ANAC[[#This Row],[QUANTIDADE DE EXECUÇÕES PREVISTAS EM 36 MESES (P)]]</f>
        <v>18</v>
      </c>
      <c r="Q5" s="19">
        <f ca="1">IFERROR(Tab_Estim_Empresas[[#This Row],[QUANTIDADE DE UES
(O = M*N)]]*Tab_Estim_Empresas[[#This Row],[QUANTIDADE DE EXECUÇÕES PREVISTAS EM 36 MESES (P)]],"")</f>
        <v>458.73926904432989</v>
      </c>
      <c r="R5" s="8">
        <f ca="1">IFERROR(Tab_Estim_Empresas[[#This Row],[CUSTO HORA DO PROFISSIONAL (J)]]*Tab_Estim_Empresas[[#This Row],[QUANTIDADE HORAS (M)]],"")</f>
        <v>2125.7178409090911</v>
      </c>
      <c r="S5" s="8">
        <f ca="1">IFERROR(Tab_Estim_Empresas[[#This Row],[CUSTO UNITÁRIO DO SERVIÇO (R = M*J)]]*Tab_Estim_Empresas[[#This Row],[QUANTIDADE DE EXECUÇÕES PREVISTAS EM 36 MESES (P)]],"")</f>
        <v>38262.921136363642</v>
      </c>
      <c r="T5" s="20">
        <f ca="1">Tab_Estim_Empresas[[#This Row],[QUANTIDADE DE UES
(O = M*N)]]*'Quadro Resumo'!$J$6</f>
        <v>2125.7468017215306</v>
      </c>
      <c r="U5" s="20">
        <f ca="1">Tab_Estim_Empresas[[#This Row],[QUANTIDADE 36 MESES DE UES AJUSTADO
(Q =O*P)]]*'Quadro Resumo'!$J$6</f>
        <v>38263.442430987554</v>
      </c>
      <c r="V5" s="66">
        <f>Tab_Estim_ANAC[[#This Row],[PRAZO PARA EXECUÇÃO DO SERVIÇO (DIAS ÚTEIS)]]</f>
        <v>5</v>
      </c>
      <c r="W5" s="60" t="str">
        <f>Tab_Estim_ANAC[[#This Row],[JUSTIFICATIVA PARA QUANTIDADE DE EXECUÇÕES]]</f>
        <v>2 ajustes por unidade, sendo no máximo 3 unidades por ano.</v>
      </c>
    </row>
    <row r="6" spans="1:23" ht="99.75" customHeight="1" x14ac:dyDescent="0.35">
      <c r="A6" s="59" t="str">
        <f>Tab_Estim_ANAC[[#This Row],[SEGMENTO (A)]]</f>
        <v>Relatórios</v>
      </c>
      <c r="B6" s="3">
        <f>Tab_Estim_ANAC[[#This Row],[ITEM (B)]]</f>
        <v>2</v>
      </c>
      <c r="C6" s="3" t="str">
        <f>Tab_Estim_ANAC[[#This Row],[ID (C) ]]</f>
        <v>2.01</v>
      </c>
      <c r="D6" s="3" t="str">
        <f>Tab_Estim_ANAC[[#This Row],[NOME DO SERVIÇO (D)]]</f>
        <v>Parametrização de relatório</v>
      </c>
      <c r="E6" s="3" t="str">
        <f>Tab_Estim_ANAC[[#This Row],[DESCRIÇÃO DO SERVIÇO (E)]]</f>
        <v>Parametrizar relatório das áreas de negócio na solução</v>
      </c>
      <c r="F6" s="3" t="str">
        <f>Tab_Estim_ANAC[[#This Row],[PRODUTOS/ENTREGÁVEIS (F)]]</f>
        <v>Relatório parametrizado</v>
      </c>
      <c r="G6" s="3" t="str">
        <f>Tab_Estim_ANAC[[#This Row],[ATIVIDADES ESPERADAS (G)]]</f>
        <v>1. Levantar dados e informações para parametrização 2. Parametrizar o relatório na solução 3. Validar com o demandante o relatório 4. Promover ajustes no relatório 5. Disponibilizar em ambiente de produção</v>
      </c>
      <c r="H6" s="3" t="str">
        <f>IF(Tab_Estim_Empresas[[#This Row],[COMPLEXIDADE (L)]]="Baixa","Júnior",IF(Tab_Estim_Empresas[[#This Row],[COMPLEXIDADE (L)]]="Média","Pleno","Sênior"))</f>
        <v>Pleno</v>
      </c>
      <c r="I6" s="5">
        <f>IFERROR(VLOOKUP(Tab_Estim_Empresas[[#This Row],[QUALIFICAÇÃO DOS PROFISSIONAIS NECESSÁRIOS (H)]],'Custo dos Profissionais'!$A$5:$D$7,3,FALSE),"")</f>
        <v>19690.86</v>
      </c>
      <c r="J6" s="5">
        <f>IFERROR(Tab_Estim_Empresas[[#This Row],[ESTIMATIVA DO CUSTO MENSAL DO PROFISSIONAL (I)]]/(22*8),"")</f>
        <v>111.87988636363637</v>
      </c>
      <c r="K6" s="61" t="str">
        <f>Tab_Estim_ANAC[[#This Row],[PARÂMETRO (K)]]</f>
        <v>Por relatório</v>
      </c>
      <c r="L6" s="3" t="str">
        <f>Tab_Estim_ANAC[[#This Row],[COMPLEXIDADE (L)]]</f>
        <v>Média</v>
      </c>
      <c r="M6" s="3">
        <f ca="1">SUMIF(Tabela3[[ID]:[Horas estimadas]],Tab_Estim_Empresas[[#This Row],[ID (C) ]],Tabela3[Horas estimadas])</f>
        <v>44</v>
      </c>
      <c r="N6" s="19">
        <f>IFERROR(VLOOKUP(Tab_Estim_Empresas[[#This Row],[QUALIFICAÇÃO DOS PROFISSIONAIS NECESSÁRIOS (H)]],'Custo dos Profissionais'!$A$5:$D$7,4,FALSE),"")</f>
        <v>1.341342891942485</v>
      </c>
      <c r="O6" s="19">
        <f t="shared" ca="1" si="0"/>
        <v>59.019087245469343</v>
      </c>
      <c r="P6" s="3">
        <f>Tab_Estim_ANAC[[#This Row],[QUANTIDADE DE EXECUÇÕES PREVISTAS EM 36 MESES (P)]]</f>
        <v>18</v>
      </c>
      <c r="Q6" s="19">
        <f ca="1">IFERROR(Tab_Estim_Empresas[[#This Row],[QUANTIDADE DE UES
(O = M*N)]]*Tab_Estim_Empresas[[#This Row],[QUANTIDADE DE EXECUÇÕES PREVISTAS EM 36 MESES (P)]],"")</f>
        <v>1062.3435704184483</v>
      </c>
      <c r="R6" s="8">
        <f ca="1">IFERROR(Tab_Estim_Empresas[[#This Row],[CUSTO HORA DO PROFISSIONAL (J)]]*Tab_Estim_Empresas[[#This Row],[QUANTIDADE HORAS (M)]],"")</f>
        <v>4922.7150000000001</v>
      </c>
      <c r="S6" s="8">
        <f ca="1">IFERROR(Tab_Estim_Empresas[[#This Row],[CUSTO UNITÁRIO DO SERVIÇO (R = M*J)]]*Tab_Estim_Empresas[[#This Row],[QUANTIDADE DE EXECUÇÕES PREVISTAS EM 36 MESES (P)]],"")</f>
        <v>88608.87</v>
      </c>
      <c r="T6" s="20">
        <f ca="1">Tab_Estim_Empresas[[#This Row],[QUANTIDADE DE UES
(O = M*N)]]*'Quadro Resumo'!$J$6</f>
        <v>4922.7820671445979</v>
      </c>
      <c r="U6" s="20">
        <f ca="1">Tab_Estim_Empresas[[#This Row],[QUANTIDADE 36 MESES DE UES AJUSTADO
(Q =O*P)]]*'Quadro Resumo'!$J$6</f>
        <v>88610.077208602772</v>
      </c>
      <c r="V6" s="66">
        <f>Tab_Estim_ANAC[[#This Row],[PRAZO PARA EXECUÇÃO DO SERVIÇO (DIAS ÚTEIS)]]</f>
        <v>8</v>
      </c>
      <c r="W6" s="60" t="str">
        <f>Tab_Estim_ANAC[[#This Row],[JUSTIFICATIVA PARA QUANTIDADE DE EXECUÇÕES]]</f>
        <v>2 relatórios por unidade, sendo no máximo 3 unidades por ano.</v>
      </c>
    </row>
    <row r="7" spans="1:23" ht="91.5" customHeight="1" x14ac:dyDescent="0.35">
      <c r="A7" s="59" t="str">
        <f>Tab_Estim_ANAC[[#This Row],[SEGMENTO (A)]]</f>
        <v>Relatórios</v>
      </c>
      <c r="B7" s="3">
        <f>Tab_Estim_ANAC[[#This Row],[ITEM (B)]]</f>
        <v>2</v>
      </c>
      <c r="C7" s="3" t="str">
        <f>Tab_Estim_ANAC[[#This Row],[ID (C) ]]</f>
        <v>2.02</v>
      </c>
      <c r="D7" s="3" t="str">
        <f>Tab_Estim_ANAC[[#This Row],[NOME DO SERVIÇO (D)]]</f>
        <v>Ajuste em campos de relatório (baixa complexidade)</v>
      </c>
      <c r="E7" s="3" t="str">
        <f>Tab_Estim_ANAC[[#This Row],[DESCRIÇÃO DO SERVIÇO (E)]]</f>
        <v>Ajustes pontuais em relatórios já elaborados</v>
      </c>
      <c r="F7" s="3" t="str">
        <f>Tab_Estim_ANAC[[#This Row],[PRODUTOS/ENTREGÁVEIS (F)]]</f>
        <v>Relatório ajustado</v>
      </c>
      <c r="G7" s="3" t="str">
        <f>Tab_Estim_ANAC[[#This Row],[ATIVIDADES ESPERADAS (G)]]</f>
        <v>1. Levantar dados e informações para ajuste 2. Ajustar campo do relatório 3. Validar com o demandante o rela e promover ajustes 4. Disponibilizar em ambiente de produção</v>
      </c>
      <c r="H7" s="3" t="str">
        <f>IF(Tab_Estim_Empresas[[#This Row],[COMPLEXIDADE (L)]]="Baixa","Júnior",IF(Tab_Estim_Empresas[[#This Row],[COMPLEXIDADE (L)]]="Média","Pleno","Sênior"))</f>
        <v>Júnior</v>
      </c>
      <c r="I7" s="5">
        <f>IFERROR(VLOOKUP(Tab_Estim_Empresas[[#This Row],[QUALIFICAÇÃO DOS PROFISSIONAIS NECESSÁRIOS (H)]],'Custo dos Profissionais'!$A$5:$D$7,3,FALSE),"")</f>
        <v>14679.96</v>
      </c>
      <c r="J7" s="5">
        <f>IFERROR(Tab_Estim_Empresas[[#This Row],[ESTIMATIVA DO CUSTO MENSAL DO PROFISSIONAL (I)]]/(22*8),"")</f>
        <v>83.408863636363634</v>
      </c>
      <c r="K7" s="61" t="str">
        <f>Tab_Estim_ANAC[[#This Row],[PARÂMETRO (K)]]</f>
        <v>Por relatório (até 5 campos)</v>
      </c>
      <c r="L7" s="3" t="str">
        <f>Tab_Estim_ANAC[[#This Row],[COMPLEXIDADE (L)]]</f>
        <v>Baixa</v>
      </c>
      <c r="M7" s="3">
        <f ca="1">SUMIF(Tabela3[[ID]:[Horas estimadas]],Tab_Estim_Empresas[[#This Row],[ID (C) ]],Tabela3[Horas estimadas])</f>
        <v>14</v>
      </c>
      <c r="N7" s="19">
        <f>IFERROR(VLOOKUP(Tab_Estim_Empresas[[#This Row],[QUALIFICAÇÃO DOS PROFISSIONAIS NECESSÁRIOS (H)]],'Custo dos Profissionais'!$A$5:$D$7,4,FALSE),"")</f>
        <v>1</v>
      </c>
      <c r="O7" s="19">
        <f t="shared" ca="1" si="0"/>
        <v>14</v>
      </c>
      <c r="P7" s="3">
        <f>Tab_Estim_ANAC[[#This Row],[QUANTIDADE DE EXECUÇÕES PREVISTAS EM 36 MESES (P)]]</f>
        <v>18</v>
      </c>
      <c r="Q7" s="19">
        <f ca="1">IFERROR(Tab_Estim_Empresas[[#This Row],[QUANTIDADE DE UES
(O = M*N)]]*Tab_Estim_Empresas[[#This Row],[QUANTIDADE DE EXECUÇÕES PREVISTAS EM 36 MESES (P)]],"")</f>
        <v>252</v>
      </c>
      <c r="R7" s="8">
        <f ca="1">IFERROR(Tab_Estim_Empresas[[#This Row],[CUSTO HORA DO PROFISSIONAL (J)]]*Tab_Estim_Empresas[[#This Row],[QUANTIDADE HORAS (M)]],"")</f>
        <v>1167.7240909090908</v>
      </c>
      <c r="S7" s="8">
        <f ca="1">IFERROR(Tab_Estim_Empresas[[#This Row],[CUSTO UNITÁRIO DO SERVIÇO (R = M*J)]]*Tab_Estim_Empresas[[#This Row],[QUANTIDADE DE EXECUÇÕES PREVISTAS EM 36 MESES (P)]],"")</f>
        <v>21019.033636363634</v>
      </c>
      <c r="T7" s="20">
        <f ca="1">Tab_Estim_Empresas[[#This Row],[QUANTIDADE DE UES
(O = M*N)]]*'Quadro Resumo'!$J$6</f>
        <v>1167.74</v>
      </c>
      <c r="U7" s="20">
        <f ca="1">Tab_Estim_Empresas[[#This Row],[QUANTIDADE 36 MESES DE UES AJUSTADO
(Q =O*P)]]*'Quadro Resumo'!$J$6</f>
        <v>21019.32</v>
      </c>
      <c r="V7" s="66">
        <f>Tab_Estim_ANAC[[#This Row],[PRAZO PARA EXECUÇÃO DO SERVIÇO (DIAS ÚTEIS)]]</f>
        <v>5</v>
      </c>
      <c r="W7" s="60" t="str">
        <f>Tab_Estim_ANAC[[#This Row],[JUSTIFICATIVA PARA QUANTIDADE DE EXECUÇÕES]]</f>
        <v>2 relatórios por unidade para ajuste, sendo no máximo 3 unidades por ano.</v>
      </c>
    </row>
    <row r="8" spans="1:23" ht="72.75" customHeight="1" x14ac:dyDescent="0.35">
      <c r="A8" s="59" t="str">
        <f>Tab_Estim_ANAC[[#This Row],[SEGMENTO (A)]]</f>
        <v>Relatórios</v>
      </c>
      <c r="B8" s="3">
        <f>Tab_Estim_ANAC[[#This Row],[ITEM (B)]]</f>
        <v>2</v>
      </c>
      <c r="C8" s="3" t="str">
        <f>Tab_Estim_ANAC[[#This Row],[ID (C) ]]</f>
        <v>2.03</v>
      </c>
      <c r="D8" s="3" t="str">
        <f>Tab_Estim_ANAC[[#This Row],[NOME DO SERVIÇO (D)]]</f>
        <v>Ajuste em campos de relatório (média complexidade)</v>
      </c>
      <c r="E8" s="3" t="str">
        <f>Tab_Estim_ANAC[[#This Row],[DESCRIÇÃO DO SERVIÇO (E)]]</f>
        <v>Ajustes pontuais em relatórios já elaborados</v>
      </c>
      <c r="F8" s="3" t="str">
        <f>Tab_Estim_ANAC[[#This Row],[PRODUTOS/ENTREGÁVEIS (F)]]</f>
        <v>Relatório ajustado</v>
      </c>
      <c r="G8" s="3" t="str">
        <f>Tab_Estim_ANAC[[#This Row],[ATIVIDADES ESPERADAS (G)]]</f>
        <v>1. Levantar dados e informações para ajuste 2. Ajustar campo do relatório 3. Validar com o demandante o rela e promover ajustes 4. Disponibilizar em ambiente de produção</v>
      </c>
      <c r="H8" s="3" t="str">
        <f>IF(Tab_Estim_Empresas[[#This Row],[COMPLEXIDADE (L)]]="Baixa","Júnior",IF(Tab_Estim_Empresas[[#This Row],[COMPLEXIDADE (L)]]="Média","Pleno","Sênior"))</f>
        <v>Pleno</v>
      </c>
      <c r="I8" s="5">
        <f>IFERROR(VLOOKUP(Tab_Estim_Empresas[[#This Row],[QUALIFICAÇÃO DOS PROFISSIONAIS NECESSÁRIOS (H)]],'Custo dos Profissionais'!$A$5:$D$7,3,FALSE),"")</f>
        <v>19690.86</v>
      </c>
      <c r="J8" s="5">
        <f>IFERROR(Tab_Estim_Empresas[[#This Row],[ESTIMATIVA DO CUSTO MENSAL DO PROFISSIONAL (I)]]/(22*8),"")</f>
        <v>111.87988636363637</v>
      </c>
      <c r="K8" s="61" t="str">
        <f>Tab_Estim_ANAC[[#This Row],[PARÂMETRO (K)]]</f>
        <v>Por relatório (até 5 campos)</v>
      </c>
      <c r="L8" s="3" t="str">
        <f>Tab_Estim_ANAC[[#This Row],[COMPLEXIDADE (L)]]</f>
        <v>Média</v>
      </c>
      <c r="M8" s="3">
        <f ca="1">SUMIF(Tabela3[[ID]:[Horas estimadas]],Tab_Estim_Empresas[[#This Row],[ID (C) ]],Tabela3[Horas estimadas])</f>
        <v>18</v>
      </c>
      <c r="N8" s="19">
        <f>IFERROR(VLOOKUP(Tab_Estim_Empresas[[#This Row],[QUALIFICAÇÃO DOS PROFISSIONAIS NECESSÁRIOS (H)]],'Custo dos Profissionais'!$A$5:$D$7,4,FALSE),"")</f>
        <v>1.341342891942485</v>
      </c>
      <c r="O8" s="19">
        <f t="shared" ca="1" si="0"/>
        <v>24.144172054964731</v>
      </c>
      <c r="P8" s="3">
        <f>Tab_Estim_ANAC[[#This Row],[QUANTIDADE DE EXECUÇÕES PREVISTAS EM 36 MESES (P)]]</f>
        <v>18</v>
      </c>
      <c r="Q8" s="19">
        <f ca="1">IFERROR(Tab_Estim_Empresas[[#This Row],[QUANTIDADE DE UES
(O = M*N)]]*Tab_Estim_Empresas[[#This Row],[QUANTIDADE DE EXECUÇÕES PREVISTAS EM 36 MESES (P)]],"")</f>
        <v>434.59509698936517</v>
      </c>
      <c r="R8" s="8">
        <f ca="1">IFERROR(Tab_Estim_Empresas[[#This Row],[CUSTO HORA DO PROFISSIONAL (J)]]*Tab_Estim_Empresas[[#This Row],[QUANTIDADE HORAS (M)]],"")</f>
        <v>2013.8379545454547</v>
      </c>
      <c r="S8" s="8">
        <f ca="1">IFERROR(Tab_Estim_Empresas[[#This Row],[CUSTO UNITÁRIO DO SERVIÇO (R = M*J)]]*Tab_Estim_Empresas[[#This Row],[QUANTIDADE DE EXECUÇÕES PREVISTAS EM 36 MESES (P)]],"")</f>
        <v>36249.083181818183</v>
      </c>
      <c r="T8" s="20">
        <f ca="1">Tab_Estim_Empresas[[#This Row],[QUANTIDADE DE UES
(O = M*N)]]*'Quadro Resumo'!$J$6</f>
        <v>2013.8653911046081</v>
      </c>
      <c r="U8" s="20">
        <f ca="1">Tab_Estim_Empresas[[#This Row],[QUANTIDADE 36 MESES DE UES AJUSTADO
(Q =O*P)]]*'Quadro Resumo'!$J$6</f>
        <v>36249.577039882948</v>
      </c>
      <c r="V8" s="66">
        <f>Tab_Estim_ANAC[[#This Row],[PRAZO PARA EXECUÇÃO DO SERVIÇO (DIAS ÚTEIS)]]</f>
        <v>5</v>
      </c>
      <c r="W8" s="60" t="str">
        <f>Tab_Estim_ANAC[[#This Row],[JUSTIFICATIVA PARA QUANTIDADE DE EXECUÇÕES]]</f>
        <v>2 relatórios por unidade para ajuste, sendo no máximo 3 unidades por ano.</v>
      </c>
    </row>
    <row r="9" spans="1:23" ht="96" customHeight="1" x14ac:dyDescent="0.35">
      <c r="A9" s="59" t="str">
        <f>Tab_Estim_ANAC[[#This Row],[SEGMENTO (A)]]</f>
        <v>Painéis visuais/Dashboards/Gráficos</v>
      </c>
      <c r="B9" s="3">
        <f>Tab_Estim_ANAC[[#This Row],[ITEM (B)]]</f>
        <v>3</v>
      </c>
      <c r="C9" s="3" t="str">
        <f>Tab_Estim_ANAC[[#This Row],[ID (C) ]]</f>
        <v>3.01</v>
      </c>
      <c r="D9" s="3" t="str">
        <f>Tab_Estim_ANAC[[#This Row],[NOME DO SERVIÇO (D)]]</f>
        <v>Parametrização de painel visual/dashboard/gráfico</v>
      </c>
      <c r="E9" s="3" t="str">
        <f>Tab_Estim_ANAC[[#This Row],[DESCRIÇÃO DO SERVIÇO (E)]]</f>
        <v>Parametrizar paineis visuais na solução (até 6 gráficos)</v>
      </c>
      <c r="F9" s="3" t="str">
        <f>Tab_Estim_ANAC[[#This Row],[PRODUTOS/ENTREGÁVEIS (F)]]</f>
        <v>Painel visual ou dahsboard parametrizado com atualização periódica configurada</v>
      </c>
      <c r="G9" s="3" t="str">
        <f>Tab_Estim_ANAC[[#This Row],[ATIVIDADES ESPERADAS (G)]]</f>
        <v>1. Levantar dados e informações para parametrização 2. Parametrizar o painel/dashboard na solução 3. Validar com o demandante o painel elaborado 4. Promover ajustes no painel/dashboard 5. Disponibilizar em ambiente de produção</v>
      </c>
      <c r="H9" s="3" t="str">
        <f>IF(Tab_Estim_Empresas[[#This Row],[COMPLEXIDADE (L)]]="Baixa","Júnior",IF(Tab_Estim_Empresas[[#This Row],[COMPLEXIDADE (L)]]="Média","Pleno","Sênior"))</f>
        <v>Pleno</v>
      </c>
      <c r="I9" s="5">
        <f>IFERROR(VLOOKUP(Tab_Estim_Empresas[[#This Row],[QUALIFICAÇÃO DOS PROFISSIONAIS NECESSÁRIOS (H)]],'Custo dos Profissionais'!$A$5:$D$7,3,FALSE),"")</f>
        <v>19690.86</v>
      </c>
      <c r="J9" s="5">
        <f>IFERROR(Tab_Estim_Empresas[[#This Row],[ESTIMATIVA DO CUSTO MENSAL DO PROFISSIONAL (I)]]/(22*8),"")</f>
        <v>111.87988636363637</v>
      </c>
      <c r="K9" s="61" t="str">
        <f>Tab_Estim_ANAC[[#This Row],[PARÂMETRO (K)]]</f>
        <v>Por painel/dashboard</v>
      </c>
      <c r="L9" s="3" t="str">
        <f>Tab_Estim_ANAC[[#This Row],[COMPLEXIDADE (L)]]</f>
        <v>Média</v>
      </c>
      <c r="M9" s="3">
        <f ca="1">SUMIF(Tabela3[[ID]:[Horas estimadas]],Tab_Estim_Empresas[[#This Row],[ID (C) ]],Tabela3[Horas estimadas])</f>
        <v>32</v>
      </c>
      <c r="N9" s="19">
        <f>IFERROR(VLOOKUP(Tab_Estim_Empresas[[#This Row],[QUALIFICAÇÃO DOS PROFISSIONAIS NECESSÁRIOS (H)]],'Custo dos Profissionais'!$A$5:$D$7,4,FALSE),"")</f>
        <v>1.341342891942485</v>
      </c>
      <c r="O9" s="19">
        <f t="shared" ca="1" si="0"/>
        <v>42.922972542159521</v>
      </c>
      <c r="P9" s="3">
        <f>Tab_Estim_ANAC[[#This Row],[QUANTIDADE DE EXECUÇÕES PREVISTAS EM 36 MESES (P)]]</f>
        <v>18</v>
      </c>
      <c r="Q9" s="19">
        <f ca="1">IFERROR(Tab_Estim_Empresas[[#This Row],[QUANTIDADE DE UES
(O = M*N)]]*Tab_Estim_Empresas[[#This Row],[QUANTIDADE DE EXECUÇÕES PREVISTAS EM 36 MESES (P)]],"")</f>
        <v>772.61350575887138</v>
      </c>
      <c r="R9" s="8">
        <f ca="1">IFERROR(Tab_Estim_Empresas[[#This Row],[CUSTO HORA DO PROFISSIONAL (J)]]*Tab_Estim_Empresas[[#This Row],[QUANTIDADE HORAS (M)]],"")</f>
        <v>3580.1563636363639</v>
      </c>
      <c r="S9" s="8">
        <f ca="1">IFERROR(Tab_Estim_Empresas[[#This Row],[CUSTO UNITÁRIO DO SERVIÇO (R = M*J)]]*Tab_Estim_Empresas[[#This Row],[QUANTIDADE DE EXECUÇÕES PREVISTAS EM 36 MESES (P)]],"")</f>
        <v>64442.814545454552</v>
      </c>
      <c r="T9" s="20">
        <f ca="1">Tab_Estim_Empresas[[#This Row],[QUANTIDADE DE UES
(O = M*N)]]*'Quadro Resumo'!$J$6</f>
        <v>3580.2051397415253</v>
      </c>
      <c r="U9" s="20">
        <f ca="1">Tab_Estim_Empresas[[#This Row],[QUANTIDADE 36 MESES DE UES AJUSTADO
(Q =O*P)]]*'Quadro Resumo'!$J$6</f>
        <v>64443.692515347459</v>
      </c>
      <c r="V9" s="66">
        <f>Tab_Estim_ANAC[[#This Row],[PRAZO PARA EXECUÇÃO DO SERVIÇO (DIAS ÚTEIS)]]</f>
        <v>8</v>
      </c>
      <c r="W9" s="60" t="str">
        <f>Tab_Estim_ANAC[[#This Row],[JUSTIFICATIVA PARA QUANTIDADE DE EXECUÇÕES]]</f>
        <v>2 paineis por unidade, sendo 3 unidades por ano</v>
      </c>
    </row>
    <row r="10" spans="1:23" ht="86.25" customHeight="1" x14ac:dyDescent="0.35">
      <c r="A10" s="59" t="str">
        <f>Tab_Estim_ANAC[[#This Row],[SEGMENTO (A)]]</f>
        <v>Painéis visuais/Dashboards/Gráficos</v>
      </c>
      <c r="B10" s="3">
        <f>Tab_Estim_ANAC[[#This Row],[ITEM (B)]]</f>
        <v>3</v>
      </c>
      <c r="C10" s="3" t="str">
        <f>Tab_Estim_ANAC[[#This Row],[ID (C) ]]</f>
        <v>3.02</v>
      </c>
      <c r="D10" s="3" t="str">
        <f>Tab_Estim_ANAC[[#This Row],[NOME DO SERVIÇO (D)]]</f>
        <v>Ajuste em gráfico do painel/dashboard</v>
      </c>
      <c r="E10" s="3" t="str">
        <f>Tab_Estim_ANAC[[#This Row],[DESCRIÇÃO DO SERVIÇO (E)]]</f>
        <v>Ajustes gráficos específicos dos paineis já elaborados</v>
      </c>
      <c r="F10" s="3" t="str">
        <f>Tab_Estim_ANAC[[#This Row],[PRODUTOS/ENTREGÁVEIS (F)]]</f>
        <v>Gráfico ajustado</v>
      </c>
      <c r="G10" s="3" t="str">
        <f>Tab_Estim_ANAC[[#This Row],[ATIVIDADES ESPERADAS (G)]]</f>
        <v>1. Levantar dados e informações para ajuste 2. Ajustar gráfico do painel/dashboard 3. Validar com o demandante o painel elaborado e promover ajustes 4. Disponibilizar em ambiente de produção</v>
      </c>
      <c r="H10" s="3" t="str">
        <f>IF(Tab_Estim_Empresas[[#This Row],[COMPLEXIDADE (L)]]="Baixa","Júnior",IF(Tab_Estim_Empresas[[#This Row],[COMPLEXIDADE (L)]]="Média","Pleno","Sênior"))</f>
        <v>Pleno</v>
      </c>
      <c r="I10" s="5">
        <f>IFERROR(VLOOKUP(Tab_Estim_Empresas[[#This Row],[QUALIFICAÇÃO DOS PROFISSIONAIS NECESSÁRIOS (H)]],'Custo dos Profissionais'!$A$5:$D$7,3,FALSE),"")</f>
        <v>19690.86</v>
      </c>
      <c r="J10" s="5">
        <f>IFERROR(Tab_Estim_Empresas[[#This Row],[ESTIMATIVA DO CUSTO MENSAL DO PROFISSIONAL (I)]]/(22*8),"")</f>
        <v>111.87988636363637</v>
      </c>
      <c r="K10" s="61" t="str">
        <f>Tab_Estim_ANAC[[#This Row],[PARÂMETRO (K)]]</f>
        <v>Por painel/dashboard (até 2 gráficos)</v>
      </c>
      <c r="L10" s="3" t="str">
        <f>Tab_Estim_ANAC[[#This Row],[COMPLEXIDADE (L)]]</f>
        <v>Média</v>
      </c>
      <c r="M10" s="3">
        <f ca="1">SUMIF(Tabela3[[ID]:[Horas estimadas]],Tab_Estim_Empresas[[#This Row],[ID (C) ]],Tabela3[Horas estimadas])</f>
        <v>12</v>
      </c>
      <c r="N10" s="19">
        <f>IFERROR(VLOOKUP(Tab_Estim_Empresas[[#This Row],[QUALIFICAÇÃO DOS PROFISSIONAIS NECESSÁRIOS (H)]],'Custo dos Profissionais'!$A$5:$D$7,4,FALSE),"")</f>
        <v>1.341342891942485</v>
      </c>
      <c r="O10" s="19">
        <f t="shared" ca="1" si="0"/>
        <v>16.096114703309819</v>
      </c>
      <c r="P10" s="3">
        <f>Tab_Estim_ANAC[[#This Row],[QUANTIDADE DE EXECUÇÕES PREVISTAS EM 36 MESES (P)]]</f>
        <v>9</v>
      </c>
      <c r="Q10" s="19">
        <f ca="1">IFERROR(Tab_Estim_Empresas[[#This Row],[QUANTIDADE DE UES
(O = M*N)]]*Tab_Estim_Empresas[[#This Row],[QUANTIDADE DE EXECUÇÕES PREVISTAS EM 36 MESES (P)]],"")</f>
        <v>144.86503232978836</v>
      </c>
      <c r="R10" s="8">
        <f ca="1">IFERROR(Tab_Estim_Empresas[[#This Row],[CUSTO HORA DO PROFISSIONAL (J)]]*Tab_Estim_Empresas[[#This Row],[QUANTIDADE HORAS (M)]],"")</f>
        <v>1342.5586363636364</v>
      </c>
      <c r="S10" s="8">
        <f ca="1">IFERROR(Tab_Estim_Empresas[[#This Row],[CUSTO UNITÁRIO DO SERVIÇO (R = M*J)]]*Tab_Estim_Empresas[[#This Row],[QUANTIDADE DE EXECUÇÕES PREVISTAS EM 36 MESES (P)]],"")</f>
        <v>12083.027727272727</v>
      </c>
      <c r="T10" s="20">
        <f ca="1">Tab_Estim_Empresas[[#This Row],[QUANTIDADE DE UES
(O = M*N)]]*'Quadro Resumo'!$J$6</f>
        <v>1342.576927403072</v>
      </c>
      <c r="U10" s="20">
        <f ca="1">Tab_Estim_Empresas[[#This Row],[QUANTIDADE 36 MESES DE UES AJUSTADO
(Q =O*P)]]*'Quadro Resumo'!$J$6</f>
        <v>12083.192346627648</v>
      </c>
      <c r="V10" s="66">
        <f>Tab_Estim_ANAC[[#This Row],[PRAZO PARA EXECUÇÃO DO SERVIÇO (DIAS ÚTEIS)]]</f>
        <v>5</v>
      </c>
      <c r="W10" s="60" t="str">
        <f>Tab_Estim_ANAC[[#This Row],[JUSTIFICATIVA PARA QUANTIDADE DE EXECUÇÕES]]</f>
        <v>1 painel ajustado por unidade e no máximo 3 unidades por ano</v>
      </c>
    </row>
    <row r="11" spans="1:23" ht="126" customHeight="1" x14ac:dyDescent="0.35">
      <c r="A11" s="59" t="str">
        <f>Tab_Estim_ANAC[[#This Row],[SEGMENTO (A)]]</f>
        <v>Integração</v>
      </c>
      <c r="B11" s="3">
        <f>Tab_Estim_ANAC[[#This Row],[ITEM (B)]]</f>
        <v>4</v>
      </c>
      <c r="C11" s="3" t="str">
        <f>Tab_Estim_ANAC[[#This Row],[ID (C) ]]</f>
        <v>4.01</v>
      </c>
      <c r="D11" s="3" t="str">
        <f>Tab_Estim_ANAC[[#This Row],[NOME DO SERVIÇO (D)]]</f>
        <v>Parametrização de conectores de integração</v>
      </c>
      <c r="E11" s="3" t="str">
        <f>Tab_Estim_ANAC[[#This Row],[DESCRIÇÃO DO SERVIÇO (E)]]</f>
        <v>Promover a parametrização dos conectores de integração na solução</v>
      </c>
      <c r="F11" s="3" t="str">
        <f>Tab_Estim_ANAC[[#This Row],[PRODUTOS/ENTREGÁVEIS (F)]]</f>
        <v>Integração parametrizada</v>
      </c>
      <c r="G11" s="3" t="str">
        <f>Tab_Estim_ANAC[[#This Row],[ATIVIDADES ESPERADAS (G)]]</f>
        <v>1. Levantar sistemas e dados para integração 2. Documentar sistemas e tipos de dados a serem integrados 3. Parametrizar conectores de integração 4. Validar com o demandante a integração 5. Promover ajustes 6. Disponibilizar em ambiente de produção 7. Configurar atualização periódica</v>
      </c>
      <c r="H11" s="3" t="str">
        <f>IF(Tab_Estim_Empresas[[#This Row],[COMPLEXIDADE (L)]]="Baixa","Júnior",IF(Tab_Estim_Empresas[[#This Row],[COMPLEXIDADE (L)]]="Média","Pleno","Sênior"))</f>
        <v>Sênior</v>
      </c>
      <c r="I11" s="5">
        <f>IFERROR(VLOOKUP(Tab_Estim_Empresas[[#This Row],[QUALIFICAÇÃO DOS PROFISSIONAIS NECESSÁRIOS (H)]],'Custo dos Profissionais'!$A$5:$D$7,3,FALSE),"")</f>
        <v>29233.93</v>
      </c>
      <c r="J11" s="5">
        <f>IFERROR(Tab_Estim_Empresas[[#This Row],[ESTIMATIVA DO CUSTO MENSAL DO PROFISSIONAL (I)]]/(22*8),"")</f>
        <v>166.10187500000001</v>
      </c>
      <c r="K11" s="61" t="str">
        <f>Tab_Estim_ANAC[[#This Row],[PARÂMETRO (K)]]</f>
        <v>Por base de dados</v>
      </c>
      <c r="L11" s="3" t="str">
        <f>Tab_Estim_ANAC[[#This Row],[COMPLEXIDADE (L)]]</f>
        <v>Alta</v>
      </c>
      <c r="M11" s="3">
        <f ca="1">SUMIF(Tabela3[[ID]:[Horas estimadas]],Tab_Estim_Empresas[[#This Row],[ID (C) ]],Tabela3[Horas estimadas])</f>
        <v>80</v>
      </c>
      <c r="N11" s="19">
        <f>IFERROR(VLOOKUP(Tab_Estim_Empresas[[#This Row],[QUALIFICAÇÃO DOS PROFISSIONAIS NECESSÁRIOS (H)]],'Custo dos Profissionais'!$A$5:$D$7,4,FALSE),"")</f>
        <v>1.9914175515464621</v>
      </c>
      <c r="O11" s="19">
        <f t="shared" ca="1" si="0"/>
        <v>159.31340412371696</v>
      </c>
      <c r="P11" s="3">
        <f>Tab_Estim_ANAC[[#This Row],[QUANTIDADE DE EXECUÇÕES PREVISTAS EM 36 MESES (P)]]</f>
        <v>9</v>
      </c>
      <c r="Q11" s="19">
        <f ca="1">IFERROR(Tab_Estim_Empresas[[#This Row],[QUANTIDADE DE UES
(O = M*N)]]*Tab_Estim_Empresas[[#This Row],[QUANTIDADE DE EXECUÇÕES PREVISTAS EM 36 MESES (P)]],"")</f>
        <v>1433.8206371134527</v>
      </c>
      <c r="R11" s="8">
        <f ca="1">IFERROR(Tab_Estim_Empresas[[#This Row],[CUSTO HORA DO PROFISSIONAL (J)]]*Tab_Estim_Empresas[[#This Row],[QUANTIDADE HORAS (M)]],"")</f>
        <v>13288.150000000001</v>
      </c>
      <c r="S11" s="8">
        <f ca="1">IFERROR(Tab_Estim_Empresas[[#This Row],[CUSTO UNITÁRIO DO SERVIÇO (R = M*J)]]*Tab_Estim_Empresas[[#This Row],[QUANTIDADE DE EXECUÇÕES PREVISTAS EM 36 MESES (P)]],"")</f>
        <v>119593.35</v>
      </c>
      <c r="T11" s="20">
        <f ca="1">Tab_Estim_Empresas[[#This Row],[QUANTIDADE DE UES
(O = M*N)]]*'Quadro Resumo'!$J$6</f>
        <v>13288.331037959231</v>
      </c>
      <c r="U11" s="20">
        <f ca="1">Tab_Estim_Empresas[[#This Row],[QUANTIDADE 36 MESES DE UES AJUSTADO
(Q =O*P)]]*'Quadro Resumo'!$J$6</f>
        <v>119594.97934163308</v>
      </c>
      <c r="V11" s="66">
        <f>Tab_Estim_ANAC[[#This Row],[PRAZO PARA EXECUÇÃO DO SERVIÇO (DIAS ÚTEIS)]]</f>
        <v>15</v>
      </c>
      <c r="W11" s="60" t="str">
        <f>Tab_Estim_ANAC[[#This Row],[JUSTIFICATIVA PARA QUANTIDADE DE EXECUÇÕES]]</f>
        <v>1 integração por processo implementado, sendo 1 processo por unidade e no máximo 3 unidades por ano</v>
      </c>
    </row>
    <row r="12" spans="1:23" ht="77.25" customHeight="1" x14ac:dyDescent="0.35">
      <c r="A12" s="72" t="str">
        <f>Tab_Estim_ANAC[[#This Row],[SEGMENTO (A)]]</f>
        <v>Integração</v>
      </c>
      <c r="B12" s="71">
        <f>Tab_Estim_ANAC[[#This Row],[ITEM (B)]]</f>
        <v>4</v>
      </c>
      <c r="C12" s="71" t="str">
        <f>Tab_Estim_ANAC[[#This Row],[ID (C) ]]</f>
        <v>4.02</v>
      </c>
      <c r="D12" s="69" t="str">
        <f>Tab_Estim_ANAC[[#This Row],[NOME DO SERVIÇO (D)]]</f>
        <v>Realização de carga de dados</v>
      </c>
      <c r="E12" s="71" t="str">
        <f>Tab_Estim_ANAC[[#This Row],[DESCRIÇÃO DO SERVIÇO (E)]]</f>
        <v>Realizar carga de dados provenientes de outras bases de dados definidas pela ANAC</v>
      </c>
      <c r="F12" s="69" t="str">
        <f>Tab_Estim_ANAC[[#This Row],[PRODUTOS/ENTREGÁVEIS (F)]]</f>
        <v>Carga de dados realizada</v>
      </c>
      <c r="G12" s="69" t="str">
        <f>Tab_Estim_ANAC[[#This Row],[ATIVIDADES ESPERADAS (G)]]</f>
        <v>1. Avaliação das Especificações funcional e Técnica 2. Preparação dos dados a serem carregados 3. Realização da carga 4. Verificação funcional da carga realizada</v>
      </c>
      <c r="H12" s="69" t="str">
        <f>IF(Tab_Estim_Empresas[[#This Row],[COMPLEXIDADE (L)]]="Baixa","Júnior",IF(Tab_Estim_Empresas[[#This Row],[COMPLEXIDADE (L)]]="Média","Pleno","Sênior"))</f>
        <v>Sênior</v>
      </c>
      <c r="I12" s="73">
        <f>IFERROR(VLOOKUP(Tab_Estim_Empresas[[#This Row],[QUALIFICAÇÃO DOS PROFISSIONAIS NECESSÁRIOS (H)]],'Custo dos Profissionais'!$A$5:$D$7,3,FALSE),"")</f>
        <v>29233.93</v>
      </c>
      <c r="J12" s="73">
        <f>IFERROR(Tab_Estim_Empresas[[#This Row],[ESTIMATIVA DO CUSTO MENSAL DO PROFISSIONAL (I)]]/(22*8),"")</f>
        <v>166.10187500000001</v>
      </c>
      <c r="K12" s="74" t="str">
        <f>Tab_Estim_ANAC[[#This Row],[PARÂMETRO (K)]]</f>
        <v>Por base de dados</v>
      </c>
      <c r="L12" s="71" t="str">
        <f>Tab_Estim_ANAC[[#This Row],[COMPLEXIDADE (L)]]</f>
        <v>Alta</v>
      </c>
      <c r="M12" s="71">
        <f ca="1">SUMIF(Tabela3[[ID]:[Horas estimadas]],Tab_Estim_Empresas[[#This Row],[ID (C) ]],Tabela3[Horas estimadas])</f>
        <v>12</v>
      </c>
      <c r="N12" s="75">
        <f>IFERROR(VLOOKUP(Tab_Estim_Empresas[[#This Row],[QUALIFICAÇÃO DOS PROFISSIONAIS NECESSÁRIOS (H)]],'Custo dos Profissionais'!$A$5:$D$7,4,FALSE),"")</f>
        <v>1.9914175515464621</v>
      </c>
      <c r="O12" s="75">
        <f t="shared" ref="O12:O20" ca="1" si="1">IFERROR(M12*N12,"")</f>
        <v>23.897010618557545</v>
      </c>
      <c r="P12" s="71">
        <f>Tab_Estim_ANAC[[#This Row],[QUANTIDADE DE EXECUÇÕES PREVISTAS EM 36 MESES (P)]]</f>
        <v>9</v>
      </c>
      <c r="Q12" s="75">
        <f ca="1">IFERROR(Tab_Estim_Empresas[[#This Row],[QUANTIDADE DE UES
(O = M*N)]]*Tab_Estim_Empresas[[#This Row],[QUANTIDADE DE EXECUÇÕES PREVISTAS EM 36 MESES (P)]],"")</f>
        <v>215.0730955670179</v>
      </c>
      <c r="R12" s="76">
        <f ca="1">IFERROR(Tab_Estim_Empresas[[#This Row],[CUSTO HORA DO PROFISSIONAL (J)]]*Tab_Estim_Empresas[[#This Row],[QUANTIDADE HORAS (M)]],"")</f>
        <v>1993.2225000000001</v>
      </c>
      <c r="S12" s="76">
        <f ca="1">IFERROR(Tab_Estim_Empresas[[#This Row],[CUSTO UNITÁRIO DO SERVIÇO (R = M*J)]]*Tab_Estim_Empresas[[#This Row],[QUANTIDADE DE EXECUÇÕES PREVISTAS EM 36 MESES (P)]],"")</f>
        <v>17939.002500000002</v>
      </c>
      <c r="T12" s="77">
        <f ca="1">Tab_Estim_Empresas[[#This Row],[QUANTIDADE DE UES
(O = M*N)]]*'Quadro Resumo'!$J$6</f>
        <v>1993.2496556938847</v>
      </c>
      <c r="U12" s="77">
        <f ca="1">Tab_Estim_Empresas[[#This Row],[QUANTIDADE 36 MESES DE UES AJUSTADO
(Q =O*P)]]*'Quadro Resumo'!$J$6</f>
        <v>17939.246901244962</v>
      </c>
      <c r="V12" s="78">
        <f>Tab_Estim_ANAC[[#This Row],[PRAZO PARA EXECUÇÃO DO SERVIÇO (DIAS ÚTEIS)]]</f>
        <v>5</v>
      </c>
      <c r="W12" s="69" t="str">
        <f>Tab_Estim_ANAC[[#This Row],[JUSTIFICATIVA PARA QUANTIDADE DE EXECUÇÕES]]</f>
        <v>1 carga de dados por unidade, sendo 3 unidades por ano</v>
      </c>
    </row>
    <row r="13" spans="1:23" ht="138" customHeight="1" x14ac:dyDescent="0.35">
      <c r="A13" s="72" t="str">
        <f>Tab_Estim_ANAC[[#This Row],[SEGMENTO (A)]]</f>
        <v>Administração/Governança</v>
      </c>
      <c r="B13" s="71">
        <f>Tab_Estim_ANAC[[#This Row],[ITEM (B)]]</f>
        <v>5</v>
      </c>
      <c r="C13" s="71" t="str">
        <f>Tab_Estim_ANAC[[#This Row],[ID (C) ]]</f>
        <v>5.01</v>
      </c>
      <c r="D13" s="69" t="str">
        <f>Tab_Estim_ANAC[[#This Row],[NOME DO SERVIÇO (D)]]</f>
        <v>Parametrização de perfis de acessos</v>
      </c>
      <c r="E13" s="71" t="str">
        <f>Tab_Estim_ANAC[[#This Row],[DESCRIÇÃO DO SERVIÇO (E)]]</f>
        <v>Realizar parametrização de perfis de acesso na solução com base no levantamento realizado junto à ANAC</v>
      </c>
      <c r="F13" s="69" t="str">
        <f>Tab_Estim_ANAC[[#This Row],[PRODUTOS/ENTREGÁVEIS (F)]]</f>
        <v>Perfis de acesso cadastrado na solução e documento sobre ações e permissões dos perfis</v>
      </c>
      <c r="G13" s="69" t="str">
        <f>Tab_Estim_ANAC[[#This Row],[ATIVIDADES ESPERADAS (G)]]</f>
        <v>1. Levantar dados e informações para parametrização 2. Parametrizar solução com os perfis validados pelo demandante 3. Validar com o demandante os perfis cadastrados e promover ajustes 4. Produzir documento de perfis e ações permitidas 5. Verificação funcional dos perfis 6. Ajustes nos perfis de acessos e grupos implementados</v>
      </c>
      <c r="H13" s="69" t="str">
        <f>IF(Tab_Estim_Empresas[[#This Row],[COMPLEXIDADE (L)]]="Baixa","Júnior",IF(Tab_Estim_Empresas[[#This Row],[COMPLEXIDADE (L)]]="Média","Pleno","Sênior"))</f>
        <v>Sênior</v>
      </c>
      <c r="I13" s="73">
        <f>IFERROR(VLOOKUP(Tab_Estim_Empresas[[#This Row],[QUALIFICAÇÃO DOS PROFISSIONAIS NECESSÁRIOS (H)]],'Custo dos Profissionais'!$A$5:$D$7,3,FALSE),"")</f>
        <v>29233.93</v>
      </c>
      <c r="J13" s="73">
        <f>IFERROR(Tab_Estim_Empresas[[#This Row],[ESTIMATIVA DO CUSTO MENSAL DO PROFISSIONAL (I)]]/(22*8),"")</f>
        <v>166.10187500000001</v>
      </c>
      <c r="K13" s="74" t="str">
        <f>Tab_Estim_ANAC[[#This Row],[PARÂMETRO (K)]]</f>
        <v>Cadastro inicial</v>
      </c>
      <c r="L13" s="71" t="str">
        <f>Tab_Estim_ANAC[[#This Row],[COMPLEXIDADE (L)]]</f>
        <v>Alta</v>
      </c>
      <c r="M13" s="71">
        <f ca="1">SUMIF(Tabela3[[ID]:[Horas estimadas]],Tab_Estim_Empresas[[#This Row],[ID (C) ]],Tabela3[Horas estimadas])</f>
        <v>66</v>
      </c>
      <c r="N13" s="75">
        <f>IFERROR(VLOOKUP(Tab_Estim_Empresas[[#This Row],[QUALIFICAÇÃO DOS PROFISSIONAIS NECESSÁRIOS (H)]],'Custo dos Profissionais'!$A$5:$D$7,4,FALSE),"")</f>
        <v>1.9914175515464621</v>
      </c>
      <c r="O13" s="75">
        <f t="shared" ca="1" si="1"/>
        <v>131.4335584020665</v>
      </c>
      <c r="P13" s="71">
        <f>Tab_Estim_ANAC[[#This Row],[QUANTIDADE DE EXECUÇÕES PREVISTAS EM 36 MESES (P)]]</f>
        <v>1</v>
      </c>
      <c r="Q13" s="75">
        <f ca="1">IFERROR(Tab_Estim_Empresas[[#This Row],[QUANTIDADE DE UES
(O = M*N)]]*Tab_Estim_Empresas[[#This Row],[QUANTIDADE DE EXECUÇÕES PREVISTAS EM 36 MESES (P)]],"")</f>
        <v>131.4335584020665</v>
      </c>
      <c r="R13" s="76">
        <f ca="1">IFERROR(Tab_Estim_Empresas[[#This Row],[CUSTO HORA DO PROFISSIONAL (J)]]*Tab_Estim_Empresas[[#This Row],[QUANTIDADE HORAS (M)]],"")</f>
        <v>10962.723750000001</v>
      </c>
      <c r="S13" s="76">
        <f ca="1">IFERROR(Tab_Estim_Empresas[[#This Row],[CUSTO UNITÁRIO DO SERVIÇO (R = M*J)]]*Tab_Estim_Empresas[[#This Row],[QUANTIDADE DE EXECUÇÕES PREVISTAS EM 36 MESES (P)]],"")</f>
        <v>10962.723750000001</v>
      </c>
      <c r="T13" s="77">
        <f ca="1">Tab_Estim_Empresas[[#This Row],[QUANTIDADE DE UES
(O = M*N)]]*'Quadro Resumo'!$J$6</f>
        <v>10962.873106316367</v>
      </c>
      <c r="U13" s="77">
        <f ca="1">Tab_Estim_Empresas[[#This Row],[QUANTIDADE 36 MESES DE UES AJUSTADO
(Q =O*P)]]*'Quadro Resumo'!$J$6</f>
        <v>10962.873106316367</v>
      </c>
      <c r="V13" s="78">
        <f>Tab_Estim_ANAC[[#This Row],[PRAZO PARA EXECUÇÃO DO SERVIÇO (DIAS ÚTEIS)]]</f>
        <v>15</v>
      </c>
      <c r="W13" s="69" t="str">
        <f>Tab_Estim_ANAC[[#This Row],[JUSTIFICATIVA PARA QUANTIDADE DE EXECUÇÕES]]</f>
        <v>1 Cadastro inicial na solução</v>
      </c>
    </row>
    <row r="14" spans="1:23" ht="132.75" customHeight="1" x14ac:dyDescent="0.35">
      <c r="A14" s="72" t="str">
        <f>Tab_Estim_ANAC[[#This Row],[SEGMENTO (A)]]</f>
        <v>Administração/Governança</v>
      </c>
      <c r="B14" s="71">
        <f>Tab_Estim_ANAC[[#This Row],[ITEM (B)]]</f>
        <v>5</v>
      </c>
      <c r="C14" s="71" t="str">
        <f>Tab_Estim_ANAC[[#This Row],[ID (C) ]]</f>
        <v>5.02</v>
      </c>
      <c r="D14" s="69" t="str">
        <f>Tab_Estim_ANAC[[#This Row],[NOME DO SERVIÇO (D)]]</f>
        <v>Implementação da estrutura organizacional da ANAC</v>
      </c>
      <c r="E14" s="71" t="str">
        <f>Tab_Estim_ANAC[[#This Row],[DESCRIÇÃO DO SERVIÇO (E)]]</f>
        <v>Implementar, conforme boas práticas da solução, a estrutura organizacional da ANAC na solução</v>
      </c>
      <c r="F14" s="69" t="str">
        <f>Tab_Estim_ANAC[[#This Row],[PRODUTOS/ENTREGÁVEIS (F)]]</f>
        <v>Estrutura organizacional cadastrada na solução e documento sobre estrutura proposta e validada</v>
      </c>
      <c r="G14" s="69" t="str">
        <f>Tab_Estim_ANAC[[#This Row],[ATIVIDADES ESPERADAS (G)]]</f>
        <v>1. Levantar dados e informações para parametrização 2. Parametrizar solução com a estrutura aprovada pelo demandante 3. Validar com o demandante a estrutura implementada e promover ajustes 4. Produzir documento de estrutura organizacional 5. Disponibilizar em ambiente de produção 6. Verificação funcional do fluxo na solução</v>
      </c>
      <c r="H14" s="69" t="str">
        <f>IF(Tab_Estim_Empresas[[#This Row],[COMPLEXIDADE (L)]]="Baixa","Júnior",IF(Tab_Estim_Empresas[[#This Row],[COMPLEXIDADE (L)]]="Média","Pleno","Sênior"))</f>
        <v>Sênior</v>
      </c>
      <c r="I14" s="73">
        <f>IFERROR(VLOOKUP(Tab_Estim_Empresas[[#This Row],[QUALIFICAÇÃO DOS PROFISSIONAIS NECESSÁRIOS (H)]],'Custo dos Profissionais'!$A$5:$D$7,3,FALSE),"")</f>
        <v>29233.93</v>
      </c>
      <c r="J14" s="73">
        <f>IFERROR(Tab_Estim_Empresas[[#This Row],[ESTIMATIVA DO CUSTO MENSAL DO PROFISSIONAL (I)]]/(22*8),"")</f>
        <v>166.10187500000001</v>
      </c>
      <c r="K14" s="74" t="str">
        <f>Tab_Estim_ANAC[[#This Row],[PARÂMETRO (K)]]</f>
        <v>Cadastro inicial</v>
      </c>
      <c r="L14" s="71" t="str">
        <f>Tab_Estim_ANAC[[#This Row],[COMPLEXIDADE (L)]]</f>
        <v>Alta</v>
      </c>
      <c r="M14" s="71">
        <f ca="1">SUMIF(Tabela3[[ID]:[Horas estimadas]],Tab_Estim_Empresas[[#This Row],[ID (C) ]],Tabela3[Horas estimadas])</f>
        <v>32</v>
      </c>
      <c r="N14" s="75">
        <f>IFERROR(VLOOKUP(Tab_Estim_Empresas[[#This Row],[QUALIFICAÇÃO DOS PROFISSIONAIS NECESSÁRIOS (H)]],'Custo dos Profissionais'!$A$5:$D$7,4,FALSE),"")</f>
        <v>1.9914175515464621</v>
      </c>
      <c r="O14" s="75">
        <f t="shared" ca="1" si="1"/>
        <v>63.725361649486786</v>
      </c>
      <c r="P14" s="71">
        <f>Tab_Estim_ANAC[[#This Row],[QUANTIDADE DE EXECUÇÕES PREVISTAS EM 36 MESES (P)]]</f>
        <v>1</v>
      </c>
      <c r="Q14" s="75">
        <f ca="1">IFERROR(Tab_Estim_Empresas[[#This Row],[QUANTIDADE DE UES
(O = M*N)]]*Tab_Estim_Empresas[[#This Row],[QUANTIDADE DE EXECUÇÕES PREVISTAS EM 36 MESES (P)]],"")</f>
        <v>63.725361649486786</v>
      </c>
      <c r="R14" s="76">
        <f ca="1">IFERROR(Tab_Estim_Empresas[[#This Row],[CUSTO HORA DO PROFISSIONAL (J)]]*Tab_Estim_Empresas[[#This Row],[QUANTIDADE HORAS (M)]],"")</f>
        <v>5315.26</v>
      </c>
      <c r="S14" s="76">
        <f ca="1">IFERROR(Tab_Estim_Empresas[[#This Row],[CUSTO UNITÁRIO DO SERVIÇO (R = M*J)]]*Tab_Estim_Empresas[[#This Row],[QUANTIDADE DE EXECUÇÕES PREVISTAS EM 36 MESES (P)]],"")</f>
        <v>5315.26</v>
      </c>
      <c r="T14" s="77">
        <f ca="1">Tab_Estim_Empresas[[#This Row],[QUANTIDADE DE UES
(O = M*N)]]*'Quadro Resumo'!$J$6</f>
        <v>5315.3324151836923</v>
      </c>
      <c r="U14" s="77">
        <f ca="1">Tab_Estim_Empresas[[#This Row],[QUANTIDADE 36 MESES DE UES AJUSTADO
(Q =O*P)]]*'Quadro Resumo'!$J$6</f>
        <v>5315.3324151836923</v>
      </c>
      <c r="V14" s="78">
        <f>Tab_Estim_ANAC[[#This Row],[PRAZO PARA EXECUÇÃO DO SERVIÇO (DIAS ÚTEIS)]]</f>
        <v>8</v>
      </c>
      <c r="W14" s="69" t="str">
        <f>Tab_Estim_ANAC[[#This Row],[JUSTIFICATIVA PARA QUANTIDADE DE EXECUÇÕES]]</f>
        <v>1 Cadastro inicial na solução</v>
      </c>
    </row>
    <row r="15" spans="1:23" ht="130" x14ac:dyDescent="0.35">
      <c r="A15" s="72" t="str">
        <f>Tab_Estim_ANAC[[#This Row],[SEGMENTO (A)]]</f>
        <v>Processo de fiscalização</v>
      </c>
      <c r="B15" s="71">
        <f>Tab_Estim_ANAC[[#This Row],[ITEM (B)]]</f>
        <v>6</v>
      </c>
      <c r="C15" s="71" t="str">
        <f>Tab_Estim_ANAC[[#This Row],[ID (C) ]]</f>
        <v>6.01</v>
      </c>
      <c r="D15" s="69" t="str">
        <f>Tab_Estim_ANAC[[#This Row],[NOME DO SERVIÇO (D)]]</f>
        <v>Parametrização do processo de fiscalização na solução</v>
      </c>
      <c r="E15" s="71" t="str">
        <f>Tab_Estim_ANAC[[#This Row],[DESCRIÇÃO DO SERVIÇO (E)]]</f>
        <v>Implementar o processo de fiscalização na solução com base nas informações do fluxo de conformidade existente na ANAC e alinhando-se às boas práticas da solução.</v>
      </c>
      <c r="F15" s="69" t="str">
        <f>Tab_Estim_ANAC[[#This Row],[PRODUTOS/ENTREGÁVEIS (F)]]</f>
        <v>Fluxo de fiscalização implementado na solução e documentação de fluxo</v>
      </c>
      <c r="G15" s="69" t="str">
        <f>Tab_Estim_ANAC[[#This Row],[ATIVIDADES ESPERADAS (G)]]</f>
        <v>1. Levantar dados e informações de mapeamento do fluxo 2. Parametrizar solução com o fluxo validado pelo demandante 3. Validar com o demandante o fluxo implementado e promover ajustes 4. Produzir documento de fluxo implementado 5. Disponibilizar em ambiente de produção 6. Verificação funcional do fluxo na solução</v>
      </c>
      <c r="H15" s="69" t="str">
        <f>IF(Tab_Estim_Empresas[[#This Row],[COMPLEXIDADE (L)]]="Baixa","Júnior",IF(Tab_Estim_Empresas[[#This Row],[COMPLEXIDADE (L)]]="Média","Pleno","Sênior"))</f>
        <v>Sênior</v>
      </c>
      <c r="I15" s="73">
        <f>IFERROR(VLOOKUP(Tab_Estim_Empresas[[#This Row],[QUALIFICAÇÃO DOS PROFISSIONAIS NECESSÁRIOS (H)]],'Custo dos Profissionais'!$A$5:$D$7,3,FALSE),"")</f>
        <v>29233.93</v>
      </c>
      <c r="J15" s="73">
        <f>IFERROR(Tab_Estim_Empresas[[#This Row],[ESTIMATIVA DO CUSTO MENSAL DO PROFISSIONAL (I)]]/(22*8),"")</f>
        <v>166.10187500000001</v>
      </c>
      <c r="K15" s="74" t="str">
        <f>Tab_Estim_ANAC[[#This Row],[PARÂMETRO (K)]]</f>
        <v xml:space="preserve">Por processo </v>
      </c>
      <c r="L15" s="71" t="str">
        <f>Tab_Estim_ANAC[[#This Row],[COMPLEXIDADE (L)]]</f>
        <v>Alta</v>
      </c>
      <c r="M15" s="71">
        <f ca="1">SUMIF(Tabela3[[ID]:[Horas estimadas]],Tab_Estim_Empresas[[#This Row],[ID (C) ]],Tabela3[Horas estimadas])</f>
        <v>66</v>
      </c>
      <c r="N15" s="75">
        <f>IFERROR(VLOOKUP(Tab_Estim_Empresas[[#This Row],[QUALIFICAÇÃO DOS PROFISSIONAIS NECESSÁRIOS (H)]],'Custo dos Profissionais'!$A$5:$D$7,4,FALSE),"")</f>
        <v>1.9914175515464621</v>
      </c>
      <c r="O15" s="75">
        <f t="shared" ca="1" si="1"/>
        <v>131.4335584020665</v>
      </c>
      <c r="P15" s="71">
        <f>Tab_Estim_ANAC[[#This Row],[QUANTIDADE DE EXECUÇÕES PREVISTAS EM 36 MESES (P)]]</f>
        <v>9</v>
      </c>
      <c r="Q15" s="75">
        <f ca="1">IFERROR(Tab_Estim_Empresas[[#This Row],[QUANTIDADE DE UES
(O = M*N)]]*Tab_Estim_Empresas[[#This Row],[QUANTIDADE DE EXECUÇÕES PREVISTAS EM 36 MESES (P)]],"")</f>
        <v>1182.9020256185984</v>
      </c>
      <c r="R15" s="76">
        <f ca="1">IFERROR(Tab_Estim_Empresas[[#This Row],[CUSTO HORA DO PROFISSIONAL (J)]]*Tab_Estim_Empresas[[#This Row],[QUANTIDADE HORAS (M)]],"")</f>
        <v>10962.723750000001</v>
      </c>
      <c r="S15" s="76">
        <f ca="1">IFERROR(Tab_Estim_Empresas[[#This Row],[CUSTO UNITÁRIO DO SERVIÇO (R = M*J)]]*Tab_Estim_Empresas[[#This Row],[QUANTIDADE DE EXECUÇÕES PREVISTAS EM 36 MESES (P)]],"")</f>
        <v>98664.513750000013</v>
      </c>
      <c r="T15" s="77">
        <f ca="1">Tab_Estim_Empresas[[#This Row],[QUANTIDADE DE UES
(O = M*N)]]*'Quadro Resumo'!$J$6</f>
        <v>10962.873106316367</v>
      </c>
      <c r="U15" s="77">
        <f ca="1">Tab_Estim_Empresas[[#This Row],[QUANTIDADE 36 MESES DE UES AJUSTADO
(Q =O*P)]]*'Quadro Resumo'!$J$6</f>
        <v>98665.857956847292</v>
      </c>
      <c r="V15" s="78">
        <f>Tab_Estim_ANAC[[#This Row],[PRAZO PARA EXECUÇÃO DO SERVIÇO (DIAS ÚTEIS)]]</f>
        <v>15</v>
      </c>
      <c r="W15" s="69" t="str">
        <f>Tab_Estim_ANAC[[#This Row],[JUSTIFICATIVA PARA QUANTIDADE DE EXECUÇÕES]]</f>
        <v>1 fluxo implementado por unidade, sendo no máximo 3 unidades por ano</v>
      </c>
    </row>
    <row r="16" spans="1:23" ht="143" x14ac:dyDescent="0.35">
      <c r="A16" s="72" t="str">
        <f>Tab_Estim_ANAC[[#This Row],[SEGMENTO (A)]]</f>
        <v>Processo de fiscalização</v>
      </c>
      <c r="B16" s="71">
        <f>Tab_Estim_ANAC[[#This Row],[ITEM (B)]]</f>
        <v>6</v>
      </c>
      <c r="C16" s="71" t="str">
        <f>Tab_Estim_ANAC[[#This Row],[ID (C) ]]</f>
        <v>6.02</v>
      </c>
      <c r="D16" s="69" t="str">
        <f>Tab_Estim_ANAC[[#This Row],[NOME DO SERVIÇO (D)]]</f>
        <v>Parametrização/adaptação do processo de planejamento e gestão das fiscalizações</v>
      </c>
      <c r="E16" s="71" t="str">
        <f>Tab_Estim_ANAC[[#This Row],[DESCRIÇÃO DO SERVIÇO (E)]]</f>
        <v>Implementar, com base nas boas práticas e opções da solução, processo de planejamento e gestão das fiscalizações com uma visão gerencial para a unidade da ANAC.</v>
      </c>
      <c r="F16" s="69" t="str">
        <f>Tab_Estim_ANAC[[#This Row],[PRODUTOS/ENTREGÁVEIS (F)]]</f>
        <v>Planejamento e gestão implementado na solução</v>
      </c>
      <c r="G16" s="69" t="str">
        <f>Tab_Estim_ANAC[[#This Row],[ATIVIDADES ESPERADAS (G)]]</f>
        <v>1. Levantar dados e informações de mapeamento do fluxo e visão de interesse 2. Parametrizar solução com o fluxo e visão validados pelo demandante 3. Validar com o demandante o fluxo e visão implementados e promover ajustes 4. Produzir documento de fluxo e visão implementado 5. Disponibilizar em ambiente de produção 6. Verificação funcional do fluxo e visão na solução</v>
      </c>
      <c r="H16" s="69" t="str">
        <f>IF(Tab_Estim_Empresas[[#This Row],[COMPLEXIDADE (L)]]="Baixa","Júnior",IF(Tab_Estim_Empresas[[#This Row],[COMPLEXIDADE (L)]]="Média","Pleno","Sênior"))</f>
        <v>Sênior</v>
      </c>
      <c r="I16" s="73">
        <f>IFERROR(VLOOKUP(Tab_Estim_Empresas[[#This Row],[QUALIFICAÇÃO DOS PROFISSIONAIS NECESSÁRIOS (H)]],'Custo dos Profissionais'!$A$5:$D$7,3,FALSE),"")</f>
        <v>29233.93</v>
      </c>
      <c r="J16" s="73">
        <f>IFERROR(Tab_Estim_Empresas[[#This Row],[ESTIMATIVA DO CUSTO MENSAL DO PROFISSIONAL (I)]]/(22*8),"")</f>
        <v>166.10187500000001</v>
      </c>
      <c r="K16" s="74" t="str">
        <f>Tab_Estim_ANAC[[#This Row],[PARÂMETRO (K)]]</f>
        <v>Por unidade</v>
      </c>
      <c r="L16" s="71" t="str">
        <f>Tab_Estim_ANAC[[#This Row],[COMPLEXIDADE (L)]]</f>
        <v>Alta</v>
      </c>
      <c r="M16" s="71">
        <f ca="1">SUMIF(Tabela3[[ID]:[Horas estimadas]],Tab_Estim_Empresas[[#This Row],[ID (C) ]],Tabela3[Horas estimadas])</f>
        <v>48</v>
      </c>
      <c r="N16" s="75">
        <f>IFERROR(VLOOKUP(Tab_Estim_Empresas[[#This Row],[QUALIFICAÇÃO DOS PROFISSIONAIS NECESSÁRIOS (H)]],'Custo dos Profissionais'!$A$5:$D$7,4,FALSE),"")</f>
        <v>1.9914175515464621</v>
      </c>
      <c r="O16" s="75">
        <f t="shared" ca="1" si="1"/>
        <v>95.588042474230178</v>
      </c>
      <c r="P16" s="71">
        <f>Tab_Estim_ANAC[[#This Row],[QUANTIDADE DE EXECUÇÕES PREVISTAS EM 36 MESES (P)]]</f>
        <v>6</v>
      </c>
      <c r="Q16" s="75">
        <f ca="1">IFERROR(Tab_Estim_Empresas[[#This Row],[QUANTIDADE DE UES
(O = M*N)]]*Tab_Estim_Empresas[[#This Row],[QUANTIDADE DE EXECUÇÕES PREVISTAS EM 36 MESES (P)]],"")</f>
        <v>573.52825484538107</v>
      </c>
      <c r="R16" s="76">
        <f ca="1">IFERROR(Tab_Estim_Empresas[[#This Row],[CUSTO HORA DO PROFISSIONAL (J)]]*Tab_Estim_Empresas[[#This Row],[QUANTIDADE HORAS (M)]],"")</f>
        <v>7972.89</v>
      </c>
      <c r="S16" s="76">
        <f ca="1">IFERROR(Tab_Estim_Empresas[[#This Row],[CUSTO UNITÁRIO DO SERVIÇO (R = M*J)]]*Tab_Estim_Empresas[[#This Row],[QUANTIDADE DE EXECUÇÕES PREVISTAS EM 36 MESES (P)]],"")</f>
        <v>47837.340000000004</v>
      </c>
      <c r="T16" s="77">
        <f ca="1">Tab_Estim_Empresas[[#This Row],[QUANTIDADE DE UES
(O = M*N)]]*'Quadro Resumo'!$J$6</f>
        <v>7972.9986227755389</v>
      </c>
      <c r="U16" s="77">
        <f ca="1">Tab_Estim_Empresas[[#This Row],[QUANTIDADE 36 MESES DE UES AJUSTADO
(Q =O*P)]]*'Quadro Resumo'!$J$6</f>
        <v>47837.991736653232</v>
      </c>
      <c r="V16" s="78">
        <f>Tab_Estim_ANAC[[#This Row],[PRAZO PARA EXECUÇÃO DO SERVIÇO (DIAS ÚTEIS)]]</f>
        <v>10</v>
      </c>
      <c r="W16" s="69" t="str">
        <f>Tab_Estim_ANAC[[#This Row],[JUSTIFICATIVA PARA QUANTIDADE DE EXECUÇÕES]]</f>
        <v>1 visão de planejamento e gestão por unidade, sendo no máximo 6 unidades</v>
      </c>
    </row>
    <row r="17" spans="1:23" ht="104" x14ac:dyDescent="0.35">
      <c r="A17" s="72" t="str">
        <f>Tab_Estim_ANAC[[#This Row],[SEGMENTO (A)]]</f>
        <v>Fontes Normativas e Padrões de Controle</v>
      </c>
      <c r="B17" s="71">
        <f>Tab_Estim_ANAC[[#This Row],[ITEM (B)]]</f>
        <v>7</v>
      </c>
      <c r="C17" s="71" t="str">
        <f>Tab_Estim_ANAC[[#This Row],[ID (C) ]]</f>
        <v>7.01</v>
      </c>
      <c r="D17" s="69" t="str">
        <f>Tab_Estim_ANAC[[#This Row],[NOME DO SERVIÇO (D)]]</f>
        <v>Inserção de fontes normativas ou regulamentos</v>
      </c>
      <c r="E17" s="71" t="str">
        <f>Tab_Estim_ANAC[[#This Row],[DESCRIÇÃO DO SERVIÇO (E)]]</f>
        <v xml:space="preserve">Inserir na solução fontes normativas ou regulamentos </v>
      </c>
      <c r="F17" s="69" t="str">
        <f>Tab_Estim_ANAC[[#This Row],[PRODUTOS/ENTREGÁVEIS (F)]]</f>
        <v>Norma ou regulamento inserido</v>
      </c>
      <c r="G17" s="69" t="str">
        <f>Tab_Estim_ANAC[[#This Row],[ATIVIDADES ESPERADAS (G)]]</f>
        <v>1. Levantar norma e parâmetros a serem inseridos na solução 2. Promover tratamento da norma para inclusão na solução 3. Carga da norma na solução 4. Validar com o demandante as normas e regulamentos inseridos 5. Disponibilizar em ambiente de produção</v>
      </c>
      <c r="H17" s="69" t="str">
        <f>IF(Tab_Estim_Empresas[[#This Row],[COMPLEXIDADE (L)]]="Baixa","Júnior",IF(Tab_Estim_Empresas[[#This Row],[COMPLEXIDADE (L)]]="Média","Pleno","Sênior"))</f>
        <v>Pleno</v>
      </c>
      <c r="I17" s="73">
        <f>IFERROR(VLOOKUP(Tab_Estim_Empresas[[#This Row],[QUALIFICAÇÃO DOS PROFISSIONAIS NECESSÁRIOS (H)]],'Custo dos Profissionais'!$A$5:$D$7,3,FALSE),"")</f>
        <v>19690.86</v>
      </c>
      <c r="J17" s="73">
        <f>IFERROR(Tab_Estim_Empresas[[#This Row],[ESTIMATIVA DO CUSTO MENSAL DO PROFISSIONAL (I)]]/(22*8),"")</f>
        <v>111.87988636363637</v>
      </c>
      <c r="K17" s="74" t="str">
        <f>Tab_Estim_ANAC[[#This Row],[PARÂMETRO (K)]]</f>
        <v>Por norma</v>
      </c>
      <c r="L17" s="71" t="str">
        <f>Tab_Estim_ANAC[[#This Row],[COMPLEXIDADE (L)]]</f>
        <v>Média</v>
      </c>
      <c r="M17" s="71">
        <f ca="1">SUMIF(Tabela3[[ID]:[Horas estimadas]],Tab_Estim_Empresas[[#This Row],[ID (C) ]],Tabela3[Horas estimadas])</f>
        <v>24</v>
      </c>
      <c r="N17" s="75">
        <f>IFERROR(VLOOKUP(Tab_Estim_Empresas[[#This Row],[QUALIFICAÇÃO DOS PROFISSIONAIS NECESSÁRIOS (H)]],'Custo dos Profissionais'!$A$5:$D$7,4,FALSE),"")</f>
        <v>1.341342891942485</v>
      </c>
      <c r="O17" s="75">
        <f t="shared" ca="1" si="1"/>
        <v>32.192229406619639</v>
      </c>
      <c r="P17" s="71">
        <f>Tab_Estim_ANAC[[#This Row],[QUANTIDADE DE EXECUÇÕES PREVISTAS EM 36 MESES (P)]]</f>
        <v>18</v>
      </c>
      <c r="Q17" s="75">
        <f ca="1">IFERROR(Tab_Estim_Empresas[[#This Row],[QUANTIDADE DE UES
(O = M*N)]]*Tab_Estim_Empresas[[#This Row],[QUANTIDADE DE EXECUÇÕES PREVISTAS EM 36 MESES (P)]],"")</f>
        <v>579.46012931915345</v>
      </c>
      <c r="R17" s="76">
        <f ca="1">IFERROR(Tab_Estim_Empresas[[#This Row],[CUSTO HORA DO PROFISSIONAL (J)]]*Tab_Estim_Empresas[[#This Row],[QUANTIDADE HORAS (M)]],"")</f>
        <v>2685.1172727272728</v>
      </c>
      <c r="S17" s="76">
        <f ca="1">IFERROR(Tab_Estim_Empresas[[#This Row],[CUSTO UNITÁRIO DO SERVIÇO (R = M*J)]]*Tab_Estim_Empresas[[#This Row],[QUANTIDADE DE EXECUÇÕES PREVISTAS EM 36 MESES (P)]],"")</f>
        <v>48332.110909090909</v>
      </c>
      <c r="T17" s="77">
        <f ca="1">Tab_Estim_Empresas[[#This Row],[QUANTIDADE DE UES
(O = M*N)]]*'Quadro Resumo'!$J$6</f>
        <v>2685.153854806144</v>
      </c>
      <c r="U17" s="77">
        <f ca="1">Tab_Estim_Empresas[[#This Row],[QUANTIDADE 36 MESES DE UES AJUSTADO
(Q =O*P)]]*'Quadro Resumo'!$J$6</f>
        <v>48332.76938651059</v>
      </c>
      <c r="V17" s="78">
        <f>Tab_Estim_ANAC[[#This Row],[PRAZO PARA EXECUÇÃO DO SERVIÇO (DIAS ÚTEIS)]]</f>
        <v>5</v>
      </c>
      <c r="W17" s="69" t="str">
        <f>Tab_Estim_ANAC[[#This Row],[JUSTIFICATIVA PARA QUANTIDADE DE EXECUÇÕES]]</f>
        <v>2 normas por unidade, sendo 3 unidades por ano</v>
      </c>
    </row>
    <row r="18" spans="1:23" ht="112.5" customHeight="1" x14ac:dyDescent="0.35">
      <c r="A18" s="72" t="str">
        <f>Tab_Estim_ANAC[[#This Row],[SEGMENTO (A)]]</f>
        <v>Fontes Normativas e Padrões de Controle</v>
      </c>
      <c r="B18" s="71">
        <f>Tab_Estim_ANAC[[#This Row],[ITEM (B)]]</f>
        <v>7</v>
      </c>
      <c r="C18" s="71" t="str">
        <f>Tab_Estim_ANAC[[#This Row],[ID (C) ]]</f>
        <v>7.02</v>
      </c>
      <c r="D18" s="69" t="str">
        <f>Tab_Estim_ANAC[[#This Row],[NOME DO SERVIÇO (D)]]</f>
        <v>Inserção de padrões de controle</v>
      </c>
      <c r="E18" s="71" t="str">
        <f>Tab_Estim_ANAC[[#This Row],[DESCRIÇÃO DO SERVIÇO (E)]]</f>
        <v>Inserir na solução padrões de controle</v>
      </c>
      <c r="F18" s="69" t="str">
        <f>Tab_Estim_ANAC[[#This Row],[PRODUTOS/ENTREGÁVEIS (F)]]</f>
        <v>Padrão de controle inserido na solução</v>
      </c>
      <c r="G18" s="69" t="str">
        <f>Tab_Estim_ANAC[[#This Row],[ATIVIDADES ESPERADAS (G)]]</f>
        <v>1. Levantar padrão de controle a ser inserido na solução 2. Promover tratamento do padrão de controle para inclusão na solução 3. Carga do padrão de controle na solução 4. Validar com o demandante os padrões de controle inseridos 5. Disponibilizar em ambiente de produção</v>
      </c>
      <c r="H18" s="69" t="str">
        <f>IF(Tab_Estim_Empresas[[#This Row],[COMPLEXIDADE (L)]]="Baixa","Júnior",IF(Tab_Estim_Empresas[[#This Row],[COMPLEXIDADE (L)]]="Média","Pleno","Sênior"))</f>
        <v>Pleno</v>
      </c>
      <c r="I18" s="73">
        <f>IFERROR(VLOOKUP(Tab_Estim_Empresas[[#This Row],[QUALIFICAÇÃO DOS PROFISSIONAIS NECESSÁRIOS (H)]],'Custo dos Profissionais'!$A$5:$D$7,3,FALSE),"")</f>
        <v>19690.86</v>
      </c>
      <c r="J18" s="73">
        <f>IFERROR(Tab_Estim_Empresas[[#This Row],[ESTIMATIVA DO CUSTO MENSAL DO PROFISSIONAL (I)]]/(22*8),"")</f>
        <v>111.87988636363637</v>
      </c>
      <c r="K18" s="74" t="str">
        <f>Tab_Estim_ANAC[[#This Row],[PARÂMETRO (K)]]</f>
        <v>Por padrão de controle</v>
      </c>
      <c r="L18" s="71" t="str">
        <f>Tab_Estim_ANAC[[#This Row],[COMPLEXIDADE (L)]]</f>
        <v>Média</v>
      </c>
      <c r="M18" s="71">
        <f ca="1">SUMIF(Tabela3[[ID]:[Horas estimadas]],Tab_Estim_Empresas[[#This Row],[ID (C) ]],Tabela3[Horas estimadas])</f>
        <v>20</v>
      </c>
      <c r="N18" s="75">
        <f>IFERROR(VLOOKUP(Tab_Estim_Empresas[[#This Row],[QUALIFICAÇÃO DOS PROFISSIONAIS NECESSÁRIOS (H)]],'Custo dos Profissionais'!$A$5:$D$7,4,FALSE),"")</f>
        <v>1.341342891942485</v>
      </c>
      <c r="O18" s="75">
        <f t="shared" ca="1" si="1"/>
        <v>26.826857838849701</v>
      </c>
      <c r="P18" s="71">
        <f>Tab_Estim_ANAC[[#This Row],[QUANTIDADE DE EXECUÇÕES PREVISTAS EM 36 MESES (P)]]</f>
        <v>18</v>
      </c>
      <c r="Q18" s="75">
        <f ca="1">IFERROR(Tab_Estim_Empresas[[#This Row],[QUANTIDADE DE UES
(O = M*N)]]*Tab_Estim_Empresas[[#This Row],[QUANTIDADE DE EXECUÇÕES PREVISTAS EM 36 MESES (P)]],"")</f>
        <v>482.8834410992946</v>
      </c>
      <c r="R18" s="76">
        <f ca="1">IFERROR(Tab_Estim_Empresas[[#This Row],[CUSTO HORA DO PROFISSIONAL (J)]]*Tab_Estim_Empresas[[#This Row],[QUANTIDADE HORAS (M)]],"")</f>
        <v>2237.5977272727273</v>
      </c>
      <c r="S18" s="76">
        <f ca="1">IFERROR(Tab_Estim_Empresas[[#This Row],[CUSTO UNITÁRIO DO SERVIÇO (R = M*J)]]*Tab_Estim_Empresas[[#This Row],[QUANTIDADE DE EXECUÇÕES PREVISTAS EM 36 MESES (P)]],"")</f>
        <v>40276.759090909094</v>
      </c>
      <c r="T18" s="77">
        <f ca="1">Tab_Estim_Empresas[[#This Row],[QUANTIDADE DE UES
(O = M*N)]]*'Quadro Resumo'!$J$6</f>
        <v>2237.6282123384535</v>
      </c>
      <c r="U18" s="77">
        <f ca="1">Tab_Estim_Empresas[[#This Row],[QUANTIDADE 36 MESES DE UES AJUSTADO
(Q =O*P)]]*'Quadro Resumo'!$J$6</f>
        <v>40277.30782209216</v>
      </c>
      <c r="V18" s="78">
        <f>Tab_Estim_ANAC[[#This Row],[PRAZO PARA EXECUÇÃO DO SERVIÇO (DIAS ÚTEIS)]]</f>
        <v>5</v>
      </c>
      <c r="W18" s="69" t="str">
        <f>Tab_Estim_ANAC[[#This Row],[JUSTIFICATIVA PARA QUANTIDADE DE EXECUÇÕES]]</f>
        <v>2 padrões por unidade, sendo 3 unidades por ano</v>
      </c>
    </row>
    <row r="19" spans="1:23" ht="134.25" customHeight="1" x14ac:dyDescent="0.35">
      <c r="A19" s="72" t="str">
        <f>Tab_Estim_ANAC[[#This Row],[SEGMENTO (A)]]</f>
        <v>Plano de ação</v>
      </c>
      <c r="B19" s="71">
        <f>Tab_Estim_ANAC[[#This Row],[ITEM (B)]]</f>
        <v>8</v>
      </c>
      <c r="C19" s="71" t="str">
        <f>Tab_Estim_ANAC[[#This Row],[ID (C) ]]</f>
        <v>8.01</v>
      </c>
      <c r="D19" s="69" t="str">
        <f>Tab_Estim_ANAC[[#This Row],[NOME DO SERVIÇO (D)]]</f>
        <v>Parametrização/adaptação do plano de ação das fiscalizações</v>
      </c>
      <c r="E19" s="71" t="str">
        <f>Tab_Estim_ANAC[[#This Row],[DESCRIÇÃO DO SERVIÇO (E)]]</f>
        <v>Implementar, com base nas boas práticas e opções da solução, plano de ação relativo as não conformidades oriundas do processo de fiscalização.</v>
      </c>
      <c r="F19" s="69" t="str">
        <f>Tab_Estim_ANAC[[#This Row],[PRODUTOS/ENTREGÁVEIS (F)]]</f>
        <v>Plano de ação implementado na solução</v>
      </c>
      <c r="G19" s="69" t="str">
        <f>Tab_Estim_ANAC[[#This Row],[ATIVIDADES ESPERADAS (G)]]</f>
        <v>1. Levantar dados e informações de mapeamento do fluxo 2. Parametrizar solução com o fluxo validado pelo demandante 3. Validar com o demandante o fluxo implementado e promover ajustes 4. Produzir documento de fluxo implementado 5. Disponibilizar em ambiente de produção 6. Verificação funcional do fluxo na solução</v>
      </c>
      <c r="H19" s="69" t="str">
        <f>IF(Tab_Estim_Empresas[[#This Row],[COMPLEXIDADE (L)]]="Baixa","Júnior",IF(Tab_Estim_Empresas[[#This Row],[COMPLEXIDADE (L)]]="Média","Pleno","Sênior"))</f>
        <v>Sênior</v>
      </c>
      <c r="I19" s="73">
        <f>IFERROR(VLOOKUP(Tab_Estim_Empresas[[#This Row],[QUALIFICAÇÃO DOS PROFISSIONAIS NECESSÁRIOS (H)]],'Custo dos Profissionais'!$A$5:$D$7,3,FALSE),"")</f>
        <v>29233.93</v>
      </c>
      <c r="J19" s="73">
        <f>IFERROR(Tab_Estim_Empresas[[#This Row],[ESTIMATIVA DO CUSTO MENSAL DO PROFISSIONAL (I)]]/(22*8),"")</f>
        <v>166.10187500000001</v>
      </c>
      <c r="K19" s="74" t="str">
        <f>Tab_Estim_ANAC[[#This Row],[PARÂMETRO (K)]]</f>
        <v>Por plano de ação</v>
      </c>
      <c r="L19" s="71" t="str">
        <f>Tab_Estim_ANAC[[#This Row],[COMPLEXIDADE (L)]]</f>
        <v>Alta</v>
      </c>
      <c r="M19" s="71">
        <f ca="1">SUMIF(Tabela3[[ID]:[Horas estimadas]],Tab_Estim_Empresas[[#This Row],[ID (C) ]],Tabela3[Horas estimadas])</f>
        <v>82</v>
      </c>
      <c r="N19" s="75">
        <f>IFERROR(VLOOKUP(Tab_Estim_Empresas[[#This Row],[QUALIFICAÇÃO DOS PROFISSIONAIS NECESSÁRIOS (H)]],'Custo dos Profissionais'!$A$5:$D$7,4,FALSE),"")</f>
        <v>1.9914175515464621</v>
      </c>
      <c r="O19" s="75">
        <f t="shared" ca="1" si="1"/>
        <v>163.29623922680989</v>
      </c>
      <c r="P19" s="71">
        <f>Tab_Estim_ANAC[[#This Row],[QUANTIDADE DE EXECUÇÕES PREVISTAS EM 36 MESES (P)]]</f>
        <v>9</v>
      </c>
      <c r="Q19" s="75">
        <f ca="1">IFERROR(Tab_Estim_Empresas[[#This Row],[QUANTIDADE DE UES
(O = M*N)]]*Tab_Estim_Empresas[[#This Row],[QUANTIDADE DE EXECUÇÕES PREVISTAS EM 36 MESES (P)]],"")</f>
        <v>1469.6661530412889</v>
      </c>
      <c r="R19" s="76">
        <f ca="1">IFERROR(Tab_Estim_Empresas[[#This Row],[CUSTO HORA DO PROFISSIONAL (J)]]*Tab_Estim_Empresas[[#This Row],[QUANTIDADE HORAS (M)]],"")</f>
        <v>13620.35375</v>
      </c>
      <c r="S19" s="76">
        <f ca="1">IFERROR(Tab_Estim_Empresas[[#This Row],[CUSTO UNITÁRIO DO SERVIÇO (R = M*J)]]*Tab_Estim_Empresas[[#This Row],[QUANTIDADE DE EXECUÇÕES PREVISTAS EM 36 MESES (P)]],"")</f>
        <v>122583.18375</v>
      </c>
      <c r="T19" s="77">
        <f ca="1">Tab_Estim_Empresas[[#This Row],[QUANTIDADE DE UES
(O = M*N)]]*'Quadro Resumo'!$J$6</f>
        <v>13620.539313908212</v>
      </c>
      <c r="U19" s="77">
        <f ca="1">Tab_Estim_Empresas[[#This Row],[QUANTIDADE 36 MESES DE UES AJUSTADO
(Q =O*P)]]*'Quadro Resumo'!$J$6</f>
        <v>122584.85382517391</v>
      </c>
      <c r="V19" s="78">
        <f>Tab_Estim_ANAC[[#This Row],[PRAZO PARA EXECUÇÃO DO SERVIÇO (DIAS ÚTEIS)]]</f>
        <v>15</v>
      </c>
      <c r="W19" s="69" t="str">
        <f>Tab_Estim_ANAC[[#This Row],[JUSTIFICATIVA PARA QUANTIDADE DE EXECUÇÕES]]</f>
        <v>1 fluxo implementado por unidade, sendo no máximo 3 unidades por ano</v>
      </c>
    </row>
    <row r="20" spans="1:23" ht="172.5" customHeight="1" x14ac:dyDescent="0.35">
      <c r="A20" s="72" t="str">
        <f>Tab_Estim_ANAC[[#This Row],[SEGMENTO (A)]]</f>
        <v>Risco</v>
      </c>
      <c r="B20" s="71">
        <f>Tab_Estim_ANAC[[#This Row],[ITEM (B)]]</f>
        <v>9</v>
      </c>
      <c r="C20" s="71" t="str">
        <f>Tab_Estim_ANAC[[#This Row],[ID (C) ]]</f>
        <v>9.01</v>
      </c>
      <c r="D20" s="69" t="str">
        <f>Tab_Estim_ANAC[[#This Row],[NOME DO SERVIÇO (D)]]</f>
        <v>Parametrização do catálogo de risco</v>
      </c>
      <c r="E20" s="71" t="str">
        <f>Tab_Estim_ANAC[[#This Row],[DESCRIÇÃO DO SERVIÇO (E)]]</f>
        <v>Implementar, com base nas boas práticas da solução, catálogo de riscos atrelado ao processo de fiscalização.</v>
      </c>
      <c r="F20" s="69" t="str">
        <f>Tab_Estim_ANAC[[#This Row],[PRODUTOS/ENTREGÁVEIS (F)]]</f>
        <v>Catálogo de riscos implementado</v>
      </c>
      <c r="G20" s="69" t="str">
        <f>Tab_Estim_ANAC[[#This Row],[ATIVIDADES ESPERADAS (G)]]</f>
        <v>1. Levantar dados e informações de risco e visão de interesse 2. Parametrizar solução com catálogo de risco validado pelo demandante 3. Promover a vinculação dos riscos com a estrutura organizacional e com as fiscalizações 4. Validar com o demandante catálogo de risco implementado e promover ajustes 5. Produzir documentação do catálogo 6. Disponibilizar em ambiente de produção 7. Verificação funcional do catálogo na solução</v>
      </c>
      <c r="H20" s="69" t="str">
        <f>IF(Tab_Estim_Empresas[[#This Row],[COMPLEXIDADE (L)]]="Baixa","Júnior",IF(Tab_Estim_Empresas[[#This Row],[COMPLEXIDADE (L)]]="Média","Pleno","Sênior"))</f>
        <v>Pleno</v>
      </c>
      <c r="I20" s="73">
        <f>IFERROR(VLOOKUP(Tab_Estim_Empresas[[#This Row],[QUALIFICAÇÃO DOS PROFISSIONAIS NECESSÁRIOS (H)]],'Custo dos Profissionais'!$A$5:$D$7,3,FALSE),"")</f>
        <v>19690.86</v>
      </c>
      <c r="J20" s="73">
        <f>IFERROR(Tab_Estim_Empresas[[#This Row],[ESTIMATIVA DO CUSTO MENSAL DO PROFISSIONAL (I)]]/(22*8),"")</f>
        <v>111.87988636363637</v>
      </c>
      <c r="K20" s="74" t="str">
        <f>Tab_Estim_ANAC[[#This Row],[PARÂMETRO (K)]]</f>
        <v>Por 10 riscos</v>
      </c>
      <c r="L20" s="71" t="str">
        <f>Tab_Estim_ANAC[[#This Row],[COMPLEXIDADE (L)]]</f>
        <v>Média</v>
      </c>
      <c r="M20" s="71">
        <f ca="1">SUMIF(Tabela3[[ID]:[Horas estimadas]],Tab_Estim_Empresas[[#This Row],[ID (C) ]],Tabela3[Horas estimadas])</f>
        <v>86</v>
      </c>
      <c r="N20" s="75">
        <f>IFERROR(VLOOKUP(Tab_Estim_Empresas[[#This Row],[QUALIFICAÇÃO DOS PROFISSIONAIS NECESSÁRIOS (H)]],'Custo dos Profissionais'!$A$5:$D$7,4,FALSE),"")</f>
        <v>1.341342891942485</v>
      </c>
      <c r="O20" s="75">
        <f t="shared" ca="1" si="1"/>
        <v>115.35548870705371</v>
      </c>
      <c r="P20" s="71">
        <f>Tab_Estim_ANAC[[#This Row],[QUANTIDADE DE EXECUÇÕES PREVISTAS EM 36 MESES (P)]]</f>
        <v>6</v>
      </c>
      <c r="Q20" s="75">
        <f ca="1">IFERROR(Tab_Estim_Empresas[[#This Row],[QUANTIDADE DE UES
(O = M*N)]]*Tab_Estim_Empresas[[#This Row],[QUANTIDADE DE EXECUÇÕES PREVISTAS EM 36 MESES (P)]],"")</f>
        <v>692.13293224232223</v>
      </c>
      <c r="R20" s="76">
        <f ca="1">IFERROR(Tab_Estim_Empresas[[#This Row],[CUSTO HORA DO PROFISSIONAL (J)]]*Tab_Estim_Empresas[[#This Row],[QUANTIDADE HORAS (M)]],"")</f>
        <v>9621.6702272727289</v>
      </c>
      <c r="S20" s="76">
        <f ca="1">IFERROR(Tab_Estim_Empresas[[#This Row],[CUSTO UNITÁRIO DO SERVIÇO (R = M*J)]]*Tab_Estim_Empresas[[#This Row],[QUANTIDADE DE EXECUÇÕES PREVISTAS EM 36 MESES (P)]],"")</f>
        <v>57730.021363636377</v>
      </c>
      <c r="T20" s="77">
        <f ca="1">Tab_Estim_Empresas[[#This Row],[QUANTIDADE DE UES
(O = M*N)]]*'Quadro Resumo'!$J$6</f>
        <v>9621.80131305535</v>
      </c>
      <c r="U20" s="77">
        <f ca="1">Tab_Estim_Empresas[[#This Row],[QUANTIDADE 36 MESES DE UES AJUSTADO
(Q =O*P)]]*'Quadro Resumo'!$J$6</f>
        <v>57730.807878332096</v>
      </c>
      <c r="V20" s="78">
        <f>Tab_Estim_ANAC[[#This Row],[PRAZO PARA EXECUÇÃO DO SERVIÇO (DIAS ÚTEIS)]]</f>
        <v>15</v>
      </c>
      <c r="W20" s="69" t="str">
        <f>Tab_Estim_ANAC[[#This Row],[JUSTIFICATIVA PARA QUANTIDADE DE EXECUÇÕES]]</f>
        <v>1 catálogo de risco por unidade, sendo no máximo 6 unidades</v>
      </c>
    </row>
    <row r="21" spans="1:23" ht="99.75" customHeight="1" x14ac:dyDescent="0.35">
      <c r="A21" s="72" t="str">
        <f>Tab_Estim_ANAC[[#This Row],[SEGMENTO (A)]]</f>
        <v>Campos Calculados</v>
      </c>
      <c r="B21" s="71">
        <f>Tab_Estim_ANAC[[#This Row],[ITEM (B)]]</f>
        <v>10</v>
      </c>
      <c r="C21" s="71" t="str">
        <f>Tab_Estim_ANAC[[#This Row],[ID (C) ]]</f>
        <v>10.01</v>
      </c>
      <c r="D21" s="69" t="str">
        <f>Tab_Estim_ANAC[[#This Row],[NOME DO SERVIÇO (D)]]</f>
        <v>Construção de campos calculados e fórmulas</v>
      </c>
      <c r="E21" s="71" t="str">
        <f>Tab_Estim_ANAC[[#This Row],[DESCRIÇÃO DO SERVIÇO (E)]]</f>
        <v>Implementar campos calculados na solução</v>
      </c>
      <c r="F21" s="69" t="str">
        <f>Tab_Estim_ANAC[[#This Row],[PRODUTOS/ENTREGÁVEIS (F)]]</f>
        <v>Cálculo implementado</v>
      </c>
      <c r="G21" s="69" t="str">
        <f>Tab_Estim_ANAC[[#This Row],[ATIVIDADES ESPERADAS (G)]]</f>
        <v>1. Levantar dados e informações para parametrização 2. Parametrizar do campo na solução 3. Validar com o demandante o cálculo e promover ajustes 4. Ajustar após validação do demandante 5. Disponibilizar em ambiente de produção</v>
      </c>
      <c r="H21" s="69" t="str">
        <f>IF(Tab_Estim_Empresas[[#This Row],[COMPLEXIDADE (L)]]="Baixa","Júnior",IF(Tab_Estim_Empresas[[#This Row],[COMPLEXIDADE (L)]]="Média","Pleno","Sênior"))</f>
        <v>Pleno</v>
      </c>
      <c r="I21" s="73">
        <f>IFERROR(VLOOKUP(Tab_Estim_Empresas[[#This Row],[QUALIFICAÇÃO DOS PROFISSIONAIS NECESSÁRIOS (H)]],'Custo dos Profissionais'!$A$5:$D$7,3,FALSE),"")</f>
        <v>19690.86</v>
      </c>
      <c r="J21" s="73">
        <f>IFERROR(Tab_Estim_Empresas[[#This Row],[ESTIMATIVA DO CUSTO MENSAL DO PROFISSIONAL (I)]]/(22*8),"")</f>
        <v>111.87988636363637</v>
      </c>
      <c r="K21" s="74" t="str">
        <f>Tab_Estim_ANAC[[#This Row],[PARÂMETRO (K)]]</f>
        <v>Até 2 fórmulas</v>
      </c>
      <c r="L21" s="71" t="str">
        <f>Tab_Estim_ANAC[[#This Row],[COMPLEXIDADE (L)]]</f>
        <v>Média</v>
      </c>
      <c r="M21" s="71">
        <f ca="1">SUMIF(Tabela3[[ID]:[Horas estimadas]],Tab_Estim_Empresas[[#This Row],[ID (C) ]],Tabela3[Horas estimadas])</f>
        <v>28</v>
      </c>
      <c r="N21" s="75">
        <f>IFERROR(VLOOKUP(Tab_Estim_Empresas[[#This Row],[QUALIFICAÇÃO DOS PROFISSIONAIS NECESSÁRIOS (H)]],'Custo dos Profissionais'!$A$5:$D$7,4,FALSE),"")</f>
        <v>1.341342891942485</v>
      </c>
      <c r="O21" s="75">
        <f ca="1">IFERROR(M21*N21,"")</f>
        <v>37.55760097438958</v>
      </c>
      <c r="P21" s="71">
        <f>Tab_Estim_ANAC[[#This Row],[QUANTIDADE DE EXECUÇÕES PREVISTAS EM 36 MESES (P)]]</f>
        <v>18</v>
      </c>
      <c r="Q21" s="75">
        <f ca="1">IFERROR(Tab_Estim_Empresas[[#This Row],[QUANTIDADE DE UES
(O = M*N)]]*Tab_Estim_Empresas[[#This Row],[QUANTIDADE DE EXECUÇÕES PREVISTAS EM 36 MESES (P)]],"")</f>
        <v>676.03681753901242</v>
      </c>
      <c r="R21" s="76">
        <f ca="1">IFERROR(Tab_Estim_Empresas[[#This Row],[CUSTO HORA DO PROFISSIONAL (J)]]*Tab_Estim_Empresas[[#This Row],[QUANTIDADE HORAS (M)]],"")</f>
        <v>3132.6368181818184</v>
      </c>
      <c r="S21" s="76">
        <f ca="1">IFERROR(Tab_Estim_Empresas[[#This Row],[CUSTO UNITÁRIO DO SERVIÇO (R = M*J)]]*Tab_Estim_Empresas[[#This Row],[QUANTIDADE DE EXECUÇÕES PREVISTAS EM 36 MESES (P)]],"")</f>
        <v>56387.46272727273</v>
      </c>
      <c r="T21" s="77">
        <f ca="1">Tab_Estim_Empresas[[#This Row],[QUANTIDADE DE UES
(O = M*N)]]*'Quadro Resumo'!$J$6</f>
        <v>3132.6794972738348</v>
      </c>
      <c r="U21" s="77">
        <f ca="1">Tab_Estim_Empresas[[#This Row],[QUANTIDADE 36 MESES DE UES AJUSTADO
(Q =O*P)]]*'Quadro Resumo'!$J$6</f>
        <v>56388.230950929021</v>
      </c>
      <c r="V21" s="78">
        <f>Tab_Estim_ANAC[[#This Row],[PRAZO PARA EXECUÇÃO DO SERVIÇO (DIAS ÚTEIS)]]</f>
        <v>5</v>
      </c>
      <c r="W21" s="69" t="str">
        <f>Tab_Estim_ANAC[[#This Row],[JUSTIFICATIVA PARA QUANTIDADE DE EXECUÇÕES]]</f>
        <v>4 Fórmulas por unidade, sendo no máximo 3 unidades por ano</v>
      </c>
    </row>
    <row r="22" spans="1:23" ht="142.5" customHeight="1" x14ac:dyDescent="0.35">
      <c r="A22" s="72" t="str">
        <f>Tab_Estim_ANAC[[#This Row],[SEGMENTO (A)]]</f>
        <v>Mobile</v>
      </c>
      <c r="B22" s="71">
        <f>Tab_Estim_ANAC[[#This Row],[ITEM (B)]]</f>
        <v>11</v>
      </c>
      <c r="C22" s="71" t="str">
        <f>Tab_Estim_ANAC[[#This Row],[ID (C) ]]</f>
        <v>11.01</v>
      </c>
      <c r="D22" s="69" t="str">
        <f>Tab_Estim_ANAC[[#This Row],[NOME DO SERVIÇO (D)]]</f>
        <v>Customização/adaptação do aplicativo</v>
      </c>
      <c r="E22" s="71" t="str">
        <f>Tab_Estim_ANAC[[#This Row],[DESCRIÇÃO DO SERVIÇO (E)]]</f>
        <v>Customização simples de aplicativo integrado à solução, conforme requisitos específicos levantados junto à àrea de negócio.</v>
      </c>
      <c r="F22" s="69" t="str">
        <f>Tab_Estim_ANAC[[#This Row],[PRODUTOS/ENTREGÁVEIS (F)]]</f>
        <v>Aplicativo customizado/adaptado</v>
      </c>
      <c r="G22" s="69" t="str">
        <f>Tab_Estim_ANAC[[#This Row],[ATIVIDADES ESPERADAS (G)]]</f>
        <v>1. Levantar requisitos para ajuste no aplicativo 2. Customizar aplicativo com requisitos validados pelo demandante 3. Validar com o demandante aplicativo customizado e promover ajustes 4. Produzir documentação de customização 5. Disponibilizar em ambiente de produção 6. Verificação funcional da implementação</v>
      </c>
      <c r="H22" s="69" t="str">
        <f>IF(Tab_Estim_Empresas[[#This Row],[COMPLEXIDADE (L)]]="Baixa","Júnior",IF(Tab_Estim_Empresas[[#This Row],[COMPLEXIDADE (L)]]="Média","Pleno","Sênior"))</f>
        <v>Pleno</v>
      </c>
      <c r="I22" s="73">
        <f>IFERROR(VLOOKUP(Tab_Estim_Empresas[[#This Row],[QUALIFICAÇÃO DOS PROFISSIONAIS NECESSÁRIOS (H)]],'Custo dos Profissionais'!$A$5:$D$7,3,FALSE),"")</f>
        <v>19690.86</v>
      </c>
      <c r="J22" s="73">
        <f>IFERROR(Tab_Estim_Empresas[[#This Row],[ESTIMATIVA DO CUSTO MENSAL DO PROFISSIONAL (I)]]/(22*8),"")</f>
        <v>111.87988636363637</v>
      </c>
      <c r="K22" s="74" t="str">
        <f>Tab_Estim_ANAC[[#This Row],[PARÂMETRO (K)]]</f>
        <v>Por customização</v>
      </c>
      <c r="L22" s="71" t="str">
        <f>Tab_Estim_ANAC[[#This Row],[COMPLEXIDADE (L)]]</f>
        <v>Média</v>
      </c>
      <c r="M22" s="71">
        <f ca="1">SUMIF(Tabela3[[ID]:[Horas estimadas]],Tab_Estim_Empresas[[#This Row],[ID (C) ]],Tabela3[Horas estimadas])</f>
        <v>82</v>
      </c>
      <c r="N22" s="75">
        <f>IFERROR(VLOOKUP(Tab_Estim_Empresas[[#This Row],[QUALIFICAÇÃO DOS PROFISSIONAIS NECESSÁRIOS (H)]],'Custo dos Profissionais'!$A$5:$D$7,4,FALSE),"")</f>
        <v>1.341342891942485</v>
      </c>
      <c r="O22" s="75">
        <f ca="1">IFERROR(M22*N22,"")</f>
        <v>109.99011713928377</v>
      </c>
      <c r="P22" s="71">
        <f>Tab_Estim_ANAC[[#This Row],[QUANTIDADE DE EXECUÇÕES PREVISTAS EM 36 MESES (P)]]</f>
        <v>3</v>
      </c>
      <c r="Q22" s="75">
        <f ca="1">IFERROR(Tab_Estim_Empresas[[#This Row],[QUANTIDADE DE UES
(O = M*N)]]*Tab_Estim_Empresas[[#This Row],[QUANTIDADE DE EXECUÇÕES PREVISTAS EM 36 MESES (P)]],"")</f>
        <v>329.9703514178513</v>
      </c>
      <c r="R22" s="76">
        <f ca="1">IFERROR(Tab_Estim_Empresas[[#This Row],[CUSTO HORA DO PROFISSIONAL (J)]]*Tab_Estim_Empresas[[#This Row],[QUANTIDADE HORAS (M)]],"")</f>
        <v>9174.1506818181824</v>
      </c>
      <c r="S22" s="76">
        <f ca="1">IFERROR(Tab_Estim_Empresas[[#This Row],[CUSTO UNITÁRIO DO SERVIÇO (R = M*J)]]*Tab_Estim_Empresas[[#This Row],[QUANTIDADE DE EXECUÇÕES PREVISTAS EM 36 MESES (P)]],"")</f>
        <v>27522.452045454549</v>
      </c>
      <c r="T22" s="77">
        <f ca="1">Tab_Estim_Empresas[[#This Row],[QUANTIDADE DE UES
(O = M*N)]]*'Quadro Resumo'!$J$6</f>
        <v>9174.2756705876582</v>
      </c>
      <c r="U22" s="77">
        <f ca="1">Tab_Estim_Empresas[[#This Row],[QUANTIDADE 36 MESES DE UES AJUSTADO
(Q =O*P)]]*'Quadro Resumo'!$J$6</f>
        <v>27522.827011762976</v>
      </c>
      <c r="V22" s="78">
        <f>Tab_Estim_ANAC[[#This Row],[PRAZO PARA EXECUÇÃO DO SERVIÇO (DIAS ÚTEIS)]]</f>
        <v>15</v>
      </c>
      <c r="W22" s="69" t="str">
        <f>Tab_Estim_ANAC[[#This Row],[JUSTIFICATIVA PARA QUANTIDADE DE EXECUÇÕES]]</f>
        <v>3 ajustes pontuais durante todo a vigência do contrato</v>
      </c>
    </row>
    <row r="23" spans="1:23" ht="142.5" customHeight="1" x14ac:dyDescent="0.35">
      <c r="A23" s="59" t="str">
        <f>Tab_Estim_ANAC[[#This Row],[SEGMENTO (A)]]</f>
        <v>Fluxo de aplicações</v>
      </c>
      <c r="B23" s="3">
        <f>Tab_Estim_ANAC[[#This Row],[ITEM (B)]]</f>
        <v>12</v>
      </c>
      <c r="C23" s="3" t="str">
        <f>Tab_Estim_ANAC[[#This Row],[ID (C) ]]</f>
        <v>12.01</v>
      </c>
      <c r="D23" s="53" t="str">
        <f>Tab_Estim_ANAC[[#This Row],[NOME DO SERVIÇO (D)]]</f>
        <v>Parametrização de nova aplicação</v>
      </c>
      <c r="E23" s="3" t="str">
        <f>Tab_Estim_ANAC[[#This Row],[DESCRIÇÃO DO SERVIÇO (E)]]</f>
        <v>Parametrização de nova aplicação integrada à solução, conforme requisitos levantados junto à area de negócio da ANAC</v>
      </c>
      <c r="F23" s="53" t="str">
        <f>Tab_Estim_ANAC[[#This Row],[PRODUTOS/ENTREGÁVEIS (F)]]</f>
        <v>Aplicação implementada</v>
      </c>
      <c r="G23" s="53" t="str">
        <f>Tab_Estim_ANAC[[#This Row],[ATIVIDADES ESPERADAS (G)]]</f>
        <v>1. Levantar dados e informações sobre o fluxo a ser implementado 2. Parametrizar solução com o fluxo validado pelo demandante 3. Validar com o demandante fluxo implementado e promover ajustes 4. Produzir documentação do fluxo 5. Disponibilizar em ambiente de produção 6. Verificação funcional do fluxo na solução</v>
      </c>
      <c r="H23" s="53" t="str">
        <f>IF(Tab_Estim_Empresas[[#This Row],[COMPLEXIDADE (L)]]="Baixa","Júnior",IF(Tab_Estim_Empresas[[#This Row],[COMPLEXIDADE (L)]]="Média","Pleno","Sênior"))</f>
        <v>Sênior</v>
      </c>
      <c r="I23" s="54">
        <f>IFERROR(VLOOKUP(Tab_Estim_Empresas[[#This Row],[QUALIFICAÇÃO DOS PROFISSIONAIS NECESSÁRIOS (H)]],'Custo dos Profissionais'!$A$5:$D$7,3,FALSE),"")</f>
        <v>29233.93</v>
      </c>
      <c r="J23" s="54">
        <f>IFERROR(Tab_Estim_Empresas[[#This Row],[ESTIMATIVA DO CUSTO MENSAL DO PROFISSIONAL (I)]]/(22*8),"")</f>
        <v>166.10187500000001</v>
      </c>
      <c r="K23" s="61" t="str">
        <f>Tab_Estim_ANAC[[#This Row],[PARÂMETRO (K)]]</f>
        <v>Por aplicação</v>
      </c>
      <c r="L23" s="3" t="str">
        <f>Tab_Estim_ANAC[[#This Row],[COMPLEXIDADE (L)]]</f>
        <v>Alta</v>
      </c>
      <c r="M23" s="3">
        <f ca="1">SUMIF(Tabela3[[ID]:[Horas estimadas]],Tab_Estim_Empresas[[#This Row],[ID (C) ]],Tabela3[Horas estimadas])</f>
        <v>62</v>
      </c>
      <c r="N23" s="19">
        <f>IFERROR(VLOOKUP(Tab_Estim_Empresas[[#This Row],[QUALIFICAÇÃO DOS PROFISSIONAIS NECESSÁRIOS (H)]],'Custo dos Profissionais'!$A$5:$D$7,4,FALSE),"")</f>
        <v>1.9914175515464621</v>
      </c>
      <c r="O23" s="19">
        <f ca="1">IFERROR(M23*N23,"")</f>
        <v>123.46788819588065</v>
      </c>
      <c r="P23" s="3">
        <f>Tab_Estim_ANAC[[#This Row],[QUANTIDADE DE EXECUÇÕES PREVISTAS EM 36 MESES (P)]]</f>
        <v>3</v>
      </c>
      <c r="Q23" s="19">
        <f ca="1">IFERROR(Tab_Estim_Empresas[[#This Row],[QUANTIDADE DE UES
(O = M*N)]]*Tab_Estim_Empresas[[#This Row],[QUANTIDADE DE EXECUÇÕES PREVISTAS EM 36 MESES (P)]],"")</f>
        <v>370.40366458764197</v>
      </c>
      <c r="R23" s="56">
        <f ca="1">IFERROR(Tab_Estim_Empresas[[#This Row],[CUSTO HORA DO PROFISSIONAL (J)]]*Tab_Estim_Empresas[[#This Row],[QUANTIDADE HORAS (M)]],"")</f>
        <v>10298.31625</v>
      </c>
      <c r="S23" s="56">
        <f ca="1">IFERROR(Tab_Estim_Empresas[[#This Row],[CUSTO UNITÁRIO DO SERVIÇO (R = M*J)]]*Tab_Estim_Empresas[[#This Row],[QUANTIDADE DE EXECUÇÕES PREVISTAS EM 36 MESES (P)]],"")</f>
        <v>30894.94875</v>
      </c>
      <c r="T23" s="95">
        <f ca="1">Tab_Estim_Empresas[[#This Row],[QUANTIDADE DE UES
(O = M*N)]]*'Quadro Resumo'!$J$6</f>
        <v>10298.456554418404</v>
      </c>
      <c r="U23" s="95">
        <f ca="1">Tab_Estim_Empresas[[#This Row],[QUANTIDADE 36 MESES DE UES AJUSTADO
(Q =O*P)]]*'Quadro Resumo'!$J$6</f>
        <v>30895.369663255216</v>
      </c>
      <c r="V23" s="66">
        <f>Tab_Estim_ANAC[[#This Row],[PRAZO PARA EXECUÇÃO DO SERVIÇO (DIAS ÚTEIS)]]</f>
        <v>12</v>
      </c>
      <c r="W23" s="53" t="str">
        <f>Tab_Estim_ANAC[[#This Row],[JUSTIFICATIVA PARA QUANTIDADE DE EXECUÇÕES]]</f>
        <v>3 construções de aplicação durante toda a vigência do contrato com foco nos fluxos mais complexos. Os demais serão construídos com base no treinamentos realizados.</v>
      </c>
    </row>
    <row r="24" spans="1:23" ht="163.5" customHeight="1" x14ac:dyDescent="0.35">
      <c r="A24" s="59" t="str">
        <f>Tab_Estim_ANAC[[#This Row],[SEGMENTO (A)]]</f>
        <v>Projeto</v>
      </c>
      <c r="B24" s="3">
        <f>Tab_Estim_ANAC[[#This Row],[ITEM (B)]]</f>
        <v>13</v>
      </c>
      <c r="C24" s="3" t="str">
        <f>Tab_Estim_ANAC[[#This Row],[ID (C) ]]</f>
        <v>13.01</v>
      </c>
      <c r="D24" s="53" t="str">
        <f>Tab_Estim_ANAC[[#This Row],[NOME DO SERVIÇO (D)]]</f>
        <v>Estruturação de projeto</v>
      </c>
      <c r="E24" s="3" t="str">
        <f>Tab_Estim_ANAC[[#This Row],[DESCRIÇÃO DO SERVIÇO (E)]]</f>
        <v xml:space="preserve">Levantamento do ambiente tecnológico e de negócio da ANAC para estruturação da solução com base nas boas práticas de implementação de GRC. </v>
      </c>
      <c r="F24" s="53" t="str">
        <f>Tab_Estim_ANAC[[#This Row],[PRODUTOS/ENTREGÁVEIS (F)]]</f>
        <v>Documento de especificação e implementação da solução com base no ambiente da ANAC</v>
      </c>
      <c r="G24" s="53" t="str">
        <f>Tab_Estim_ANAC[[#This Row],[ATIVIDADES ESPERADAS (G)]]</f>
        <v>1. Levantamento macro dos fluxos operacionais e processos de negócio da ANAC 2. Validação de proposta de escopo e entregas 3. Revisão e ajuste do escopo e entregas 4. Elaboração do cronograma e plano do projeto 5. Elaboração do documento de especificação a ser implementado 6. Definição da visão estratégica, tática e operacional na solução 7. Revisão e validação da visão, tática e operacional na solução</v>
      </c>
      <c r="H24" s="53" t="str">
        <f>IF(Tab_Estim_Empresas[[#This Row],[COMPLEXIDADE (L)]]="Baixa","Júnior",IF(Tab_Estim_Empresas[[#This Row],[COMPLEXIDADE (L)]]="Média","Pleno","Sênior"))</f>
        <v>Pleno</v>
      </c>
      <c r="I24" s="54">
        <f>IFERROR(VLOOKUP(Tab_Estim_Empresas[[#This Row],[QUALIFICAÇÃO DOS PROFISSIONAIS NECESSÁRIOS (H)]],'Custo dos Profissionais'!$A$5:$D$7,3,FALSE),"")</f>
        <v>19690.86</v>
      </c>
      <c r="J24" s="54">
        <f>IFERROR(Tab_Estim_Empresas[[#This Row],[ESTIMATIVA DO CUSTO MENSAL DO PROFISSIONAL (I)]]/(22*8),"")</f>
        <v>111.87988636363637</v>
      </c>
      <c r="K24" s="61" t="str">
        <f>Tab_Estim_ANAC[[#This Row],[PARÂMETRO (K)]]</f>
        <v>Projeto inicial</v>
      </c>
      <c r="L24" s="3" t="str">
        <f>Tab_Estim_ANAC[[#This Row],[COMPLEXIDADE (L)]]</f>
        <v>Média</v>
      </c>
      <c r="M24" s="3">
        <f ca="1">SUMIF(Tabela3[[ID]:[Horas estimadas]],Tab_Estim_Empresas[[#This Row],[ID (C) ]],Tabela3[Horas estimadas])</f>
        <v>120</v>
      </c>
      <c r="N24" s="19">
        <f>IFERROR(VLOOKUP(Tab_Estim_Empresas[[#This Row],[QUALIFICAÇÃO DOS PROFISSIONAIS NECESSÁRIOS (H)]],'Custo dos Profissionais'!$A$5:$D$7,4,FALSE),"")</f>
        <v>1.341342891942485</v>
      </c>
      <c r="O24" s="19">
        <f ca="1">IFERROR(M24*N24,"")</f>
        <v>160.9611470330982</v>
      </c>
      <c r="P24" s="3">
        <f>Tab_Estim_ANAC[[#This Row],[QUANTIDADE DE EXECUÇÕES PREVISTAS EM 36 MESES (P)]]</f>
        <v>1</v>
      </c>
      <c r="Q24" s="19">
        <f ca="1">IFERROR(Tab_Estim_Empresas[[#This Row],[QUANTIDADE DE UES
(O = M*N)]]*Tab_Estim_Empresas[[#This Row],[QUANTIDADE DE EXECUÇÕES PREVISTAS EM 36 MESES (P)]],"")</f>
        <v>160.9611470330982</v>
      </c>
      <c r="R24" s="56">
        <f ca="1">IFERROR(Tab_Estim_Empresas[[#This Row],[CUSTO HORA DO PROFISSIONAL (J)]]*Tab_Estim_Empresas[[#This Row],[QUANTIDADE HORAS (M)]],"")</f>
        <v>13425.586363636365</v>
      </c>
      <c r="S24" s="56">
        <f ca="1">IFERROR(Tab_Estim_Empresas[[#This Row],[CUSTO UNITÁRIO DO SERVIÇO (R = M*J)]]*Tab_Estim_Empresas[[#This Row],[QUANTIDADE DE EXECUÇÕES PREVISTAS EM 36 MESES (P)]],"")</f>
        <v>13425.586363636365</v>
      </c>
      <c r="T24" s="95">
        <f ca="1">Tab_Estim_Empresas[[#This Row],[QUANTIDADE DE UES
(O = M*N)]]*'Quadro Resumo'!$J$6</f>
        <v>13425.769274030721</v>
      </c>
      <c r="U24" s="95">
        <f ca="1">Tab_Estim_Empresas[[#This Row],[QUANTIDADE 36 MESES DE UES AJUSTADO
(Q =O*P)]]*'Quadro Resumo'!$J$6</f>
        <v>13425.769274030721</v>
      </c>
      <c r="V24" s="66">
        <f>Tab_Estim_ANAC[[#This Row],[PRAZO PARA EXECUÇÃO DO SERVIÇO (DIAS ÚTEIS)]]</f>
        <v>22</v>
      </c>
      <c r="W24" s="53" t="str">
        <f>Tab_Estim_ANAC[[#This Row],[JUSTIFICATIVA PARA QUANTIDADE DE EXECUÇÕES]]</f>
        <v>1 Avaliação inicial do ambiente tecnológico e de negócio</v>
      </c>
    </row>
    <row r="25" spans="1:23" x14ac:dyDescent="0.35">
      <c r="A25" s="59"/>
      <c r="B25" s="3"/>
      <c r="C25" s="3"/>
      <c r="D25" s="3"/>
      <c r="E25" s="3"/>
      <c r="F25" s="3"/>
      <c r="G25" s="3"/>
      <c r="H25" s="53"/>
      <c r="I25" s="91"/>
      <c r="J25" s="91"/>
      <c r="K25" s="61"/>
      <c r="L25" s="3"/>
      <c r="M25" s="3"/>
      <c r="N25" s="92"/>
      <c r="O25" s="92"/>
      <c r="P25" s="3"/>
      <c r="Q25" s="92">
        <f ca="1">SUBTOTAL(109,Tab_Estim_Empresas[QUANTIDADE 36 MESES DE UES AJUSTADO
(Q =O*P)])</f>
        <v>12891.497614434918</v>
      </c>
      <c r="R25" s="93"/>
      <c r="S25" s="93">
        <f ca="1">SUBTOTAL(109,Tab_Estim_Empresas[CUSTO TOTAL DO SERVIÇO (S = R*P)])</f>
        <v>1075265.1665909092</v>
      </c>
      <c r="T25" s="96"/>
      <c r="U25" s="96">
        <f ca="1">SUBTOTAL(109,Tab_Estim_Empresas[CUSTO TOTAL DO SERVIÇO (U = UES OFERTADA*Q)])</f>
        <v>1075279.8160200166</v>
      </c>
      <c r="V25" s="94"/>
      <c r="W25" s="3"/>
    </row>
    <row r="26" spans="1:23" x14ac:dyDescent="0.35">
      <c r="A26" s="2"/>
    </row>
    <row r="27" spans="1:23" x14ac:dyDescent="0.35">
      <c r="A27" s="2"/>
    </row>
    <row r="28" spans="1:23" x14ac:dyDescent="0.35">
      <c r="A28" s="2"/>
    </row>
    <row r="29" spans="1:23" x14ac:dyDescent="0.35">
      <c r="A29" s="2"/>
    </row>
    <row r="30" spans="1:23" x14ac:dyDescent="0.35">
      <c r="A30" s="2"/>
    </row>
    <row r="31" spans="1:23" x14ac:dyDescent="0.35">
      <c r="A31" s="2"/>
    </row>
    <row r="32" spans="1:23" x14ac:dyDescent="0.35">
      <c r="A32" s="2"/>
    </row>
    <row r="33" spans="1:1" x14ac:dyDescent="0.35">
      <c r="A33" s="2"/>
    </row>
    <row r="34" spans="1:1" x14ac:dyDescent="0.35">
      <c r="A34" s="2"/>
    </row>
    <row r="35" spans="1:1" x14ac:dyDescent="0.35">
      <c r="A35" s="2"/>
    </row>
    <row r="36" spans="1:1" x14ac:dyDescent="0.35">
      <c r="A36" s="2"/>
    </row>
    <row r="37" spans="1:1" x14ac:dyDescent="0.35">
      <c r="A37" s="2"/>
    </row>
    <row r="38" spans="1:1" x14ac:dyDescent="0.35">
      <c r="A38" s="2"/>
    </row>
    <row r="39" spans="1:1" x14ac:dyDescent="0.35">
      <c r="A39" s="2"/>
    </row>
    <row r="40" spans="1:1" x14ac:dyDescent="0.35">
      <c r="A40" s="2"/>
    </row>
    <row r="41" spans="1:1" x14ac:dyDescent="0.35">
      <c r="A41" s="2"/>
    </row>
    <row r="42" spans="1:1" x14ac:dyDescent="0.35">
      <c r="A42" s="2"/>
    </row>
    <row r="43" spans="1:1" x14ac:dyDescent="0.35">
      <c r="A43" s="2"/>
    </row>
    <row r="44" spans="1:1" x14ac:dyDescent="0.35">
      <c r="A44" s="2"/>
    </row>
    <row r="45" spans="1:1" x14ac:dyDescent="0.35">
      <c r="A45" s="2"/>
    </row>
    <row r="46" spans="1:1" x14ac:dyDescent="0.35">
      <c r="A46" s="2"/>
    </row>
    <row r="47" spans="1:1" x14ac:dyDescent="0.35">
      <c r="A47" s="2"/>
    </row>
    <row r="48" spans="1:1" x14ac:dyDescent="0.35">
      <c r="A48" s="2"/>
    </row>
    <row r="49" spans="1:1" x14ac:dyDescent="0.35">
      <c r="A49" s="2"/>
    </row>
    <row r="50" spans="1:1" x14ac:dyDescent="0.35">
      <c r="A50" s="2"/>
    </row>
    <row r="51" spans="1:1" x14ac:dyDescent="0.35">
      <c r="A51" s="2"/>
    </row>
    <row r="52" spans="1:1" x14ac:dyDescent="0.35">
      <c r="A52" s="2"/>
    </row>
    <row r="53" spans="1:1" x14ac:dyDescent="0.35">
      <c r="A53" s="2"/>
    </row>
    <row r="54" spans="1:1" x14ac:dyDescent="0.35">
      <c r="A54" s="2"/>
    </row>
    <row r="55" spans="1:1" x14ac:dyDescent="0.35">
      <c r="A55" s="2"/>
    </row>
    <row r="56" spans="1:1" x14ac:dyDescent="0.35">
      <c r="A56" s="2"/>
    </row>
    <row r="57" spans="1:1" x14ac:dyDescent="0.35">
      <c r="A57" s="2"/>
    </row>
    <row r="58" spans="1:1" x14ac:dyDescent="0.35">
      <c r="A58" s="2"/>
    </row>
    <row r="59" spans="1:1" x14ac:dyDescent="0.35">
      <c r="A59" s="2"/>
    </row>
    <row r="60" spans="1:1" x14ac:dyDescent="0.35">
      <c r="A60" s="2"/>
    </row>
    <row r="61" spans="1:1" x14ac:dyDescent="0.35">
      <c r="A61" s="2"/>
    </row>
    <row r="62" spans="1:1" x14ac:dyDescent="0.35">
      <c r="A62" s="2"/>
    </row>
    <row r="63" spans="1:1" x14ac:dyDescent="0.35">
      <c r="A63" s="2"/>
    </row>
    <row r="64" spans="1:1" x14ac:dyDescent="0.35">
      <c r="A64" s="2"/>
    </row>
    <row r="65" spans="1:1" x14ac:dyDescent="0.35">
      <c r="A65" s="2"/>
    </row>
    <row r="66" spans="1:1" x14ac:dyDescent="0.35">
      <c r="A66" s="2"/>
    </row>
    <row r="67" spans="1:1" x14ac:dyDescent="0.35">
      <c r="A67" s="2"/>
    </row>
    <row r="68" spans="1:1" x14ac:dyDescent="0.35">
      <c r="A68" s="2"/>
    </row>
    <row r="69" spans="1:1" x14ac:dyDescent="0.35">
      <c r="A69" s="2"/>
    </row>
    <row r="70" spans="1:1" x14ac:dyDescent="0.35">
      <c r="A70" s="2"/>
    </row>
    <row r="71" spans="1:1" x14ac:dyDescent="0.35">
      <c r="A71" s="2"/>
    </row>
    <row r="72" spans="1:1" x14ac:dyDescent="0.35">
      <c r="A72" s="2"/>
    </row>
    <row r="73" spans="1:1" x14ac:dyDescent="0.35">
      <c r="A73" s="2"/>
    </row>
    <row r="74" spans="1:1" x14ac:dyDescent="0.35">
      <c r="A74" s="2"/>
    </row>
    <row r="75" spans="1:1" x14ac:dyDescent="0.35">
      <c r="A75" s="2"/>
    </row>
    <row r="76" spans="1:1" x14ac:dyDescent="0.35">
      <c r="A76" s="2"/>
    </row>
    <row r="77" spans="1:1" x14ac:dyDescent="0.35">
      <c r="A77" s="2"/>
    </row>
    <row r="78" spans="1:1" x14ac:dyDescent="0.35">
      <c r="A78" s="2"/>
    </row>
    <row r="79" spans="1:1" x14ac:dyDescent="0.35">
      <c r="A79" s="2"/>
    </row>
    <row r="80" spans="1:1" x14ac:dyDescent="0.35">
      <c r="A80" s="2"/>
    </row>
    <row r="81" spans="1:1" x14ac:dyDescent="0.35">
      <c r="A81" s="2"/>
    </row>
    <row r="82" spans="1:1" x14ac:dyDescent="0.35">
      <c r="A82" s="2"/>
    </row>
    <row r="83" spans="1:1" x14ac:dyDescent="0.35">
      <c r="A83" s="2"/>
    </row>
    <row r="84" spans="1:1" x14ac:dyDescent="0.35">
      <c r="A84" s="2"/>
    </row>
    <row r="85" spans="1:1" x14ac:dyDescent="0.35">
      <c r="A85" s="2"/>
    </row>
    <row r="86" spans="1:1" x14ac:dyDescent="0.35">
      <c r="A86" s="2"/>
    </row>
    <row r="87" spans="1:1" x14ac:dyDescent="0.35">
      <c r="A87" s="2"/>
    </row>
    <row r="88" spans="1:1" x14ac:dyDescent="0.35">
      <c r="A88" s="2"/>
    </row>
    <row r="89" spans="1:1" x14ac:dyDescent="0.35">
      <c r="A89" s="2"/>
    </row>
    <row r="90" spans="1:1" x14ac:dyDescent="0.35">
      <c r="A90" s="2"/>
    </row>
    <row r="91" spans="1:1" x14ac:dyDescent="0.35">
      <c r="A91" s="2"/>
    </row>
    <row r="92" spans="1:1" x14ac:dyDescent="0.35">
      <c r="A92" s="2"/>
    </row>
    <row r="93" spans="1:1" x14ac:dyDescent="0.35">
      <c r="A93" s="2"/>
    </row>
    <row r="94" spans="1:1" x14ac:dyDescent="0.35">
      <c r="A94" s="2"/>
    </row>
    <row r="95" spans="1:1" x14ac:dyDescent="0.35">
      <c r="A95" s="2"/>
    </row>
    <row r="96" spans="1:1" x14ac:dyDescent="0.35">
      <c r="A96" s="2"/>
    </row>
    <row r="97" spans="1:1" x14ac:dyDescent="0.35">
      <c r="A97" s="2"/>
    </row>
    <row r="98" spans="1:1" x14ac:dyDescent="0.35">
      <c r="A98" s="2"/>
    </row>
    <row r="99" spans="1:1" x14ac:dyDescent="0.35">
      <c r="A99" s="2"/>
    </row>
    <row r="100" spans="1:1" x14ac:dyDescent="0.35">
      <c r="A100" s="2"/>
    </row>
    <row r="101" spans="1:1" x14ac:dyDescent="0.35">
      <c r="A101" s="2"/>
    </row>
    <row r="102" spans="1:1" x14ac:dyDescent="0.35">
      <c r="A102" s="2"/>
    </row>
    <row r="103" spans="1:1" x14ac:dyDescent="0.35">
      <c r="A103" s="2"/>
    </row>
    <row r="104" spans="1:1" x14ac:dyDescent="0.35">
      <c r="A104" s="2"/>
    </row>
    <row r="105" spans="1:1" x14ac:dyDescent="0.35">
      <c r="A105" s="2"/>
    </row>
    <row r="106" spans="1:1" x14ac:dyDescent="0.35">
      <c r="A106" s="2"/>
    </row>
    <row r="107" spans="1:1" x14ac:dyDescent="0.35">
      <c r="A107" s="2"/>
    </row>
    <row r="108" spans="1:1" x14ac:dyDescent="0.35">
      <c r="A108" s="2"/>
    </row>
    <row r="109" spans="1:1" x14ac:dyDescent="0.35">
      <c r="A109" s="2"/>
    </row>
    <row r="110" spans="1:1" x14ac:dyDescent="0.35">
      <c r="A110" s="2"/>
    </row>
    <row r="111" spans="1:1" x14ac:dyDescent="0.35">
      <c r="A111" s="2"/>
    </row>
    <row r="112" spans="1:1" x14ac:dyDescent="0.35">
      <c r="A112" s="2"/>
    </row>
    <row r="113" spans="1:1" x14ac:dyDescent="0.35">
      <c r="A113" s="2"/>
    </row>
    <row r="114" spans="1:1" x14ac:dyDescent="0.35">
      <c r="A114" s="2"/>
    </row>
    <row r="115" spans="1:1" x14ac:dyDescent="0.35">
      <c r="A115" s="2"/>
    </row>
    <row r="116" spans="1:1" x14ac:dyDescent="0.35">
      <c r="A116" s="2"/>
    </row>
    <row r="117" spans="1:1" x14ac:dyDescent="0.35">
      <c r="A117" s="2"/>
    </row>
    <row r="118" spans="1:1" x14ac:dyDescent="0.35">
      <c r="A118" s="2"/>
    </row>
    <row r="119" spans="1:1" x14ac:dyDescent="0.35">
      <c r="A119" s="2"/>
    </row>
    <row r="120" spans="1:1" x14ac:dyDescent="0.35">
      <c r="A120" s="2"/>
    </row>
    <row r="121" spans="1:1" x14ac:dyDescent="0.35">
      <c r="A121" s="2"/>
    </row>
    <row r="122" spans="1:1" x14ac:dyDescent="0.35">
      <c r="A122" s="2"/>
    </row>
    <row r="123" spans="1:1" x14ac:dyDescent="0.35">
      <c r="A123" s="2"/>
    </row>
    <row r="124" spans="1:1" x14ac:dyDescent="0.35">
      <c r="A124" s="2"/>
    </row>
    <row r="125" spans="1:1" x14ac:dyDescent="0.35">
      <c r="A125" s="2"/>
    </row>
    <row r="126" spans="1:1" x14ac:dyDescent="0.35">
      <c r="A126" s="2"/>
    </row>
    <row r="127" spans="1:1" x14ac:dyDescent="0.35">
      <c r="A127" s="2"/>
    </row>
    <row r="128" spans="1:1" x14ac:dyDescent="0.35">
      <c r="A128" s="2"/>
    </row>
    <row r="129" spans="1:1" x14ac:dyDescent="0.35">
      <c r="A129" s="2"/>
    </row>
    <row r="130" spans="1:1" x14ac:dyDescent="0.35">
      <c r="A130" s="2"/>
    </row>
    <row r="131" spans="1:1" x14ac:dyDescent="0.35">
      <c r="A131" s="2"/>
    </row>
    <row r="132" spans="1:1" x14ac:dyDescent="0.35">
      <c r="A132" s="2"/>
    </row>
    <row r="133" spans="1:1" x14ac:dyDescent="0.35">
      <c r="A133" s="2"/>
    </row>
    <row r="134" spans="1:1" x14ac:dyDescent="0.35">
      <c r="A134" s="2"/>
    </row>
    <row r="135" spans="1:1" x14ac:dyDescent="0.35">
      <c r="A135" s="2"/>
    </row>
    <row r="136" spans="1:1" x14ac:dyDescent="0.35">
      <c r="A136" s="2"/>
    </row>
    <row r="137" spans="1:1" x14ac:dyDescent="0.35">
      <c r="A137" s="2"/>
    </row>
    <row r="138" spans="1:1" x14ac:dyDescent="0.35">
      <c r="A138" s="2"/>
    </row>
    <row r="139" spans="1:1" x14ac:dyDescent="0.35">
      <c r="A139" s="2"/>
    </row>
    <row r="140" spans="1:1" x14ac:dyDescent="0.35">
      <c r="A140" s="2"/>
    </row>
    <row r="141" spans="1:1" x14ac:dyDescent="0.35">
      <c r="A141" s="2"/>
    </row>
    <row r="142" spans="1:1" x14ac:dyDescent="0.35">
      <c r="A142" s="2"/>
    </row>
    <row r="143" spans="1:1" x14ac:dyDescent="0.35">
      <c r="A143" s="2"/>
    </row>
    <row r="144" spans="1:1" x14ac:dyDescent="0.35">
      <c r="A144" s="2"/>
    </row>
    <row r="145" spans="1:1" x14ac:dyDescent="0.35">
      <c r="A145" s="2"/>
    </row>
    <row r="146" spans="1:1" x14ac:dyDescent="0.35">
      <c r="A146" s="2"/>
    </row>
    <row r="147" spans="1:1" x14ac:dyDescent="0.35">
      <c r="A147" s="2"/>
    </row>
    <row r="148" spans="1:1" x14ac:dyDescent="0.35">
      <c r="A148" s="2"/>
    </row>
    <row r="149" spans="1:1" x14ac:dyDescent="0.35">
      <c r="A149" s="2"/>
    </row>
    <row r="150" spans="1:1" x14ac:dyDescent="0.35">
      <c r="A150" s="2"/>
    </row>
    <row r="151" spans="1:1" x14ac:dyDescent="0.35">
      <c r="A151" s="2"/>
    </row>
    <row r="152" spans="1:1" x14ac:dyDescent="0.35">
      <c r="A152" s="2"/>
    </row>
    <row r="153" spans="1:1" x14ac:dyDescent="0.35">
      <c r="A153" s="2"/>
    </row>
    <row r="154" spans="1:1" x14ac:dyDescent="0.35">
      <c r="A154" s="2"/>
    </row>
    <row r="155" spans="1:1" x14ac:dyDescent="0.35">
      <c r="A155" s="2"/>
    </row>
    <row r="156" spans="1:1" x14ac:dyDescent="0.35">
      <c r="A156" s="2"/>
    </row>
    <row r="157" spans="1:1" x14ac:dyDescent="0.35">
      <c r="A157" s="2"/>
    </row>
    <row r="158" spans="1:1" x14ac:dyDescent="0.35">
      <c r="A158" s="2"/>
    </row>
    <row r="159" spans="1:1" x14ac:dyDescent="0.35">
      <c r="A159" s="2"/>
    </row>
    <row r="160" spans="1:1" x14ac:dyDescent="0.35">
      <c r="A160" s="2"/>
    </row>
    <row r="161" spans="1:1" x14ac:dyDescent="0.35">
      <c r="A161" s="2"/>
    </row>
    <row r="162" spans="1:1" x14ac:dyDescent="0.35">
      <c r="A162" s="2"/>
    </row>
    <row r="163" spans="1:1" x14ac:dyDescent="0.35">
      <c r="A163" s="2"/>
    </row>
    <row r="164" spans="1:1" x14ac:dyDescent="0.35">
      <c r="A164" s="2"/>
    </row>
    <row r="165" spans="1:1" x14ac:dyDescent="0.35">
      <c r="A165" s="2"/>
    </row>
    <row r="166" spans="1:1" x14ac:dyDescent="0.35">
      <c r="A166" s="2"/>
    </row>
    <row r="167" spans="1:1" x14ac:dyDescent="0.35">
      <c r="A167" s="2"/>
    </row>
    <row r="168" spans="1:1" x14ac:dyDescent="0.35">
      <c r="A168" s="2"/>
    </row>
    <row r="169" spans="1:1" x14ac:dyDescent="0.35">
      <c r="A169" s="2"/>
    </row>
    <row r="170" spans="1:1" x14ac:dyDescent="0.35">
      <c r="A170" s="2"/>
    </row>
    <row r="171" spans="1:1" x14ac:dyDescent="0.35">
      <c r="A171" s="2"/>
    </row>
    <row r="172" spans="1:1" x14ac:dyDescent="0.35">
      <c r="A172" s="2"/>
    </row>
    <row r="173" spans="1:1" x14ac:dyDescent="0.35">
      <c r="A173" s="2"/>
    </row>
    <row r="174" spans="1:1" x14ac:dyDescent="0.35">
      <c r="A174" s="2"/>
    </row>
    <row r="175" spans="1:1" x14ac:dyDescent="0.35">
      <c r="A175" s="2"/>
    </row>
    <row r="176" spans="1:1" x14ac:dyDescent="0.35">
      <c r="A176" s="2"/>
    </row>
    <row r="177" spans="1:1" x14ac:dyDescent="0.35">
      <c r="A177" s="2"/>
    </row>
    <row r="178" spans="1:1" x14ac:dyDescent="0.35">
      <c r="A178" s="2"/>
    </row>
    <row r="179" spans="1:1" x14ac:dyDescent="0.35">
      <c r="A179" s="2"/>
    </row>
    <row r="180" spans="1:1" x14ac:dyDescent="0.35">
      <c r="A180" s="2"/>
    </row>
    <row r="181" spans="1:1" x14ac:dyDescent="0.35">
      <c r="A181" s="2"/>
    </row>
    <row r="182" spans="1:1" x14ac:dyDescent="0.35">
      <c r="A182" s="2"/>
    </row>
    <row r="183" spans="1:1" x14ac:dyDescent="0.35">
      <c r="A183" s="2"/>
    </row>
    <row r="184" spans="1:1" x14ac:dyDescent="0.35">
      <c r="A184" s="2"/>
    </row>
    <row r="185" spans="1:1" x14ac:dyDescent="0.35">
      <c r="A185" s="2"/>
    </row>
    <row r="186" spans="1:1" x14ac:dyDescent="0.35">
      <c r="A186" s="2"/>
    </row>
    <row r="187" spans="1:1" x14ac:dyDescent="0.35">
      <c r="A187" s="2"/>
    </row>
    <row r="188" spans="1:1" x14ac:dyDescent="0.35">
      <c r="A188" s="2"/>
    </row>
    <row r="189" spans="1:1" x14ac:dyDescent="0.35">
      <c r="A189" s="2"/>
    </row>
    <row r="190" spans="1:1" x14ac:dyDescent="0.35">
      <c r="A190" s="2"/>
    </row>
    <row r="191" spans="1:1" x14ac:dyDescent="0.35">
      <c r="A191" s="2"/>
    </row>
    <row r="192" spans="1:1" x14ac:dyDescent="0.35">
      <c r="A192" s="2"/>
    </row>
    <row r="193" spans="1:1" x14ac:dyDescent="0.35">
      <c r="A193" s="2"/>
    </row>
    <row r="194" spans="1:1" x14ac:dyDescent="0.35">
      <c r="A194" s="2"/>
    </row>
    <row r="195" spans="1:1" x14ac:dyDescent="0.35">
      <c r="A195" s="2"/>
    </row>
    <row r="196" spans="1:1" x14ac:dyDescent="0.35">
      <c r="A196" s="2"/>
    </row>
    <row r="197" spans="1:1" x14ac:dyDescent="0.35">
      <c r="A197" s="2"/>
    </row>
    <row r="198" spans="1:1" x14ac:dyDescent="0.35">
      <c r="A198" s="2"/>
    </row>
    <row r="199" spans="1:1" x14ac:dyDescent="0.35">
      <c r="A199" s="2"/>
    </row>
    <row r="200" spans="1:1" x14ac:dyDescent="0.35">
      <c r="A200" s="2"/>
    </row>
    <row r="201" spans="1:1" x14ac:dyDescent="0.35">
      <c r="A201" s="2"/>
    </row>
    <row r="202" spans="1:1" x14ac:dyDescent="0.35">
      <c r="A202" s="2"/>
    </row>
    <row r="203" spans="1:1" x14ac:dyDescent="0.35">
      <c r="A203" s="2"/>
    </row>
    <row r="204" spans="1:1" x14ac:dyDescent="0.35">
      <c r="A204" s="2"/>
    </row>
    <row r="205" spans="1:1" x14ac:dyDescent="0.35">
      <c r="A205" s="2"/>
    </row>
    <row r="206" spans="1:1" x14ac:dyDescent="0.35">
      <c r="A206" s="2"/>
    </row>
    <row r="207" spans="1:1" x14ac:dyDescent="0.35">
      <c r="A207" s="2"/>
    </row>
    <row r="208" spans="1:1" x14ac:dyDescent="0.35">
      <c r="A208" s="2"/>
    </row>
    <row r="209" spans="1:1" x14ac:dyDescent="0.35">
      <c r="A209" s="2"/>
    </row>
    <row r="210" spans="1:1" x14ac:dyDescent="0.35">
      <c r="A210" s="2"/>
    </row>
    <row r="211" spans="1:1" x14ac:dyDescent="0.35">
      <c r="A211" s="2"/>
    </row>
    <row r="212" spans="1:1" x14ac:dyDescent="0.35">
      <c r="A212" s="2"/>
    </row>
    <row r="213" spans="1:1" x14ac:dyDescent="0.35">
      <c r="A213" s="2"/>
    </row>
    <row r="214" spans="1:1" x14ac:dyDescent="0.35">
      <c r="A214" s="2"/>
    </row>
    <row r="215" spans="1:1" x14ac:dyDescent="0.35">
      <c r="A215" s="2"/>
    </row>
    <row r="216" spans="1:1" x14ac:dyDescent="0.35">
      <c r="A216" s="2"/>
    </row>
    <row r="217" spans="1:1" x14ac:dyDescent="0.35">
      <c r="A217" s="2"/>
    </row>
    <row r="218" spans="1:1" x14ac:dyDescent="0.35">
      <c r="A218" s="2"/>
    </row>
    <row r="219" spans="1:1" x14ac:dyDescent="0.35">
      <c r="A219" s="2"/>
    </row>
    <row r="220" spans="1:1" x14ac:dyDescent="0.35">
      <c r="A220" s="2"/>
    </row>
    <row r="221" spans="1:1" x14ac:dyDescent="0.35">
      <c r="A221" s="2"/>
    </row>
    <row r="222" spans="1:1" x14ac:dyDescent="0.35">
      <c r="A222" s="2"/>
    </row>
    <row r="223" spans="1:1" x14ac:dyDescent="0.35">
      <c r="A223" s="2"/>
    </row>
    <row r="224" spans="1:1" x14ac:dyDescent="0.35">
      <c r="A224" s="2"/>
    </row>
    <row r="225" spans="1:1" x14ac:dyDescent="0.35">
      <c r="A225" s="2"/>
    </row>
    <row r="226" spans="1:1" x14ac:dyDescent="0.35">
      <c r="A226" s="2"/>
    </row>
    <row r="227" spans="1:1" x14ac:dyDescent="0.35">
      <c r="A227" s="2"/>
    </row>
    <row r="228" spans="1:1" x14ac:dyDescent="0.35">
      <c r="A228" s="2"/>
    </row>
    <row r="229" spans="1:1" x14ac:dyDescent="0.35">
      <c r="A229" s="2"/>
    </row>
    <row r="230" spans="1:1" x14ac:dyDescent="0.35">
      <c r="A230" s="2"/>
    </row>
    <row r="231" spans="1:1" x14ac:dyDescent="0.35">
      <c r="A231" s="2"/>
    </row>
    <row r="232" spans="1:1" x14ac:dyDescent="0.35">
      <c r="A232" s="2"/>
    </row>
    <row r="233" spans="1:1" x14ac:dyDescent="0.35">
      <c r="A233" s="2"/>
    </row>
    <row r="234" spans="1:1" x14ac:dyDescent="0.35">
      <c r="A234" s="2"/>
    </row>
    <row r="235" spans="1:1" x14ac:dyDescent="0.35">
      <c r="A235" s="2"/>
    </row>
    <row r="236" spans="1:1" x14ac:dyDescent="0.35">
      <c r="A236" s="2"/>
    </row>
    <row r="237" spans="1:1" x14ac:dyDescent="0.35">
      <c r="A237" s="2"/>
    </row>
    <row r="238" spans="1:1" x14ac:dyDescent="0.35">
      <c r="A238" s="2"/>
    </row>
    <row r="239" spans="1:1" x14ac:dyDescent="0.35">
      <c r="A239" s="2"/>
    </row>
    <row r="240" spans="1:1" x14ac:dyDescent="0.35">
      <c r="A240" s="2"/>
    </row>
    <row r="241" spans="1:1" x14ac:dyDescent="0.35">
      <c r="A241" s="2"/>
    </row>
    <row r="242" spans="1:1" x14ac:dyDescent="0.35">
      <c r="A242" s="2"/>
    </row>
    <row r="243" spans="1:1" x14ac:dyDescent="0.35">
      <c r="A243" s="2"/>
    </row>
    <row r="244" spans="1:1" x14ac:dyDescent="0.35">
      <c r="A244" s="2"/>
    </row>
    <row r="245" spans="1:1" x14ac:dyDescent="0.35">
      <c r="A245" s="2"/>
    </row>
    <row r="246" spans="1:1" x14ac:dyDescent="0.35">
      <c r="A246" s="2"/>
    </row>
    <row r="247" spans="1:1" x14ac:dyDescent="0.35">
      <c r="A247" s="2"/>
    </row>
    <row r="248" spans="1:1" x14ac:dyDescent="0.35">
      <c r="A248" s="2"/>
    </row>
    <row r="249" spans="1:1" x14ac:dyDescent="0.35">
      <c r="A249" s="2"/>
    </row>
    <row r="250" spans="1:1" x14ac:dyDescent="0.35">
      <c r="A250" s="2"/>
    </row>
    <row r="251" spans="1:1" x14ac:dyDescent="0.35">
      <c r="A251" s="2"/>
    </row>
    <row r="252" spans="1:1" x14ac:dyDescent="0.35">
      <c r="A252" s="2"/>
    </row>
    <row r="253" spans="1:1" x14ac:dyDescent="0.35">
      <c r="A253" s="2"/>
    </row>
    <row r="254" spans="1:1" x14ac:dyDescent="0.35">
      <c r="A254" s="2"/>
    </row>
    <row r="255" spans="1:1" x14ac:dyDescent="0.35">
      <c r="A255" s="2"/>
    </row>
    <row r="256" spans="1:1" x14ac:dyDescent="0.35">
      <c r="A256" s="2"/>
    </row>
    <row r="257" spans="1:1" x14ac:dyDescent="0.35">
      <c r="A257" s="2"/>
    </row>
    <row r="258" spans="1:1" x14ac:dyDescent="0.35">
      <c r="A258" s="2"/>
    </row>
    <row r="259" spans="1:1" x14ac:dyDescent="0.35">
      <c r="A259" s="2"/>
    </row>
    <row r="260" spans="1:1" x14ac:dyDescent="0.35">
      <c r="A260" s="2"/>
    </row>
    <row r="261" spans="1:1" x14ac:dyDescent="0.35">
      <c r="A261" s="2"/>
    </row>
    <row r="262" spans="1:1" x14ac:dyDescent="0.35">
      <c r="A262" s="2"/>
    </row>
    <row r="263" spans="1:1" x14ac:dyDescent="0.35">
      <c r="A263" s="2"/>
    </row>
    <row r="264" spans="1:1" x14ac:dyDescent="0.35">
      <c r="A264" s="2"/>
    </row>
    <row r="265" spans="1:1" x14ac:dyDescent="0.35">
      <c r="A265" s="2"/>
    </row>
    <row r="266" spans="1:1" x14ac:dyDescent="0.35">
      <c r="A266" s="2"/>
    </row>
    <row r="267" spans="1:1" x14ac:dyDescent="0.35">
      <c r="A267" s="2"/>
    </row>
    <row r="268" spans="1:1" x14ac:dyDescent="0.35">
      <c r="A268" s="2"/>
    </row>
    <row r="269" spans="1:1" x14ac:dyDescent="0.35">
      <c r="A269" s="2"/>
    </row>
    <row r="270" spans="1:1" x14ac:dyDescent="0.35">
      <c r="A270" s="2"/>
    </row>
    <row r="271" spans="1:1" x14ac:dyDescent="0.35">
      <c r="A271" s="2"/>
    </row>
    <row r="272" spans="1:1" x14ac:dyDescent="0.35">
      <c r="A272" s="2"/>
    </row>
    <row r="273" spans="1:1" x14ac:dyDescent="0.35">
      <c r="A273" s="2"/>
    </row>
    <row r="274" spans="1:1" x14ac:dyDescent="0.35">
      <c r="A274" s="2"/>
    </row>
    <row r="275" spans="1:1" x14ac:dyDescent="0.35">
      <c r="A275" s="2"/>
    </row>
    <row r="276" spans="1:1" x14ac:dyDescent="0.35">
      <c r="A276" s="2"/>
    </row>
    <row r="277" spans="1:1" x14ac:dyDescent="0.35">
      <c r="A277" s="2"/>
    </row>
    <row r="278" spans="1:1" x14ac:dyDescent="0.35">
      <c r="A278" s="2"/>
    </row>
    <row r="279" spans="1:1" x14ac:dyDescent="0.35">
      <c r="A279" s="2"/>
    </row>
    <row r="280" spans="1:1" x14ac:dyDescent="0.35">
      <c r="A280" s="2"/>
    </row>
    <row r="281" spans="1:1" x14ac:dyDescent="0.35">
      <c r="A281" s="2"/>
    </row>
    <row r="282" spans="1:1" x14ac:dyDescent="0.35">
      <c r="A282" s="2"/>
    </row>
    <row r="283" spans="1:1" x14ac:dyDescent="0.35">
      <c r="A283" s="2"/>
    </row>
    <row r="284" spans="1:1" x14ac:dyDescent="0.35">
      <c r="A284" s="2"/>
    </row>
    <row r="285" spans="1:1" x14ac:dyDescent="0.35">
      <c r="A285" s="2"/>
    </row>
    <row r="286" spans="1:1" x14ac:dyDescent="0.35">
      <c r="A286" s="2"/>
    </row>
    <row r="287" spans="1:1" x14ac:dyDescent="0.35">
      <c r="A287" s="2"/>
    </row>
    <row r="288" spans="1:1" x14ac:dyDescent="0.35">
      <c r="A288" s="2"/>
    </row>
    <row r="289" spans="1:1" x14ac:dyDescent="0.35">
      <c r="A289" s="2"/>
    </row>
    <row r="290" spans="1:1" x14ac:dyDescent="0.35">
      <c r="A290" s="2"/>
    </row>
    <row r="291" spans="1:1" x14ac:dyDescent="0.35">
      <c r="A291" s="2"/>
    </row>
    <row r="292" spans="1:1" x14ac:dyDescent="0.35">
      <c r="A292" s="2"/>
    </row>
    <row r="293" spans="1:1" x14ac:dyDescent="0.35">
      <c r="A293" s="2"/>
    </row>
    <row r="294" spans="1:1" x14ac:dyDescent="0.35">
      <c r="A294" s="2"/>
    </row>
    <row r="295" spans="1:1" x14ac:dyDescent="0.35">
      <c r="A295" s="2"/>
    </row>
    <row r="296" spans="1:1" x14ac:dyDescent="0.35">
      <c r="A296" s="2"/>
    </row>
    <row r="297" spans="1:1" x14ac:dyDescent="0.35">
      <c r="A297" s="2"/>
    </row>
    <row r="298" spans="1:1" x14ac:dyDescent="0.35">
      <c r="A298" s="2"/>
    </row>
    <row r="299" spans="1:1" x14ac:dyDescent="0.35">
      <c r="A299" s="2"/>
    </row>
    <row r="300" spans="1:1" x14ac:dyDescent="0.35">
      <c r="A300" s="2"/>
    </row>
    <row r="301" spans="1:1" x14ac:dyDescent="0.35">
      <c r="A301" s="2"/>
    </row>
    <row r="302" spans="1:1" x14ac:dyDescent="0.35">
      <c r="A302" s="2"/>
    </row>
    <row r="303" spans="1:1" x14ac:dyDescent="0.35">
      <c r="A303" s="2"/>
    </row>
    <row r="304" spans="1:1" x14ac:dyDescent="0.35">
      <c r="A304" s="2"/>
    </row>
    <row r="305" spans="1:1" x14ac:dyDescent="0.35">
      <c r="A305" s="2"/>
    </row>
    <row r="306" spans="1:1" x14ac:dyDescent="0.35">
      <c r="A306" s="2"/>
    </row>
    <row r="307" spans="1:1" x14ac:dyDescent="0.35">
      <c r="A307" s="2"/>
    </row>
    <row r="308" spans="1:1" x14ac:dyDescent="0.35">
      <c r="A308" s="2"/>
    </row>
    <row r="309" spans="1:1" x14ac:dyDescent="0.35">
      <c r="A309" s="2"/>
    </row>
    <row r="310" spans="1:1" x14ac:dyDescent="0.35">
      <c r="A310" s="2"/>
    </row>
    <row r="311" spans="1:1" x14ac:dyDescent="0.35">
      <c r="A311" s="2"/>
    </row>
    <row r="312" spans="1:1" x14ac:dyDescent="0.35">
      <c r="A312" s="2"/>
    </row>
    <row r="313" spans="1:1" x14ac:dyDescent="0.35">
      <c r="A313" s="2"/>
    </row>
    <row r="314" spans="1:1" x14ac:dyDescent="0.35">
      <c r="A314" s="2"/>
    </row>
    <row r="315" spans="1:1" x14ac:dyDescent="0.35">
      <c r="A315" s="2"/>
    </row>
    <row r="316" spans="1:1" x14ac:dyDescent="0.35">
      <c r="A316" s="2"/>
    </row>
    <row r="317" spans="1:1" x14ac:dyDescent="0.35">
      <c r="A317" s="2"/>
    </row>
    <row r="318" spans="1:1" x14ac:dyDescent="0.35">
      <c r="A318" s="2"/>
    </row>
    <row r="319" spans="1:1" x14ac:dyDescent="0.35">
      <c r="A319" s="2"/>
    </row>
    <row r="320" spans="1:1" x14ac:dyDescent="0.35">
      <c r="A320" s="2"/>
    </row>
    <row r="321" spans="1:1" x14ac:dyDescent="0.35">
      <c r="A321" s="2"/>
    </row>
    <row r="322" spans="1:1" x14ac:dyDescent="0.35">
      <c r="A322" s="2"/>
    </row>
    <row r="323" spans="1:1" x14ac:dyDescent="0.35">
      <c r="A323" s="2"/>
    </row>
    <row r="324" spans="1:1" x14ac:dyDescent="0.35">
      <c r="A324" s="2"/>
    </row>
    <row r="325" spans="1:1" x14ac:dyDescent="0.35">
      <c r="A325" s="2"/>
    </row>
    <row r="326" spans="1:1" x14ac:dyDescent="0.35">
      <c r="A326" s="2"/>
    </row>
    <row r="327" spans="1:1" x14ac:dyDescent="0.35">
      <c r="A327" s="2"/>
    </row>
    <row r="328" spans="1:1" x14ac:dyDescent="0.35">
      <c r="A328" s="2"/>
    </row>
    <row r="329" spans="1:1" x14ac:dyDescent="0.35">
      <c r="A329" s="2"/>
    </row>
    <row r="330" spans="1:1" x14ac:dyDescent="0.35">
      <c r="A330" s="2"/>
    </row>
    <row r="331" spans="1:1" x14ac:dyDescent="0.35">
      <c r="A331" s="2"/>
    </row>
    <row r="332" spans="1:1" x14ac:dyDescent="0.35">
      <c r="A332" s="2"/>
    </row>
    <row r="333" spans="1:1" x14ac:dyDescent="0.35">
      <c r="A333" s="2"/>
    </row>
    <row r="334" spans="1:1" x14ac:dyDescent="0.35">
      <c r="A334" s="2"/>
    </row>
    <row r="335" spans="1:1" x14ac:dyDescent="0.35">
      <c r="A335" s="2"/>
    </row>
    <row r="336" spans="1:1" x14ac:dyDescent="0.35">
      <c r="A336" s="2"/>
    </row>
    <row r="337" spans="1:1" x14ac:dyDescent="0.35">
      <c r="A337" s="2"/>
    </row>
    <row r="338" spans="1:1" x14ac:dyDescent="0.35">
      <c r="A338" s="2"/>
    </row>
    <row r="339" spans="1:1" x14ac:dyDescent="0.35">
      <c r="A339" s="2"/>
    </row>
    <row r="340" spans="1:1" x14ac:dyDescent="0.35">
      <c r="A340" s="2"/>
    </row>
    <row r="341" spans="1:1" x14ac:dyDescent="0.35">
      <c r="A341" s="2"/>
    </row>
    <row r="342" spans="1:1" x14ac:dyDescent="0.35">
      <c r="A342" s="2"/>
    </row>
    <row r="343" spans="1:1" x14ac:dyDescent="0.35">
      <c r="A343" s="2"/>
    </row>
    <row r="344" spans="1:1" x14ac:dyDescent="0.35">
      <c r="A344" s="2"/>
    </row>
    <row r="345" spans="1:1" x14ac:dyDescent="0.35">
      <c r="A345" s="2"/>
    </row>
    <row r="346" spans="1:1" x14ac:dyDescent="0.35">
      <c r="A346" s="2"/>
    </row>
    <row r="347" spans="1:1" x14ac:dyDescent="0.35">
      <c r="A347" s="2"/>
    </row>
    <row r="348" spans="1:1" x14ac:dyDescent="0.35">
      <c r="A348" s="2"/>
    </row>
    <row r="349" spans="1:1" x14ac:dyDescent="0.35">
      <c r="A349" s="2"/>
    </row>
    <row r="350" spans="1:1" x14ac:dyDescent="0.35">
      <c r="A350" s="2"/>
    </row>
    <row r="351" spans="1:1" x14ac:dyDescent="0.35">
      <c r="A351" s="2"/>
    </row>
    <row r="352" spans="1:1" x14ac:dyDescent="0.35">
      <c r="A352" s="2"/>
    </row>
    <row r="353" spans="1:1" x14ac:dyDescent="0.35">
      <c r="A353" s="2"/>
    </row>
    <row r="354" spans="1:1" x14ac:dyDescent="0.35">
      <c r="A354" s="2"/>
    </row>
    <row r="355" spans="1:1" x14ac:dyDescent="0.35">
      <c r="A355" s="2"/>
    </row>
    <row r="356" spans="1:1" x14ac:dyDescent="0.35">
      <c r="A356" s="2"/>
    </row>
    <row r="357" spans="1:1" x14ac:dyDescent="0.35">
      <c r="A357" s="2"/>
    </row>
    <row r="358" spans="1:1" x14ac:dyDescent="0.35">
      <c r="A358" s="2"/>
    </row>
    <row r="359" spans="1:1" x14ac:dyDescent="0.35">
      <c r="A359" s="2"/>
    </row>
    <row r="360" spans="1:1" x14ac:dyDescent="0.35">
      <c r="A360" s="2"/>
    </row>
    <row r="361" spans="1:1" x14ac:dyDescent="0.35">
      <c r="A361" s="2"/>
    </row>
    <row r="362" spans="1:1" x14ac:dyDescent="0.35">
      <c r="A362" s="2"/>
    </row>
    <row r="363" spans="1:1" x14ac:dyDescent="0.35">
      <c r="A363" s="2"/>
    </row>
    <row r="364" spans="1:1" x14ac:dyDescent="0.35">
      <c r="A364" s="2"/>
    </row>
    <row r="365" spans="1:1" x14ac:dyDescent="0.35">
      <c r="A365" s="2"/>
    </row>
    <row r="366" spans="1:1" x14ac:dyDescent="0.35">
      <c r="A366" s="2"/>
    </row>
    <row r="367" spans="1:1" x14ac:dyDescent="0.35">
      <c r="A367" s="2"/>
    </row>
    <row r="368" spans="1:1" x14ac:dyDescent="0.35">
      <c r="A368" s="2"/>
    </row>
    <row r="369" spans="1:1" x14ac:dyDescent="0.35">
      <c r="A369" s="2"/>
    </row>
    <row r="370" spans="1:1" x14ac:dyDescent="0.35">
      <c r="A370" s="2"/>
    </row>
    <row r="371" spans="1:1" x14ac:dyDescent="0.35">
      <c r="A371" s="2"/>
    </row>
    <row r="372" spans="1:1" x14ac:dyDescent="0.35">
      <c r="A372" s="2"/>
    </row>
    <row r="373" spans="1:1" x14ac:dyDescent="0.35">
      <c r="A373" s="2"/>
    </row>
    <row r="374" spans="1:1" x14ac:dyDescent="0.35">
      <c r="A374" s="2"/>
    </row>
    <row r="375" spans="1:1" x14ac:dyDescent="0.35">
      <c r="A375" s="2"/>
    </row>
    <row r="376" spans="1:1" x14ac:dyDescent="0.35">
      <c r="A376" s="2"/>
    </row>
    <row r="377" spans="1:1" x14ac:dyDescent="0.35">
      <c r="A377" s="2"/>
    </row>
    <row r="378" spans="1:1" x14ac:dyDescent="0.35">
      <c r="A378" s="2"/>
    </row>
    <row r="379" spans="1:1" x14ac:dyDescent="0.35">
      <c r="A379" s="2"/>
    </row>
    <row r="380" spans="1:1" x14ac:dyDescent="0.35">
      <c r="A380" s="2"/>
    </row>
    <row r="381" spans="1:1" x14ac:dyDescent="0.35">
      <c r="A381" s="2"/>
    </row>
    <row r="382" spans="1:1" x14ac:dyDescent="0.35">
      <c r="A382" s="2"/>
    </row>
    <row r="383" spans="1:1" x14ac:dyDescent="0.35">
      <c r="A383" s="2"/>
    </row>
    <row r="384" spans="1:1" x14ac:dyDescent="0.35">
      <c r="A384" s="2"/>
    </row>
    <row r="385" spans="1:1" x14ac:dyDescent="0.35">
      <c r="A385" s="2"/>
    </row>
    <row r="386" spans="1:1" x14ac:dyDescent="0.35">
      <c r="A386" s="2"/>
    </row>
    <row r="387" spans="1:1" x14ac:dyDescent="0.35">
      <c r="A387" s="2"/>
    </row>
    <row r="388" spans="1:1" x14ac:dyDescent="0.35">
      <c r="A388" s="2"/>
    </row>
    <row r="389" spans="1:1" x14ac:dyDescent="0.35">
      <c r="A389" s="2"/>
    </row>
    <row r="390" spans="1:1" x14ac:dyDescent="0.35">
      <c r="A390" s="2"/>
    </row>
    <row r="391" spans="1:1" x14ac:dyDescent="0.35">
      <c r="A391" s="2"/>
    </row>
    <row r="392" spans="1:1" x14ac:dyDescent="0.35">
      <c r="A392" s="2"/>
    </row>
    <row r="393" spans="1:1" x14ac:dyDescent="0.35">
      <c r="A393" s="2"/>
    </row>
    <row r="394" spans="1:1" x14ac:dyDescent="0.35">
      <c r="A394" s="2"/>
    </row>
    <row r="395" spans="1:1" x14ac:dyDescent="0.35">
      <c r="A395" s="2"/>
    </row>
    <row r="396" spans="1:1" x14ac:dyDescent="0.35">
      <c r="A396" s="2"/>
    </row>
    <row r="397" spans="1:1" x14ac:dyDescent="0.35">
      <c r="A397" s="2"/>
    </row>
    <row r="398" spans="1:1" x14ac:dyDescent="0.35">
      <c r="A398" s="2"/>
    </row>
    <row r="399" spans="1:1" x14ac:dyDescent="0.35">
      <c r="A399" s="2"/>
    </row>
    <row r="400" spans="1:1" x14ac:dyDescent="0.35">
      <c r="A400" s="2"/>
    </row>
    <row r="401" spans="1:1" x14ac:dyDescent="0.35">
      <c r="A401" s="2"/>
    </row>
    <row r="402" spans="1:1" x14ac:dyDescent="0.35">
      <c r="A402" s="2"/>
    </row>
    <row r="403" spans="1:1" x14ac:dyDescent="0.35">
      <c r="A403" s="2"/>
    </row>
    <row r="404" spans="1:1" x14ac:dyDescent="0.35">
      <c r="A404" s="2"/>
    </row>
    <row r="405" spans="1:1" x14ac:dyDescent="0.35">
      <c r="A405" s="2"/>
    </row>
    <row r="406" spans="1:1" x14ac:dyDescent="0.35">
      <c r="A406" s="2"/>
    </row>
    <row r="407" spans="1:1" x14ac:dyDescent="0.35">
      <c r="A407" s="2"/>
    </row>
    <row r="408" spans="1:1" x14ac:dyDescent="0.35">
      <c r="A408" s="2"/>
    </row>
    <row r="409" spans="1:1" x14ac:dyDescent="0.35">
      <c r="A409" s="2"/>
    </row>
    <row r="410" spans="1:1" x14ac:dyDescent="0.35">
      <c r="A410" s="2"/>
    </row>
    <row r="411" spans="1:1" x14ac:dyDescent="0.35">
      <c r="A411" s="2"/>
    </row>
    <row r="412" spans="1:1" x14ac:dyDescent="0.35">
      <c r="A412" s="2"/>
    </row>
    <row r="413" spans="1:1" x14ac:dyDescent="0.35">
      <c r="A413" s="2"/>
    </row>
    <row r="414" spans="1:1" x14ac:dyDescent="0.35">
      <c r="A414" s="2"/>
    </row>
    <row r="415" spans="1:1" x14ac:dyDescent="0.35">
      <c r="A415" s="2"/>
    </row>
    <row r="416" spans="1:1" x14ac:dyDescent="0.35">
      <c r="A416" s="2"/>
    </row>
    <row r="417" spans="1:1" x14ac:dyDescent="0.35">
      <c r="A417" s="2"/>
    </row>
    <row r="418" spans="1:1" x14ac:dyDescent="0.35">
      <c r="A418" s="2"/>
    </row>
    <row r="419" spans="1:1" x14ac:dyDescent="0.35">
      <c r="A419" s="2"/>
    </row>
    <row r="420" spans="1:1" x14ac:dyDescent="0.35">
      <c r="A420" s="2"/>
    </row>
    <row r="421" spans="1:1" x14ac:dyDescent="0.35">
      <c r="A421" s="2"/>
    </row>
    <row r="422" spans="1:1" x14ac:dyDescent="0.35">
      <c r="A422" s="2"/>
    </row>
    <row r="423" spans="1:1" x14ac:dyDescent="0.35">
      <c r="A423" s="2"/>
    </row>
    <row r="424" spans="1:1" x14ac:dyDescent="0.35">
      <c r="A424" s="2"/>
    </row>
    <row r="425" spans="1:1" x14ac:dyDescent="0.35">
      <c r="A425" s="2"/>
    </row>
    <row r="426" spans="1:1" x14ac:dyDescent="0.35">
      <c r="A426" s="2"/>
    </row>
    <row r="427" spans="1:1" x14ac:dyDescent="0.35">
      <c r="A427" s="2"/>
    </row>
    <row r="428" spans="1:1" x14ac:dyDescent="0.35">
      <c r="A428" s="2"/>
    </row>
    <row r="429" spans="1:1" x14ac:dyDescent="0.35">
      <c r="A429" s="2"/>
    </row>
    <row r="430" spans="1:1" x14ac:dyDescent="0.35">
      <c r="A430" s="2"/>
    </row>
    <row r="431" spans="1:1" x14ac:dyDescent="0.35">
      <c r="A431" s="2"/>
    </row>
    <row r="432" spans="1:1" x14ac:dyDescent="0.35">
      <c r="A432" s="2"/>
    </row>
    <row r="433" spans="1:1" x14ac:dyDescent="0.35">
      <c r="A433" s="2"/>
    </row>
    <row r="434" spans="1:1" x14ac:dyDescent="0.35">
      <c r="A434" s="2"/>
    </row>
    <row r="435" spans="1:1" x14ac:dyDescent="0.35">
      <c r="A435" s="2"/>
    </row>
    <row r="436" spans="1:1" x14ac:dyDescent="0.35">
      <c r="A436" s="2"/>
    </row>
    <row r="437" spans="1:1" x14ac:dyDescent="0.35">
      <c r="A437" s="2"/>
    </row>
    <row r="438" spans="1:1" x14ac:dyDescent="0.35">
      <c r="A438" s="2"/>
    </row>
    <row r="439" spans="1:1" x14ac:dyDescent="0.35">
      <c r="A439" s="2"/>
    </row>
    <row r="440" spans="1:1" x14ac:dyDescent="0.35">
      <c r="A440" s="2"/>
    </row>
    <row r="441" spans="1:1" x14ac:dyDescent="0.35">
      <c r="A441" s="2"/>
    </row>
    <row r="442" spans="1:1" x14ac:dyDescent="0.35">
      <c r="A442" s="2"/>
    </row>
    <row r="443" spans="1:1" x14ac:dyDescent="0.35">
      <c r="A443" s="2"/>
    </row>
    <row r="444" spans="1:1" x14ac:dyDescent="0.35">
      <c r="A444" s="2"/>
    </row>
    <row r="445" spans="1:1" x14ac:dyDescent="0.35">
      <c r="A445" s="2"/>
    </row>
    <row r="446" spans="1:1" x14ac:dyDescent="0.35">
      <c r="A446" s="2"/>
    </row>
    <row r="447" spans="1:1" x14ac:dyDescent="0.35">
      <c r="A447" s="2"/>
    </row>
    <row r="448" spans="1:1" x14ac:dyDescent="0.35">
      <c r="A448" s="2"/>
    </row>
    <row r="449" spans="1:1" x14ac:dyDescent="0.35">
      <c r="A449" s="2"/>
    </row>
    <row r="450" spans="1:1" x14ac:dyDescent="0.35">
      <c r="A450" s="2"/>
    </row>
    <row r="451" spans="1:1" x14ac:dyDescent="0.35">
      <c r="A451" s="2"/>
    </row>
    <row r="452" spans="1:1" x14ac:dyDescent="0.35">
      <c r="A452" s="2"/>
    </row>
    <row r="453" spans="1:1" x14ac:dyDescent="0.35">
      <c r="A453" s="2"/>
    </row>
    <row r="454" spans="1:1" x14ac:dyDescent="0.35">
      <c r="A454" s="2"/>
    </row>
    <row r="455" spans="1:1" x14ac:dyDescent="0.35">
      <c r="A455" s="2"/>
    </row>
    <row r="456" spans="1:1" x14ac:dyDescent="0.35">
      <c r="A456" s="2"/>
    </row>
    <row r="457" spans="1:1" x14ac:dyDescent="0.35">
      <c r="A457" s="2"/>
    </row>
    <row r="458" spans="1:1" x14ac:dyDescent="0.35">
      <c r="A458" s="2"/>
    </row>
    <row r="459" spans="1:1" x14ac:dyDescent="0.35">
      <c r="A459" s="2"/>
    </row>
    <row r="460" spans="1:1" x14ac:dyDescent="0.35">
      <c r="A460" s="2"/>
    </row>
    <row r="461" spans="1:1" x14ac:dyDescent="0.35">
      <c r="A461" s="2"/>
    </row>
    <row r="462" spans="1:1" x14ac:dyDescent="0.35">
      <c r="A462" s="2"/>
    </row>
    <row r="463" spans="1:1" x14ac:dyDescent="0.35">
      <c r="A463" s="2"/>
    </row>
    <row r="464" spans="1:1" x14ac:dyDescent="0.35">
      <c r="A464" s="2"/>
    </row>
    <row r="465" spans="1:1" x14ac:dyDescent="0.35">
      <c r="A465" s="2"/>
    </row>
    <row r="466" spans="1:1" x14ac:dyDescent="0.35">
      <c r="A466" s="2"/>
    </row>
    <row r="467" spans="1:1" x14ac:dyDescent="0.35">
      <c r="A467" s="2"/>
    </row>
    <row r="468" spans="1:1" x14ac:dyDescent="0.35">
      <c r="A468" s="2"/>
    </row>
    <row r="469" spans="1:1" x14ac:dyDescent="0.35">
      <c r="A469" s="2"/>
    </row>
    <row r="470" spans="1:1" x14ac:dyDescent="0.35">
      <c r="A470" s="2"/>
    </row>
    <row r="471" spans="1:1" x14ac:dyDescent="0.35">
      <c r="A471" s="2"/>
    </row>
    <row r="472" spans="1:1" x14ac:dyDescent="0.35">
      <c r="A472" s="2"/>
    </row>
    <row r="473" spans="1:1" x14ac:dyDescent="0.35">
      <c r="A473" s="2"/>
    </row>
    <row r="474" spans="1:1" x14ac:dyDescent="0.35">
      <c r="A474" s="2"/>
    </row>
    <row r="475" spans="1:1" x14ac:dyDescent="0.35">
      <c r="A475" s="2"/>
    </row>
    <row r="476" spans="1:1" x14ac:dyDescent="0.35">
      <c r="A476" s="2"/>
    </row>
    <row r="477" spans="1:1" x14ac:dyDescent="0.35">
      <c r="A477" s="2"/>
    </row>
    <row r="478" spans="1:1" x14ac:dyDescent="0.35">
      <c r="A478" s="2"/>
    </row>
    <row r="479" spans="1:1" x14ac:dyDescent="0.35">
      <c r="A479" s="2"/>
    </row>
    <row r="480" spans="1:1" x14ac:dyDescent="0.35">
      <c r="A480" s="2"/>
    </row>
    <row r="481" spans="1:1" x14ac:dyDescent="0.35">
      <c r="A481" s="2"/>
    </row>
    <row r="482" spans="1:1" x14ac:dyDescent="0.35">
      <c r="A482" s="2"/>
    </row>
    <row r="483" spans="1:1" x14ac:dyDescent="0.35">
      <c r="A483" s="2"/>
    </row>
    <row r="484" spans="1:1" x14ac:dyDescent="0.35">
      <c r="A484" s="2"/>
    </row>
    <row r="485" spans="1:1" x14ac:dyDescent="0.35">
      <c r="A485" s="2"/>
    </row>
    <row r="486" spans="1:1" x14ac:dyDescent="0.35">
      <c r="A486" s="2"/>
    </row>
    <row r="487" spans="1:1" x14ac:dyDescent="0.35">
      <c r="A487" s="2"/>
    </row>
    <row r="488" spans="1:1" x14ac:dyDescent="0.35">
      <c r="A488" s="2"/>
    </row>
    <row r="489" spans="1:1" x14ac:dyDescent="0.35">
      <c r="A489" s="2"/>
    </row>
    <row r="490" spans="1:1" x14ac:dyDescent="0.35">
      <c r="A490" s="2"/>
    </row>
    <row r="491" spans="1:1" x14ac:dyDescent="0.35">
      <c r="A491" s="2"/>
    </row>
    <row r="492" spans="1:1" x14ac:dyDescent="0.35">
      <c r="A492" s="2"/>
    </row>
    <row r="493" spans="1:1" x14ac:dyDescent="0.35">
      <c r="A493" s="2"/>
    </row>
    <row r="494" spans="1:1" x14ac:dyDescent="0.35">
      <c r="A494" s="2"/>
    </row>
    <row r="495" spans="1:1" x14ac:dyDescent="0.35">
      <c r="A495" s="2"/>
    </row>
    <row r="496" spans="1:1" x14ac:dyDescent="0.35">
      <c r="A496" s="2"/>
    </row>
    <row r="497" spans="1:1" x14ac:dyDescent="0.35">
      <c r="A497" s="2"/>
    </row>
    <row r="498" spans="1:1" x14ac:dyDescent="0.35">
      <c r="A498" s="2"/>
    </row>
    <row r="499" spans="1:1" x14ac:dyDescent="0.35">
      <c r="A499" s="2"/>
    </row>
    <row r="500" spans="1:1" x14ac:dyDescent="0.35">
      <c r="A500" s="2"/>
    </row>
    <row r="501" spans="1:1" x14ac:dyDescent="0.35">
      <c r="A501" s="2"/>
    </row>
    <row r="502" spans="1:1" x14ac:dyDescent="0.35">
      <c r="A502" s="2"/>
    </row>
    <row r="503" spans="1:1" x14ac:dyDescent="0.35">
      <c r="A503" s="2"/>
    </row>
    <row r="504" spans="1:1" x14ac:dyDescent="0.35">
      <c r="A504" s="2"/>
    </row>
    <row r="505" spans="1:1" x14ac:dyDescent="0.35">
      <c r="A505" s="2"/>
    </row>
    <row r="506" spans="1:1" x14ac:dyDescent="0.35">
      <c r="A506" s="2"/>
    </row>
    <row r="507" spans="1:1" x14ac:dyDescent="0.35">
      <c r="A507" s="2"/>
    </row>
    <row r="508" spans="1:1" x14ac:dyDescent="0.35">
      <c r="A508" s="2"/>
    </row>
    <row r="509" spans="1:1" x14ac:dyDescent="0.35">
      <c r="A509" s="2"/>
    </row>
    <row r="510" spans="1:1" x14ac:dyDescent="0.35">
      <c r="A510" s="2"/>
    </row>
    <row r="511" spans="1:1" x14ac:dyDescent="0.35">
      <c r="A511" s="2"/>
    </row>
    <row r="512" spans="1:1" x14ac:dyDescent="0.35">
      <c r="A512" s="2"/>
    </row>
    <row r="513" spans="1:1" x14ac:dyDescent="0.35">
      <c r="A513" s="2"/>
    </row>
    <row r="514" spans="1:1" x14ac:dyDescent="0.35">
      <c r="A514" s="2"/>
    </row>
    <row r="515" spans="1:1" x14ac:dyDescent="0.35">
      <c r="A515" s="2"/>
    </row>
    <row r="516" spans="1:1" x14ac:dyDescent="0.35">
      <c r="A516" s="2"/>
    </row>
    <row r="517" spans="1:1" x14ac:dyDescent="0.35">
      <c r="A517" s="2"/>
    </row>
    <row r="518" spans="1:1" x14ac:dyDescent="0.35">
      <c r="A518" s="2"/>
    </row>
    <row r="519" spans="1:1" x14ac:dyDescent="0.35">
      <c r="A519" s="2"/>
    </row>
    <row r="520" spans="1:1" x14ac:dyDescent="0.35">
      <c r="A520" s="2"/>
    </row>
    <row r="521" spans="1:1" x14ac:dyDescent="0.35">
      <c r="A521" s="2"/>
    </row>
    <row r="522" spans="1:1" x14ac:dyDescent="0.35">
      <c r="A522" s="2"/>
    </row>
    <row r="523" spans="1:1" x14ac:dyDescent="0.35">
      <c r="A523" s="2"/>
    </row>
    <row r="524" spans="1:1" x14ac:dyDescent="0.35">
      <c r="A524" s="2"/>
    </row>
    <row r="525" spans="1:1" x14ac:dyDescent="0.35">
      <c r="A525" s="2"/>
    </row>
    <row r="526" spans="1:1" x14ac:dyDescent="0.35">
      <c r="A526" s="2"/>
    </row>
    <row r="527" spans="1:1" x14ac:dyDescent="0.35">
      <c r="A527" s="2"/>
    </row>
    <row r="528" spans="1:1" x14ac:dyDescent="0.35">
      <c r="A528" s="2"/>
    </row>
    <row r="529" spans="1:1" x14ac:dyDescent="0.35">
      <c r="A529" s="2"/>
    </row>
    <row r="530" spans="1:1" x14ac:dyDescent="0.35">
      <c r="A530" s="2"/>
    </row>
    <row r="531" spans="1:1" x14ac:dyDescent="0.35">
      <c r="A531" s="2"/>
    </row>
    <row r="532" spans="1:1" x14ac:dyDescent="0.35">
      <c r="A532" s="2"/>
    </row>
    <row r="533" spans="1:1" x14ac:dyDescent="0.35">
      <c r="A533" s="2"/>
    </row>
    <row r="534" spans="1:1" x14ac:dyDescent="0.35">
      <c r="A534" s="2"/>
    </row>
    <row r="535" spans="1:1" x14ac:dyDescent="0.35">
      <c r="A535" s="2"/>
    </row>
    <row r="536" spans="1:1" x14ac:dyDescent="0.35">
      <c r="A536" s="2"/>
    </row>
    <row r="537" spans="1:1" x14ac:dyDescent="0.35">
      <c r="A537" s="2"/>
    </row>
    <row r="538" spans="1:1" x14ac:dyDescent="0.35">
      <c r="A538" s="2"/>
    </row>
    <row r="539" spans="1:1" x14ac:dyDescent="0.35">
      <c r="A539" s="2"/>
    </row>
    <row r="540" spans="1:1" x14ac:dyDescent="0.35">
      <c r="A540" s="2"/>
    </row>
    <row r="541" spans="1:1" x14ac:dyDescent="0.35">
      <c r="A541" s="2"/>
    </row>
    <row r="542" spans="1:1" x14ac:dyDescent="0.35">
      <c r="A542" s="2"/>
    </row>
    <row r="543" spans="1:1" x14ac:dyDescent="0.35">
      <c r="A543" s="2"/>
    </row>
    <row r="544" spans="1:1" x14ac:dyDescent="0.35">
      <c r="A544" s="2"/>
    </row>
    <row r="545" spans="1:1" x14ac:dyDescent="0.35">
      <c r="A545" s="2"/>
    </row>
    <row r="546" spans="1:1" x14ac:dyDescent="0.35">
      <c r="A546" s="2"/>
    </row>
    <row r="547" spans="1:1" x14ac:dyDescent="0.35">
      <c r="A547" s="2"/>
    </row>
    <row r="548" spans="1:1" x14ac:dyDescent="0.35">
      <c r="A548" s="2"/>
    </row>
    <row r="549" spans="1:1" x14ac:dyDescent="0.35">
      <c r="A549" s="2"/>
    </row>
    <row r="550" spans="1:1" x14ac:dyDescent="0.35">
      <c r="A550" s="2"/>
    </row>
    <row r="551" spans="1:1" x14ac:dyDescent="0.35">
      <c r="A551" s="2"/>
    </row>
    <row r="552" spans="1:1" x14ac:dyDescent="0.35">
      <c r="A552" s="2"/>
    </row>
    <row r="553" spans="1:1" x14ac:dyDescent="0.35">
      <c r="A553" s="2"/>
    </row>
    <row r="554" spans="1:1" x14ac:dyDescent="0.35">
      <c r="A554" s="2"/>
    </row>
    <row r="555" spans="1:1" x14ac:dyDescent="0.35">
      <c r="A555" s="2"/>
    </row>
    <row r="556" spans="1:1" x14ac:dyDescent="0.35">
      <c r="A556" s="2"/>
    </row>
    <row r="557" spans="1:1" x14ac:dyDescent="0.35">
      <c r="A557" s="2"/>
    </row>
    <row r="558" spans="1:1" x14ac:dyDescent="0.35">
      <c r="A558" s="2"/>
    </row>
    <row r="559" spans="1:1" x14ac:dyDescent="0.35">
      <c r="A559" s="2"/>
    </row>
    <row r="560" spans="1:1" x14ac:dyDescent="0.35">
      <c r="A560" s="2"/>
    </row>
    <row r="561" spans="1:1" x14ac:dyDescent="0.35">
      <c r="A561" s="2"/>
    </row>
    <row r="562" spans="1:1" x14ac:dyDescent="0.35">
      <c r="A562" s="2"/>
    </row>
    <row r="563" spans="1:1" x14ac:dyDescent="0.35">
      <c r="A563" s="2"/>
    </row>
    <row r="564" spans="1:1" x14ac:dyDescent="0.35">
      <c r="A564" s="2"/>
    </row>
    <row r="565" spans="1:1" x14ac:dyDescent="0.35">
      <c r="A565" s="2"/>
    </row>
    <row r="566" spans="1:1" x14ac:dyDescent="0.35">
      <c r="A566" s="2"/>
    </row>
    <row r="567" spans="1:1" x14ac:dyDescent="0.35">
      <c r="A567" s="2"/>
    </row>
    <row r="568" spans="1:1" x14ac:dyDescent="0.35">
      <c r="A568" s="2"/>
    </row>
    <row r="569" spans="1:1" x14ac:dyDescent="0.35">
      <c r="A569" s="2"/>
    </row>
    <row r="570" spans="1:1" x14ac:dyDescent="0.35">
      <c r="A570" s="2"/>
    </row>
    <row r="571" spans="1:1" x14ac:dyDescent="0.35">
      <c r="A571" s="2"/>
    </row>
    <row r="572" spans="1:1" x14ac:dyDescent="0.35">
      <c r="A572" s="2"/>
    </row>
    <row r="573" spans="1:1" x14ac:dyDescent="0.35">
      <c r="A573" s="2"/>
    </row>
    <row r="574" spans="1:1" x14ac:dyDescent="0.35">
      <c r="A574" s="2"/>
    </row>
    <row r="575" spans="1:1" x14ac:dyDescent="0.35">
      <c r="A575" s="2"/>
    </row>
    <row r="576" spans="1:1" x14ac:dyDescent="0.35">
      <c r="A576" s="2"/>
    </row>
    <row r="577" spans="1:1" x14ac:dyDescent="0.35">
      <c r="A577" s="2"/>
    </row>
    <row r="578" spans="1:1" x14ac:dyDescent="0.35">
      <c r="A578" s="2"/>
    </row>
    <row r="579" spans="1:1" x14ac:dyDescent="0.35">
      <c r="A579" s="2"/>
    </row>
    <row r="580" spans="1:1" x14ac:dyDescent="0.35">
      <c r="A580" s="2"/>
    </row>
    <row r="581" spans="1:1" x14ac:dyDescent="0.35">
      <c r="A581" s="2"/>
    </row>
    <row r="582" spans="1:1" x14ac:dyDescent="0.35">
      <c r="A582" s="2"/>
    </row>
    <row r="583" spans="1:1" x14ac:dyDescent="0.35">
      <c r="A583" s="2"/>
    </row>
    <row r="584" spans="1:1" x14ac:dyDescent="0.35">
      <c r="A584" s="2"/>
    </row>
    <row r="585" spans="1:1" x14ac:dyDescent="0.35">
      <c r="A585" s="2"/>
    </row>
    <row r="586" spans="1:1" x14ac:dyDescent="0.35">
      <c r="A586" s="2"/>
    </row>
    <row r="587" spans="1:1" x14ac:dyDescent="0.35">
      <c r="A587" s="2"/>
    </row>
    <row r="588" spans="1:1" x14ac:dyDescent="0.35">
      <c r="A588" s="2"/>
    </row>
    <row r="589" spans="1:1" x14ac:dyDescent="0.35">
      <c r="A589" s="2"/>
    </row>
    <row r="590" spans="1:1" x14ac:dyDescent="0.35">
      <c r="A590" s="2"/>
    </row>
    <row r="591" spans="1:1" x14ac:dyDescent="0.35">
      <c r="A591" s="2"/>
    </row>
    <row r="592" spans="1:1" x14ac:dyDescent="0.35">
      <c r="A592" s="2"/>
    </row>
    <row r="593" spans="1:1" x14ac:dyDescent="0.35">
      <c r="A593" s="2"/>
    </row>
    <row r="594" spans="1:1" x14ac:dyDescent="0.35">
      <c r="A594" s="2"/>
    </row>
    <row r="595" spans="1:1" x14ac:dyDescent="0.35">
      <c r="A595" s="2"/>
    </row>
    <row r="596" spans="1:1" x14ac:dyDescent="0.35">
      <c r="A596" s="2"/>
    </row>
    <row r="597" spans="1:1" x14ac:dyDescent="0.35">
      <c r="A597" s="2"/>
    </row>
    <row r="598" spans="1:1" x14ac:dyDescent="0.35">
      <c r="A598" s="2"/>
    </row>
    <row r="599" spans="1:1" x14ac:dyDescent="0.35">
      <c r="A599" s="2"/>
    </row>
    <row r="600" spans="1:1" x14ac:dyDescent="0.35">
      <c r="A600" s="2"/>
    </row>
    <row r="601" spans="1:1" x14ac:dyDescent="0.35">
      <c r="A601" s="2"/>
    </row>
    <row r="602" spans="1:1" x14ac:dyDescent="0.35">
      <c r="A602" s="2"/>
    </row>
    <row r="603" spans="1:1" x14ac:dyDescent="0.35">
      <c r="A603" s="2"/>
    </row>
    <row r="604" spans="1:1" x14ac:dyDescent="0.35">
      <c r="A604" s="2"/>
    </row>
    <row r="605" spans="1:1" x14ac:dyDescent="0.35">
      <c r="A605" s="2"/>
    </row>
    <row r="606" spans="1:1" x14ac:dyDescent="0.35">
      <c r="A606" s="2"/>
    </row>
    <row r="607" spans="1:1" x14ac:dyDescent="0.35">
      <c r="A607" s="2"/>
    </row>
    <row r="608" spans="1:1" x14ac:dyDescent="0.35">
      <c r="A608" s="2"/>
    </row>
    <row r="609" spans="1:1" x14ac:dyDescent="0.35">
      <c r="A609" s="2"/>
    </row>
    <row r="610" spans="1:1" x14ac:dyDescent="0.35">
      <c r="A610" s="2"/>
    </row>
    <row r="611" spans="1:1" x14ac:dyDescent="0.35">
      <c r="A611" s="2"/>
    </row>
    <row r="612" spans="1:1" x14ac:dyDescent="0.35">
      <c r="A612" s="2"/>
    </row>
    <row r="613" spans="1:1" x14ac:dyDescent="0.35">
      <c r="A613" s="2"/>
    </row>
    <row r="614" spans="1:1" x14ac:dyDescent="0.35">
      <c r="A614" s="2"/>
    </row>
    <row r="615" spans="1:1" x14ac:dyDescent="0.35">
      <c r="A615" s="2"/>
    </row>
    <row r="616" spans="1:1" x14ac:dyDescent="0.35">
      <c r="A616" s="2"/>
    </row>
    <row r="617" spans="1:1" x14ac:dyDescent="0.35">
      <c r="A617" s="2"/>
    </row>
    <row r="618" spans="1:1" x14ac:dyDescent="0.35">
      <c r="A618" s="2"/>
    </row>
    <row r="619" spans="1:1" x14ac:dyDescent="0.35">
      <c r="A619" s="2"/>
    </row>
    <row r="620" spans="1:1" x14ac:dyDescent="0.35">
      <c r="A620" s="2"/>
    </row>
    <row r="621" spans="1:1" x14ac:dyDescent="0.35">
      <c r="A621" s="2"/>
    </row>
    <row r="622" spans="1:1" x14ac:dyDescent="0.35">
      <c r="A622" s="2"/>
    </row>
    <row r="623" spans="1:1" x14ac:dyDescent="0.35">
      <c r="A623" s="2"/>
    </row>
    <row r="624" spans="1:1" x14ac:dyDescent="0.35">
      <c r="A624" s="2"/>
    </row>
    <row r="625" spans="1:1" x14ac:dyDescent="0.35">
      <c r="A625" s="2"/>
    </row>
    <row r="626" spans="1:1" x14ac:dyDescent="0.35">
      <c r="A626" s="2"/>
    </row>
    <row r="627" spans="1:1" x14ac:dyDescent="0.35">
      <c r="A627" s="2"/>
    </row>
    <row r="628" spans="1:1" x14ac:dyDescent="0.35">
      <c r="A628" s="2"/>
    </row>
    <row r="629" spans="1:1" x14ac:dyDescent="0.35">
      <c r="A629" s="2"/>
    </row>
    <row r="630" spans="1:1" x14ac:dyDescent="0.35">
      <c r="A630" s="2"/>
    </row>
    <row r="631" spans="1:1" x14ac:dyDescent="0.35">
      <c r="A631" s="2"/>
    </row>
    <row r="632" spans="1:1" x14ac:dyDescent="0.35">
      <c r="A632" s="2"/>
    </row>
    <row r="633" spans="1:1" x14ac:dyDescent="0.35">
      <c r="A633" s="2"/>
    </row>
    <row r="634" spans="1:1" x14ac:dyDescent="0.35">
      <c r="A634" s="2"/>
    </row>
    <row r="635" spans="1:1" x14ac:dyDescent="0.35">
      <c r="A635" s="2"/>
    </row>
    <row r="636" spans="1:1" x14ac:dyDescent="0.35">
      <c r="A636" s="2"/>
    </row>
    <row r="637" spans="1:1" x14ac:dyDescent="0.35">
      <c r="A637" s="2"/>
    </row>
    <row r="638" spans="1:1" x14ac:dyDescent="0.35">
      <c r="A638" s="2"/>
    </row>
    <row r="639" spans="1:1" x14ac:dyDescent="0.35">
      <c r="A639" s="2"/>
    </row>
    <row r="640" spans="1:1" x14ac:dyDescent="0.35">
      <c r="A640" s="2"/>
    </row>
    <row r="641" spans="1:1" x14ac:dyDescent="0.35">
      <c r="A641" s="2"/>
    </row>
    <row r="642" spans="1:1" x14ac:dyDescent="0.35">
      <c r="A642" s="2"/>
    </row>
    <row r="643" spans="1:1" x14ac:dyDescent="0.35">
      <c r="A643" s="2"/>
    </row>
    <row r="644" spans="1:1" x14ac:dyDescent="0.35">
      <c r="A644" s="2"/>
    </row>
    <row r="645" spans="1:1" x14ac:dyDescent="0.35">
      <c r="A645" s="2"/>
    </row>
    <row r="646" spans="1:1" x14ac:dyDescent="0.35">
      <c r="A646" s="2"/>
    </row>
    <row r="647" spans="1:1" x14ac:dyDescent="0.35">
      <c r="A647" s="2"/>
    </row>
    <row r="648" spans="1:1" x14ac:dyDescent="0.35">
      <c r="A648" s="2"/>
    </row>
    <row r="649" spans="1:1" x14ac:dyDescent="0.35">
      <c r="A649" s="2"/>
    </row>
    <row r="650" spans="1:1" x14ac:dyDescent="0.35">
      <c r="A650" s="2"/>
    </row>
    <row r="651" spans="1:1" x14ac:dyDescent="0.35">
      <c r="A651" s="2"/>
    </row>
    <row r="652" spans="1:1" x14ac:dyDescent="0.35">
      <c r="A652" s="2"/>
    </row>
    <row r="653" spans="1:1" x14ac:dyDescent="0.35">
      <c r="A653" s="2"/>
    </row>
    <row r="654" spans="1:1" x14ac:dyDescent="0.35">
      <c r="A654" s="2"/>
    </row>
    <row r="655" spans="1:1" x14ac:dyDescent="0.35">
      <c r="A655" s="2"/>
    </row>
    <row r="656" spans="1:1" x14ac:dyDescent="0.35">
      <c r="A656" s="2"/>
    </row>
    <row r="657" spans="1:1" x14ac:dyDescent="0.35">
      <c r="A657" s="2"/>
    </row>
    <row r="658" spans="1:1" x14ac:dyDescent="0.35">
      <c r="A658" s="2"/>
    </row>
    <row r="659" spans="1:1" x14ac:dyDescent="0.35">
      <c r="A659" s="2"/>
    </row>
    <row r="660" spans="1:1" x14ac:dyDescent="0.35">
      <c r="A660" s="2"/>
    </row>
    <row r="661" spans="1:1" x14ac:dyDescent="0.35">
      <c r="A661" s="2"/>
    </row>
    <row r="662" spans="1:1" x14ac:dyDescent="0.35">
      <c r="A662" s="2"/>
    </row>
    <row r="663" spans="1:1" x14ac:dyDescent="0.35">
      <c r="A663" s="2"/>
    </row>
    <row r="664" spans="1:1" x14ac:dyDescent="0.35">
      <c r="A664" s="2"/>
    </row>
    <row r="665" spans="1:1" x14ac:dyDescent="0.35">
      <c r="A665" s="2"/>
    </row>
    <row r="666" spans="1:1" x14ac:dyDescent="0.35">
      <c r="A666" s="2"/>
    </row>
    <row r="667" spans="1:1" x14ac:dyDescent="0.35">
      <c r="A667" s="2"/>
    </row>
    <row r="668" spans="1:1" x14ac:dyDescent="0.35">
      <c r="A668" s="2"/>
    </row>
    <row r="669" spans="1:1" x14ac:dyDescent="0.35">
      <c r="A669" s="2"/>
    </row>
    <row r="670" spans="1:1" x14ac:dyDescent="0.35">
      <c r="A670" s="2"/>
    </row>
    <row r="671" spans="1:1" x14ac:dyDescent="0.35">
      <c r="A671" s="2"/>
    </row>
    <row r="672" spans="1:1" x14ac:dyDescent="0.35">
      <c r="A672" s="2"/>
    </row>
    <row r="673" spans="1:1" x14ac:dyDescent="0.35">
      <c r="A673" s="2"/>
    </row>
    <row r="674" spans="1:1" x14ac:dyDescent="0.35">
      <c r="A674" s="2"/>
    </row>
    <row r="675" spans="1:1" x14ac:dyDescent="0.35">
      <c r="A675" s="2"/>
    </row>
    <row r="676" spans="1:1" x14ac:dyDescent="0.35">
      <c r="A676" s="2"/>
    </row>
    <row r="677" spans="1:1" x14ac:dyDescent="0.35">
      <c r="A677" s="2"/>
    </row>
    <row r="678" spans="1:1" x14ac:dyDescent="0.35">
      <c r="A678" s="2"/>
    </row>
    <row r="679" spans="1:1" x14ac:dyDescent="0.35">
      <c r="A679" s="2"/>
    </row>
    <row r="680" spans="1:1" x14ac:dyDescent="0.35">
      <c r="A680" s="2"/>
    </row>
    <row r="681" spans="1:1" x14ac:dyDescent="0.35">
      <c r="A681" s="2"/>
    </row>
    <row r="682" spans="1:1" x14ac:dyDescent="0.35">
      <c r="A682" s="2"/>
    </row>
    <row r="683" spans="1:1" x14ac:dyDescent="0.35">
      <c r="A683" s="2"/>
    </row>
    <row r="684" spans="1:1" x14ac:dyDescent="0.35">
      <c r="A684" s="2"/>
    </row>
    <row r="685" spans="1:1" x14ac:dyDescent="0.35">
      <c r="A685" s="2"/>
    </row>
    <row r="686" spans="1:1" x14ac:dyDescent="0.35">
      <c r="A686" s="2"/>
    </row>
    <row r="687" spans="1:1" x14ac:dyDescent="0.35">
      <c r="A687" s="2"/>
    </row>
    <row r="688" spans="1:1" x14ac:dyDescent="0.35">
      <c r="A688" s="2"/>
    </row>
    <row r="689" spans="1:1" x14ac:dyDescent="0.35">
      <c r="A689" s="2"/>
    </row>
    <row r="690" spans="1:1" x14ac:dyDescent="0.35">
      <c r="A690" s="2"/>
    </row>
    <row r="691" spans="1:1" x14ac:dyDescent="0.35">
      <c r="A691" s="2"/>
    </row>
    <row r="692" spans="1:1" x14ac:dyDescent="0.35">
      <c r="A692" s="2"/>
    </row>
    <row r="693" spans="1:1" x14ac:dyDescent="0.35">
      <c r="A693" s="2"/>
    </row>
    <row r="694" spans="1:1" x14ac:dyDescent="0.35">
      <c r="A694" s="2"/>
    </row>
    <row r="695" spans="1:1" x14ac:dyDescent="0.35">
      <c r="A695" s="2"/>
    </row>
    <row r="696" spans="1:1" x14ac:dyDescent="0.35">
      <c r="A696" s="2"/>
    </row>
    <row r="697" spans="1:1" x14ac:dyDescent="0.35">
      <c r="A697" s="2"/>
    </row>
    <row r="698" spans="1:1" x14ac:dyDescent="0.35">
      <c r="A698" s="2"/>
    </row>
    <row r="699" spans="1:1" x14ac:dyDescent="0.35">
      <c r="A699" s="2"/>
    </row>
    <row r="700" spans="1:1" x14ac:dyDescent="0.35">
      <c r="A700" s="2"/>
    </row>
    <row r="701" spans="1:1" x14ac:dyDescent="0.35">
      <c r="A701" s="2"/>
    </row>
    <row r="702" spans="1:1" x14ac:dyDescent="0.35">
      <c r="A702" s="2"/>
    </row>
    <row r="703" spans="1:1" x14ac:dyDescent="0.35">
      <c r="A703" s="2"/>
    </row>
    <row r="704" spans="1:1" x14ac:dyDescent="0.35">
      <c r="A704" s="2"/>
    </row>
    <row r="705" spans="1:1" x14ac:dyDescent="0.35">
      <c r="A705" s="2"/>
    </row>
    <row r="706" spans="1:1" x14ac:dyDescent="0.35">
      <c r="A706" s="2"/>
    </row>
    <row r="707" spans="1:1" x14ac:dyDescent="0.35">
      <c r="A707" s="2"/>
    </row>
    <row r="708" spans="1:1" x14ac:dyDescent="0.35">
      <c r="A708" s="2"/>
    </row>
    <row r="709" spans="1:1" x14ac:dyDescent="0.35">
      <c r="A709" s="2"/>
    </row>
    <row r="710" spans="1:1" x14ac:dyDescent="0.35">
      <c r="A710" s="2"/>
    </row>
    <row r="711" spans="1:1" x14ac:dyDescent="0.35">
      <c r="A711" s="2"/>
    </row>
    <row r="712" spans="1:1" x14ac:dyDescent="0.35">
      <c r="A712" s="2"/>
    </row>
    <row r="713" spans="1:1" x14ac:dyDescent="0.35">
      <c r="A713" s="2"/>
    </row>
    <row r="714" spans="1:1" x14ac:dyDescent="0.35">
      <c r="A714" s="2"/>
    </row>
    <row r="715" spans="1:1" x14ac:dyDescent="0.35">
      <c r="A715" s="2"/>
    </row>
    <row r="716" spans="1:1" x14ac:dyDescent="0.35">
      <c r="A716" s="2"/>
    </row>
    <row r="717" spans="1:1" x14ac:dyDescent="0.35">
      <c r="A717" s="2"/>
    </row>
    <row r="718" spans="1:1" x14ac:dyDescent="0.35">
      <c r="A718" s="2"/>
    </row>
    <row r="719" spans="1:1" x14ac:dyDescent="0.35">
      <c r="A719" s="2"/>
    </row>
    <row r="720" spans="1:1" x14ac:dyDescent="0.35">
      <c r="A720" s="2"/>
    </row>
    <row r="721" spans="1:1" x14ac:dyDescent="0.35">
      <c r="A721" s="2"/>
    </row>
    <row r="722" spans="1:1" x14ac:dyDescent="0.35">
      <c r="A722" s="2"/>
    </row>
    <row r="723" spans="1:1" x14ac:dyDescent="0.35">
      <c r="A723" s="2"/>
    </row>
    <row r="724" spans="1:1" x14ac:dyDescent="0.35">
      <c r="A724" s="2"/>
    </row>
    <row r="725" spans="1:1" x14ac:dyDescent="0.35">
      <c r="A725" s="2"/>
    </row>
    <row r="726" spans="1:1" x14ac:dyDescent="0.35">
      <c r="A726" s="2"/>
    </row>
    <row r="727" spans="1:1" x14ac:dyDescent="0.35">
      <c r="A727" s="2"/>
    </row>
    <row r="728" spans="1:1" x14ac:dyDescent="0.35">
      <c r="A728" s="2"/>
    </row>
    <row r="729" spans="1:1" x14ac:dyDescent="0.35">
      <c r="A729" s="2"/>
    </row>
    <row r="730" spans="1:1" x14ac:dyDescent="0.35">
      <c r="A730" s="2"/>
    </row>
    <row r="731" spans="1:1" x14ac:dyDescent="0.35">
      <c r="A731" s="2"/>
    </row>
    <row r="732" spans="1:1" x14ac:dyDescent="0.35">
      <c r="A732" s="2"/>
    </row>
    <row r="733" spans="1:1" x14ac:dyDescent="0.35">
      <c r="A733" s="2"/>
    </row>
    <row r="734" spans="1:1" x14ac:dyDescent="0.35">
      <c r="A734" s="2"/>
    </row>
    <row r="735" spans="1:1" x14ac:dyDescent="0.35">
      <c r="A735" s="2"/>
    </row>
    <row r="736" spans="1:1" x14ac:dyDescent="0.35">
      <c r="A736" s="2"/>
    </row>
    <row r="737" spans="1:1" x14ac:dyDescent="0.35">
      <c r="A737" s="2"/>
    </row>
    <row r="738" spans="1:1" x14ac:dyDescent="0.35">
      <c r="A738" s="2"/>
    </row>
    <row r="739" spans="1:1" x14ac:dyDescent="0.35">
      <c r="A739" s="2"/>
    </row>
    <row r="740" spans="1:1" x14ac:dyDescent="0.35">
      <c r="A740" s="2"/>
    </row>
    <row r="741" spans="1:1" x14ac:dyDescent="0.35">
      <c r="A741" s="2"/>
    </row>
    <row r="742" spans="1:1" x14ac:dyDescent="0.35">
      <c r="A742" s="2"/>
    </row>
    <row r="743" spans="1:1" x14ac:dyDescent="0.35">
      <c r="A743" s="2"/>
    </row>
    <row r="744" spans="1:1" x14ac:dyDescent="0.35">
      <c r="A744" s="2"/>
    </row>
    <row r="745" spans="1:1" x14ac:dyDescent="0.35">
      <c r="A745" s="2"/>
    </row>
    <row r="746" spans="1:1" x14ac:dyDescent="0.35">
      <c r="A746" s="2"/>
    </row>
    <row r="747" spans="1:1" x14ac:dyDescent="0.35">
      <c r="A747" s="2"/>
    </row>
    <row r="748" spans="1:1" x14ac:dyDescent="0.35">
      <c r="A748" s="2"/>
    </row>
    <row r="749" spans="1:1" x14ac:dyDescent="0.35">
      <c r="A749" s="2"/>
    </row>
    <row r="750" spans="1:1" x14ac:dyDescent="0.35">
      <c r="A750" s="2"/>
    </row>
    <row r="751" spans="1:1" x14ac:dyDescent="0.35">
      <c r="A751" s="2"/>
    </row>
    <row r="752" spans="1:1" x14ac:dyDescent="0.35">
      <c r="A752" s="2"/>
    </row>
    <row r="753" spans="1:1" x14ac:dyDescent="0.35">
      <c r="A753" s="2"/>
    </row>
    <row r="754" spans="1:1" x14ac:dyDescent="0.35">
      <c r="A754" s="2"/>
    </row>
    <row r="755" spans="1:1" x14ac:dyDescent="0.35">
      <c r="A755" s="2"/>
    </row>
    <row r="756" spans="1:1" x14ac:dyDescent="0.35">
      <c r="A756" s="2"/>
    </row>
    <row r="757" spans="1:1" x14ac:dyDescent="0.35">
      <c r="A757" s="2"/>
    </row>
    <row r="758" spans="1:1" x14ac:dyDescent="0.35">
      <c r="A758" s="2"/>
    </row>
    <row r="759" spans="1:1" x14ac:dyDescent="0.35">
      <c r="A759" s="2"/>
    </row>
    <row r="760" spans="1:1" x14ac:dyDescent="0.35">
      <c r="A760" s="2"/>
    </row>
    <row r="761" spans="1:1" x14ac:dyDescent="0.35">
      <c r="A761" s="2"/>
    </row>
    <row r="762" spans="1:1" x14ac:dyDescent="0.35">
      <c r="A762" s="2"/>
    </row>
    <row r="763" spans="1:1" x14ac:dyDescent="0.35">
      <c r="A763" s="2"/>
    </row>
    <row r="764" spans="1:1" x14ac:dyDescent="0.35">
      <c r="A764" s="2"/>
    </row>
    <row r="765" spans="1:1" x14ac:dyDescent="0.35">
      <c r="A765" s="2"/>
    </row>
    <row r="766" spans="1:1" x14ac:dyDescent="0.35">
      <c r="A766" s="2"/>
    </row>
    <row r="767" spans="1:1" x14ac:dyDescent="0.35">
      <c r="A767" s="2"/>
    </row>
    <row r="768" spans="1:1" x14ac:dyDescent="0.35">
      <c r="A768" s="2"/>
    </row>
    <row r="769" spans="1:1" x14ac:dyDescent="0.35">
      <c r="A769" s="2"/>
    </row>
    <row r="770" spans="1:1" x14ac:dyDescent="0.35">
      <c r="A770" s="2"/>
    </row>
    <row r="771" spans="1:1" x14ac:dyDescent="0.35">
      <c r="A771" s="2"/>
    </row>
    <row r="772" spans="1:1" x14ac:dyDescent="0.35">
      <c r="A772" s="2"/>
    </row>
    <row r="773" spans="1:1" x14ac:dyDescent="0.35">
      <c r="A773" s="2"/>
    </row>
    <row r="774" spans="1:1" x14ac:dyDescent="0.35">
      <c r="A774" s="2"/>
    </row>
    <row r="775" spans="1:1" x14ac:dyDescent="0.35">
      <c r="A775" s="2"/>
    </row>
    <row r="776" spans="1:1" x14ac:dyDescent="0.35">
      <c r="A776" s="2"/>
    </row>
    <row r="777" spans="1:1" x14ac:dyDescent="0.35">
      <c r="A777" s="2"/>
    </row>
    <row r="778" spans="1:1" x14ac:dyDescent="0.35">
      <c r="A778" s="2"/>
    </row>
    <row r="779" spans="1:1" x14ac:dyDescent="0.35">
      <c r="A779" s="2"/>
    </row>
    <row r="780" spans="1:1" x14ac:dyDescent="0.35">
      <c r="A780" s="2"/>
    </row>
    <row r="781" spans="1:1" x14ac:dyDescent="0.35">
      <c r="A781" s="2"/>
    </row>
    <row r="782" spans="1:1" x14ac:dyDescent="0.35">
      <c r="A782" s="2"/>
    </row>
    <row r="783" spans="1:1" x14ac:dyDescent="0.35">
      <c r="A783" s="2"/>
    </row>
    <row r="784" spans="1:1" x14ac:dyDescent="0.35">
      <c r="A784" s="2"/>
    </row>
    <row r="785" spans="1:1" x14ac:dyDescent="0.35">
      <c r="A785" s="2"/>
    </row>
    <row r="786" spans="1:1" x14ac:dyDescent="0.35">
      <c r="A786" s="2"/>
    </row>
    <row r="787" spans="1:1" x14ac:dyDescent="0.35">
      <c r="A787" s="2"/>
    </row>
    <row r="788" spans="1:1" x14ac:dyDescent="0.35">
      <c r="A788" s="2"/>
    </row>
    <row r="789" spans="1:1" x14ac:dyDescent="0.35">
      <c r="A789" s="2"/>
    </row>
    <row r="790" spans="1:1" x14ac:dyDescent="0.35">
      <c r="A790" s="2"/>
    </row>
    <row r="791" spans="1:1" x14ac:dyDescent="0.35">
      <c r="A791" s="2"/>
    </row>
    <row r="792" spans="1:1" x14ac:dyDescent="0.35">
      <c r="A792" s="2"/>
    </row>
    <row r="793" spans="1:1" x14ac:dyDescent="0.35">
      <c r="A793" s="2"/>
    </row>
    <row r="794" spans="1:1" x14ac:dyDescent="0.35">
      <c r="A794" s="2"/>
    </row>
    <row r="795" spans="1:1" x14ac:dyDescent="0.35">
      <c r="A795" s="2"/>
    </row>
    <row r="796" spans="1:1" x14ac:dyDescent="0.35">
      <c r="A796" s="2"/>
    </row>
    <row r="797" spans="1:1" x14ac:dyDescent="0.35">
      <c r="A797" s="2"/>
    </row>
    <row r="798" spans="1:1" x14ac:dyDescent="0.35">
      <c r="A798" s="2"/>
    </row>
    <row r="799" spans="1:1" x14ac:dyDescent="0.35">
      <c r="A799" s="2"/>
    </row>
    <row r="800" spans="1:1" x14ac:dyDescent="0.35">
      <c r="A800" s="2"/>
    </row>
    <row r="801" spans="1:1" x14ac:dyDescent="0.35">
      <c r="A801" s="2"/>
    </row>
    <row r="802" spans="1:1" x14ac:dyDescent="0.35">
      <c r="A802" s="2"/>
    </row>
    <row r="803" spans="1:1" x14ac:dyDescent="0.35">
      <c r="A803" s="2"/>
    </row>
    <row r="804" spans="1:1" x14ac:dyDescent="0.35">
      <c r="A804" s="2"/>
    </row>
    <row r="805" spans="1:1" x14ac:dyDescent="0.35">
      <c r="A805" s="2"/>
    </row>
    <row r="806" spans="1:1" x14ac:dyDescent="0.35">
      <c r="A806" s="2"/>
    </row>
    <row r="807" spans="1:1" x14ac:dyDescent="0.35">
      <c r="A807" s="2"/>
    </row>
    <row r="808" spans="1:1" x14ac:dyDescent="0.35">
      <c r="A808" s="2"/>
    </row>
    <row r="809" spans="1:1" x14ac:dyDescent="0.35">
      <c r="A809" s="2"/>
    </row>
    <row r="810" spans="1:1" x14ac:dyDescent="0.35">
      <c r="A810" s="2"/>
    </row>
    <row r="811" spans="1:1" x14ac:dyDescent="0.35">
      <c r="A811" s="2"/>
    </row>
    <row r="812" spans="1:1" x14ac:dyDescent="0.35">
      <c r="A812" s="2"/>
    </row>
    <row r="813" spans="1:1" x14ac:dyDescent="0.35">
      <c r="A813" s="2"/>
    </row>
    <row r="814" spans="1:1" x14ac:dyDescent="0.35">
      <c r="A814" s="2"/>
    </row>
    <row r="815" spans="1:1" x14ac:dyDescent="0.35">
      <c r="A815" s="2"/>
    </row>
    <row r="816" spans="1:1" x14ac:dyDescent="0.35">
      <c r="A816" s="2"/>
    </row>
    <row r="817" spans="1:1" x14ac:dyDescent="0.35">
      <c r="A817" s="2"/>
    </row>
    <row r="818" spans="1:1" x14ac:dyDescent="0.35">
      <c r="A818" s="2"/>
    </row>
    <row r="819" spans="1:1" x14ac:dyDescent="0.35">
      <c r="A819" s="2"/>
    </row>
    <row r="820" spans="1:1" x14ac:dyDescent="0.35">
      <c r="A820" s="2"/>
    </row>
    <row r="821" spans="1:1" x14ac:dyDescent="0.35">
      <c r="A821" s="2"/>
    </row>
    <row r="822" spans="1:1" x14ac:dyDescent="0.35">
      <c r="A822" s="2"/>
    </row>
    <row r="823" spans="1:1" x14ac:dyDescent="0.35">
      <c r="A823" s="2"/>
    </row>
    <row r="824" spans="1:1" x14ac:dyDescent="0.35">
      <c r="A824" s="2"/>
    </row>
    <row r="825" spans="1:1" x14ac:dyDescent="0.35">
      <c r="A825" s="2"/>
    </row>
    <row r="826" spans="1:1" x14ac:dyDescent="0.35">
      <c r="A826" s="2"/>
    </row>
    <row r="827" spans="1:1" x14ac:dyDescent="0.35">
      <c r="A827" s="2"/>
    </row>
    <row r="828" spans="1:1" x14ac:dyDescent="0.35">
      <c r="A828" s="2"/>
    </row>
    <row r="829" spans="1:1" x14ac:dyDescent="0.35">
      <c r="A829" s="2"/>
    </row>
    <row r="830" spans="1:1" x14ac:dyDescent="0.35">
      <c r="A830" s="2"/>
    </row>
    <row r="831" spans="1:1" x14ac:dyDescent="0.35">
      <c r="A831" s="2"/>
    </row>
    <row r="832" spans="1:1" x14ac:dyDescent="0.35">
      <c r="A832" s="2"/>
    </row>
    <row r="833" spans="1:1" x14ac:dyDescent="0.35">
      <c r="A833" s="2"/>
    </row>
    <row r="834" spans="1:1" x14ac:dyDescent="0.35">
      <c r="A834" s="2"/>
    </row>
    <row r="835" spans="1:1" x14ac:dyDescent="0.35">
      <c r="A835" s="2"/>
    </row>
    <row r="836" spans="1:1" x14ac:dyDescent="0.35">
      <c r="A836" s="2"/>
    </row>
    <row r="837" spans="1:1" x14ac:dyDescent="0.35">
      <c r="A837" s="2"/>
    </row>
    <row r="838" spans="1:1" x14ac:dyDescent="0.35">
      <c r="A838" s="2"/>
    </row>
    <row r="839" spans="1:1" x14ac:dyDescent="0.35">
      <c r="A839" s="2"/>
    </row>
    <row r="840" spans="1:1" x14ac:dyDescent="0.35">
      <c r="A840" s="2"/>
    </row>
    <row r="841" spans="1:1" x14ac:dyDescent="0.35">
      <c r="A841" s="2"/>
    </row>
    <row r="842" spans="1:1" x14ac:dyDescent="0.35">
      <c r="A842" s="2"/>
    </row>
    <row r="843" spans="1:1" x14ac:dyDescent="0.35">
      <c r="A843" s="2"/>
    </row>
    <row r="844" spans="1:1" x14ac:dyDescent="0.35">
      <c r="A844" s="2"/>
    </row>
    <row r="845" spans="1:1" x14ac:dyDescent="0.35">
      <c r="A845" s="2"/>
    </row>
    <row r="846" spans="1:1" x14ac:dyDescent="0.35">
      <c r="A846" s="2"/>
    </row>
    <row r="847" spans="1:1" x14ac:dyDescent="0.35">
      <c r="A847" s="2"/>
    </row>
    <row r="848" spans="1:1" x14ac:dyDescent="0.35">
      <c r="A848" s="2"/>
    </row>
    <row r="849" spans="1:1" x14ac:dyDescent="0.35">
      <c r="A849" s="2"/>
    </row>
    <row r="850" spans="1:1" x14ac:dyDescent="0.35">
      <c r="A850" s="2"/>
    </row>
    <row r="851" spans="1:1" x14ac:dyDescent="0.35">
      <c r="A851" s="2"/>
    </row>
    <row r="852" spans="1:1" x14ac:dyDescent="0.35">
      <c r="A852" s="2"/>
    </row>
    <row r="853" spans="1:1" x14ac:dyDescent="0.35">
      <c r="A853" s="2"/>
    </row>
    <row r="854" spans="1:1" x14ac:dyDescent="0.35">
      <c r="A854" s="2"/>
    </row>
    <row r="855" spans="1:1" x14ac:dyDescent="0.35">
      <c r="A855" s="2"/>
    </row>
    <row r="856" spans="1:1" x14ac:dyDescent="0.35">
      <c r="A856" s="2"/>
    </row>
    <row r="857" spans="1:1" x14ac:dyDescent="0.35">
      <c r="A857" s="2"/>
    </row>
    <row r="858" spans="1:1" x14ac:dyDescent="0.35">
      <c r="A858" s="2"/>
    </row>
    <row r="859" spans="1:1" x14ac:dyDescent="0.35">
      <c r="A859" s="2"/>
    </row>
    <row r="860" spans="1:1" x14ac:dyDescent="0.35">
      <c r="A860" s="2"/>
    </row>
    <row r="861" spans="1:1" x14ac:dyDescent="0.35">
      <c r="A861" s="2"/>
    </row>
    <row r="862" spans="1:1" x14ac:dyDescent="0.35">
      <c r="A862" s="2"/>
    </row>
    <row r="863" spans="1:1" x14ac:dyDescent="0.35">
      <c r="A863" s="2"/>
    </row>
    <row r="864" spans="1:1" x14ac:dyDescent="0.35">
      <c r="A864" s="2"/>
    </row>
    <row r="865" spans="1:1" x14ac:dyDescent="0.35">
      <c r="A865" s="2"/>
    </row>
    <row r="866" spans="1:1" x14ac:dyDescent="0.35">
      <c r="A866" s="2"/>
    </row>
    <row r="867" spans="1:1" x14ac:dyDescent="0.35">
      <c r="A867" s="2"/>
    </row>
    <row r="868" spans="1:1" x14ac:dyDescent="0.35">
      <c r="A868" s="2"/>
    </row>
    <row r="869" spans="1:1" x14ac:dyDescent="0.35">
      <c r="A869" s="2"/>
    </row>
    <row r="870" spans="1:1" x14ac:dyDescent="0.35">
      <c r="A870" s="2"/>
    </row>
    <row r="871" spans="1:1" x14ac:dyDescent="0.35">
      <c r="A871" s="2"/>
    </row>
    <row r="872" spans="1:1" x14ac:dyDescent="0.35">
      <c r="A872" s="2"/>
    </row>
    <row r="873" spans="1:1" x14ac:dyDescent="0.35">
      <c r="A873" s="2"/>
    </row>
    <row r="874" spans="1:1" x14ac:dyDescent="0.35">
      <c r="A874" s="2"/>
    </row>
    <row r="875" spans="1:1" x14ac:dyDescent="0.35">
      <c r="A875" s="2"/>
    </row>
    <row r="876" spans="1:1" x14ac:dyDescent="0.35">
      <c r="A876" s="2"/>
    </row>
    <row r="877" spans="1:1" x14ac:dyDescent="0.35">
      <c r="A877" s="2"/>
    </row>
    <row r="878" spans="1:1" x14ac:dyDescent="0.35">
      <c r="A878" s="2"/>
    </row>
    <row r="879" spans="1:1" x14ac:dyDescent="0.35">
      <c r="A879" s="2"/>
    </row>
    <row r="880" spans="1:1" x14ac:dyDescent="0.35">
      <c r="A880" s="2"/>
    </row>
    <row r="881" spans="1:1" x14ac:dyDescent="0.35">
      <c r="A881" s="2"/>
    </row>
    <row r="882" spans="1:1" x14ac:dyDescent="0.35">
      <c r="A882" s="2"/>
    </row>
    <row r="883" spans="1:1" x14ac:dyDescent="0.35">
      <c r="A883" s="2"/>
    </row>
    <row r="884" spans="1:1" x14ac:dyDescent="0.35">
      <c r="A884" s="2"/>
    </row>
    <row r="885" spans="1:1" x14ac:dyDescent="0.35">
      <c r="A885" s="2"/>
    </row>
    <row r="886" spans="1:1" x14ac:dyDescent="0.35">
      <c r="A886" s="2"/>
    </row>
    <row r="887" spans="1:1" x14ac:dyDescent="0.35">
      <c r="A887" s="2"/>
    </row>
    <row r="888" spans="1:1" x14ac:dyDescent="0.35">
      <c r="A888" s="2"/>
    </row>
    <row r="889" spans="1:1" x14ac:dyDescent="0.35">
      <c r="A889" s="2"/>
    </row>
    <row r="890" spans="1:1" x14ac:dyDescent="0.35">
      <c r="A890" s="2"/>
    </row>
    <row r="891" spans="1:1" x14ac:dyDescent="0.35">
      <c r="A891" s="2"/>
    </row>
    <row r="892" spans="1:1" x14ac:dyDescent="0.35">
      <c r="A892" s="2"/>
    </row>
    <row r="893" spans="1:1" x14ac:dyDescent="0.35">
      <c r="A893" s="2"/>
    </row>
    <row r="894" spans="1:1" x14ac:dyDescent="0.35">
      <c r="A894" s="2"/>
    </row>
    <row r="895" spans="1:1" x14ac:dyDescent="0.35">
      <c r="A895" s="2"/>
    </row>
    <row r="896" spans="1:1" x14ac:dyDescent="0.35">
      <c r="A896" s="2"/>
    </row>
    <row r="897" spans="1:1" x14ac:dyDescent="0.35">
      <c r="A897" s="2"/>
    </row>
    <row r="898" spans="1:1" x14ac:dyDescent="0.35">
      <c r="A898" s="2"/>
    </row>
    <row r="899" spans="1:1" x14ac:dyDescent="0.35">
      <c r="A899" s="2"/>
    </row>
    <row r="900" spans="1:1" x14ac:dyDescent="0.35">
      <c r="A900" s="2"/>
    </row>
    <row r="901" spans="1:1" x14ac:dyDescent="0.35">
      <c r="A901" s="2"/>
    </row>
    <row r="902" spans="1:1" x14ac:dyDescent="0.35">
      <c r="A902" s="2"/>
    </row>
    <row r="903" spans="1:1" x14ac:dyDescent="0.35">
      <c r="A903" s="2"/>
    </row>
    <row r="904" spans="1:1" x14ac:dyDescent="0.35">
      <c r="A904" s="2"/>
    </row>
    <row r="905" spans="1:1" x14ac:dyDescent="0.35">
      <c r="A905" s="2"/>
    </row>
    <row r="906" spans="1:1" x14ac:dyDescent="0.35">
      <c r="A906" s="2"/>
    </row>
    <row r="907" spans="1:1" x14ac:dyDescent="0.35">
      <c r="A907" s="2"/>
    </row>
    <row r="908" spans="1:1" x14ac:dyDescent="0.35">
      <c r="A908" s="2"/>
    </row>
    <row r="909" spans="1:1" x14ac:dyDescent="0.35">
      <c r="A909" s="2"/>
    </row>
    <row r="910" spans="1:1" x14ac:dyDescent="0.35">
      <c r="A910" s="2"/>
    </row>
    <row r="911" spans="1:1" x14ac:dyDescent="0.35">
      <c r="A911" s="2"/>
    </row>
    <row r="912" spans="1:1" x14ac:dyDescent="0.35">
      <c r="A912" s="2"/>
    </row>
    <row r="913" spans="1:1" x14ac:dyDescent="0.35">
      <c r="A913" s="2"/>
    </row>
    <row r="914" spans="1:1" x14ac:dyDescent="0.35">
      <c r="A914" s="2"/>
    </row>
    <row r="915" spans="1:1" x14ac:dyDescent="0.35">
      <c r="A915" s="2"/>
    </row>
    <row r="916" spans="1:1" x14ac:dyDescent="0.35">
      <c r="A916" s="2"/>
    </row>
    <row r="917" spans="1:1" x14ac:dyDescent="0.35">
      <c r="A917" s="2"/>
    </row>
    <row r="918" spans="1:1" x14ac:dyDescent="0.35">
      <c r="A918" s="2"/>
    </row>
    <row r="919" spans="1:1" x14ac:dyDescent="0.35">
      <c r="A919" s="2"/>
    </row>
    <row r="920" spans="1:1" x14ac:dyDescent="0.35">
      <c r="A920" s="2"/>
    </row>
    <row r="921" spans="1:1" x14ac:dyDescent="0.35">
      <c r="A921" s="2"/>
    </row>
    <row r="922" spans="1:1" x14ac:dyDescent="0.35">
      <c r="A922" s="2"/>
    </row>
  </sheetData>
  <dataValidations count="1">
    <dataValidation type="list" allowBlank="1" showInputMessage="1" showErrorMessage="1" sqref="L3:L24" xr:uid="{00000000-0002-0000-0200-000000000000}">
      <formula1>"Baixa,Média,Alta"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1"/>
  <sheetViews>
    <sheetView showGridLines="0" workbookViewId="0">
      <pane ySplit="1" topLeftCell="A2" activePane="bottomLeft" state="frozenSplit"/>
      <selection pane="bottomLeft" activeCell="E121" sqref="E121"/>
    </sheetView>
  </sheetViews>
  <sheetFormatPr defaultColWidth="9.1796875" defaultRowHeight="12" x14ac:dyDescent="0.3"/>
  <cols>
    <col min="1" max="1" width="30.81640625" style="52" bestFit="1" customWidth="1"/>
    <col min="2" max="2" width="9.1796875" style="52"/>
    <col min="3" max="3" width="49.7265625" style="52" customWidth="1"/>
    <col min="4" max="4" width="60.81640625" style="52" customWidth="1"/>
    <col min="5" max="5" width="15.54296875" style="52" customWidth="1"/>
    <col min="6" max="16384" width="9.1796875" style="52"/>
  </cols>
  <sheetData>
    <row r="1" spans="1:5" x14ac:dyDescent="0.3">
      <c r="A1" s="62" t="s">
        <v>81</v>
      </c>
      <c r="B1" s="62" t="s">
        <v>73</v>
      </c>
      <c r="C1" s="62" t="s">
        <v>74</v>
      </c>
      <c r="D1" s="62" t="s">
        <v>75</v>
      </c>
      <c r="E1" s="62" t="s">
        <v>109</v>
      </c>
    </row>
    <row r="2" spans="1:5" x14ac:dyDescent="0.3">
      <c r="A2" s="89" t="s">
        <v>76</v>
      </c>
      <c r="B2" s="89" t="s">
        <v>4</v>
      </c>
      <c r="C2" s="89" t="s">
        <v>79</v>
      </c>
      <c r="D2" s="89" t="s">
        <v>80</v>
      </c>
      <c r="E2" s="88">
        <v>16</v>
      </c>
    </row>
    <row r="3" spans="1:5" x14ac:dyDescent="0.3">
      <c r="A3" s="89" t="s">
        <v>76</v>
      </c>
      <c r="B3" s="89" t="s">
        <v>4</v>
      </c>
      <c r="C3" s="89" t="s">
        <v>79</v>
      </c>
      <c r="D3" s="89" t="s">
        <v>240</v>
      </c>
      <c r="E3" s="88">
        <v>16</v>
      </c>
    </row>
    <row r="4" spans="1:5" x14ac:dyDescent="0.3">
      <c r="A4" s="89" t="s">
        <v>76</v>
      </c>
      <c r="B4" s="89" t="s">
        <v>4</v>
      </c>
      <c r="C4" s="89" t="s">
        <v>79</v>
      </c>
      <c r="D4" s="89" t="s">
        <v>241</v>
      </c>
      <c r="E4" s="88">
        <v>12</v>
      </c>
    </row>
    <row r="5" spans="1:5" x14ac:dyDescent="0.3">
      <c r="A5" s="89" t="s">
        <v>76</v>
      </c>
      <c r="B5" s="89" t="s">
        <v>4</v>
      </c>
      <c r="C5" s="89" t="s">
        <v>79</v>
      </c>
      <c r="D5" s="89" t="s">
        <v>242</v>
      </c>
      <c r="E5" s="79">
        <v>12</v>
      </c>
    </row>
    <row r="6" spans="1:5" x14ac:dyDescent="0.3">
      <c r="A6" s="89" t="s">
        <v>76</v>
      </c>
      <c r="B6" s="89" t="s">
        <v>4</v>
      </c>
      <c r="C6" s="89" t="s">
        <v>79</v>
      </c>
      <c r="D6" s="89" t="s">
        <v>243</v>
      </c>
      <c r="E6" s="79">
        <v>16</v>
      </c>
    </row>
    <row r="7" spans="1:5" x14ac:dyDescent="0.3">
      <c r="A7" s="89" t="s">
        <v>76</v>
      </c>
      <c r="B7" s="89" t="s">
        <v>4</v>
      </c>
      <c r="C7" s="89" t="s">
        <v>79</v>
      </c>
      <c r="D7" s="89" t="s">
        <v>244</v>
      </c>
      <c r="E7" s="79">
        <v>2</v>
      </c>
    </row>
    <row r="8" spans="1:5" x14ac:dyDescent="0.3">
      <c r="A8" s="89" t="s">
        <v>76</v>
      </c>
      <c r="B8" s="89" t="s">
        <v>4</v>
      </c>
      <c r="C8" s="89" t="s">
        <v>79</v>
      </c>
      <c r="D8" s="89" t="s">
        <v>245</v>
      </c>
      <c r="E8" s="79">
        <v>12</v>
      </c>
    </row>
    <row r="9" spans="1:5" x14ac:dyDescent="0.3">
      <c r="A9" s="89" t="s">
        <v>76</v>
      </c>
      <c r="B9" s="89" t="s">
        <v>4</v>
      </c>
      <c r="C9" s="89" t="s">
        <v>79</v>
      </c>
      <c r="D9" s="89" t="s">
        <v>246</v>
      </c>
      <c r="E9" s="79">
        <v>2</v>
      </c>
    </row>
    <row r="10" spans="1:5" x14ac:dyDescent="0.3">
      <c r="A10" s="89" t="s">
        <v>76</v>
      </c>
      <c r="B10" s="89" t="s">
        <v>6</v>
      </c>
      <c r="C10" s="89" t="s">
        <v>252</v>
      </c>
      <c r="D10" s="89" t="s">
        <v>84</v>
      </c>
      <c r="E10" s="88">
        <v>4</v>
      </c>
    </row>
    <row r="11" spans="1:5" x14ac:dyDescent="0.3">
      <c r="A11" s="89" t="s">
        <v>76</v>
      </c>
      <c r="B11" s="89" t="s">
        <v>6</v>
      </c>
      <c r="C11" s="89" t="s">
        <v>252</v>
      </c>
      <c r="D11" s="89" t="s">
        <v>85</v>
      </c>
      <c r="E11" s="88">
        <v>12</v>
      </c>
    </row>
    <row r="12" spans="1:5" x14ac:dyDescent="0.3">
      <c r="A12" s="89" t="s">
        <v>76</v>
      </c>
      <c r="B12" s="89" t="s">
        <v>6</v>
      </c>
      <c r="C12" s="89" t="s">
        <v>252</v>
      </c>
      <c r="D12" s="89" t="s">
        <v>247</v>
      </c>
      <c r="E12" s="79">
        <v>2</v>
      </c>
    </row>
    <row r="13" spans="1:5" x14ac:dyDescent="0.3">
      <c r="A13" s="89" t="s">
        <v>76</v>
      </c>
      <c r="B13" s="89" t="s">
        <v>6</v>
      </c>
      <c r="C13" s="89" t="s">
        <v>252</v>
      </c>
      <c r="D13" s="89" t="s">
        <v>248</v>
      </c>
      <c r="E13" s="79">
        <v>1</v>
      </c>
    </row>
    <row r="14" spans="1:5" x14ac:dyDescent="0.3">
      <c r="A14" s="89" t="s">
        <v>76</v>
      </c>
      <c r="B14" s="89" t="s">
        <v>251</v>
      </c>
      <c r="C14" s="89" t="s">
        <v>253</v>
      </c>
      <c r="D14" s="89" t="s">
        <v>84</v>
      </c>
      <c r="E14" s="88">
        <v>4</v>
      </c>
    </row>
    <row r="15" spans="1:5" x14ac:dyDescent="0.3">
      <c r="A15" s="89" t="s">
        <v>76</v>
      </c>
      <c r="B15" s="89" t="s">
        <v>251</v>
      </c>
      <c r="C15" s="89" t="s">
        <v>253</v>
      </c>
      <c r="D15" s="89" t="s">
        <v>85</v>
      </c>
      <c r="E15" s="88">
        <v>12</v>
      </c>
    </row>
    <row r="16" spans="1:5" x14ac:dyDescent="0.3">
      <c r="A16" s="89" t="s">
        <v>76</v>
      </c>
      <c r="B16" s="89" t="s">
        <v>251</v>
      </c>
      <c r="C16" s="89" t="s">
        <v>253</v>
      </c>
      <c r="D16" s="89" t="s">
        <v>247</v>
      </c>
      <c r="E16" s="79">
        <v>2</v>
      </c>
    </row>
    <row r="17" spans="1:5" x14ac:dyDescent="0.3">
      <c r="A17" s="89" t="s">
        <v>76</v>
      </c>
      <c r="B17" s="89" t="s">
        <v>251</v>
      </c>
      <c r="C17" s="89" t="s">
        <v>253</v>
      </c>
      <c r="D17" s="89" t="s">
        <v>248</v>
      </c>
      <c r="E17" s="79">
        <v>1</v>
      </c>
    </row>
    <row r="18" spans="1:5" x14ac:dyDescent="0.3">
      <c r="A18" s="89" t="s">
        <v>78</v>
      </c>
      <c r="B18" s="89" t="s">
        <v>88</v>
      </c>
      <c r="C18" s="89" t="s">
        <v>90</v>
      </c>
      <c r="D18" s="89" t="s">
        <v>80</v>
      </c>
      <c r="E18" s="88">
        <v>8</v>
      </c>
    </row>
    <row r="19" spans="1:5" x14ac:dyDescent="0.3">
      <c r="A19" s="89" t="s">
        <v>78</v>
      </c>
      <c r="B19" s="89" t="s">
        <v>88</v>
      </c>
      <c r="C19" s="89" t="s">
        <v>90</v>
      </c>
      <c r="D19" s="89" t="s">
        <v>95</v>
      </c>
      <c r="E19" s="88">
        <v>24</v>
      </c>
    </row>
    <row r="20" spans="1:5" x14ac:dyDescent="0.3">
      <c r="A20" s="89" t="s">
        <v>78</v>
      </c>
      <c r="B20" s="89" t="s">
        <v>88</v>
      </c>
      <c r="C20" s="89" t="s">
        <v>90</v>
      </c>
      <c r="D20" s="89" t="s">
        <v>260</v>
      </c>
      <c r="E20" s="88">
        <v>2</v>
      </c>
    </row>
    <row r="21" spans="1:5" x14ac:dyDescent="0.3">
      <c r="A21" s="89" t="s">
        <v>78</v>
      </c>
      <c r="B21" s="89" t="s">
        <v>88</v>
      </c>
      <c r="C21" s="89" t="s">
        <v>90</v>
      </c>
      <c r="D21" s="89" t="s">
        <v>254</v>
      </c>
      <c r="E21" s="79">
        <v>8</v>
      </c>
    </row>
    <row r="22" spans="1:5" x14ac:dyDescent="0.3">
      <c r="A22" s="89" t="s">
        <v>78</v>
      </c>
      <c r="B22" s="89" t="s">
        <v>88</v>
      </c>
      <c r="C22" s="89" t="s">
        <v>90</v>
      </c>
      <c r="D22" s="89" t="s">
        <v>255</v>
      </c>
      <c r="E22" s="79">
        <v>2</v>
      </c>
    </row>
    <row r="23" spans="1:5" x14ac:dyDescent="0.3">
      <c r="A23" s="89" t="s">
        <v>78</v>
      </c>
      <c r="B23" s="89" t="s">
        <v>89</v>
      </c>
      <c r="C23" s="89" t="s">
        <v>257</v>
      </c>
      <c r="D23" s="89" t="s">
        <v>84</v>
      </c>
      <c r="E23" s="88">
        <v>4</v>
      </c>
    </row>
    <row r="24" spans="1:5" x14ac:dyDescent="0.3">
      <c r="A24" s="89" t="s">
        <v>78</v>
      </c>
      <c r="B24" s="89" t="s">
        <v>89</v>
      </c>
      <c r="C24" s="89" t="s">
        <v>257</v>
      </c>
      <c r="D24" s="89" t="s">
        <v>96</v>
      </c>
      <c r="E24" s="88">
        <v>8</v>
      </c>
    </row>
    <row r="25" spans="1:5" x14ac:dyDescent="0.3">
      <c r="A25" s="89" t="s">
        <v>78</v>
      </c>
      <c r="B25" s="89" t="s">
        <v>89</v>
      </c>
      <c r="C25" s="89" t="s">
        <v>257</v>
      </c>
      <c r="D25" s="89" t="s">
        <v>261</v>
      </c>
      <c r="E25" s="79">
        <v>1</v>
      </c>
    </row>
    <row r="26" spans="1:5" x14ac:dyDescent="0.3">
      <c r="A26" s="89" t="s">
        <v>78</v>
      </c>
      <c r="B26" s="89" t="s">
        <v>89</v>
      </c>
      <c r="C26" s="89" t="s">
        <v>257</v>
      </c>
      <c r="D26" s="89" t="s">
        <v>248</v>
      </c>
      <c r="E26" s="79">
        <v>1</v>
      </c>
    </row>
    <row r="27" spans="1:5" x14ac:dyDescent="0.3">
      <c r="A27" s="89" t="s">
        <v>78</v>
      </c>
      <c r="B27" s="89" t="s">
        <v>258</v>
      </c>
      <c r="C27" s="89" t="s">
        <v>259</v>
      </c>
      <c r="D27" s="89" t="s">
        <v>84</v>
      </c>
      <c r="E27" s="88">
        <v>4</v>
      </c>
    </row>
    <row r="28" spans="1:5" x14ac:dyDescent="0.3">
      <c r="A28" s="89" t="s">
        <v>78</v>
      </c>
      <c r="B28" s="89" t="s">
        <v>258</v>
      </c>
      <c r="C28" s="89" t="s">
        <v>259</v>
      </c>
      <c r="D28" s="89" t="s">
        <v>96</v>
      </c>
      <c r="E28" s="88">
        <v>12</v>
      </c>
    </row>
    <row r="29" spans="1:5" x14ac:dyDescent="0.3">
      <c r="A29" s="89" t="s">
        <v>78</v>
      </c>
      <c r="B29" s="89" t="s">
        <v>258</v>
      </c>
      <c r="C29" s="89" t="s">
        <v>259</v>
      </c>
      <c r="D29" s="89" t="s">
        <v>261</v>
      </c>
      <c r="E29" s="79">
        <v>1</v>
      </c>
    </row>
    <row r="30" spans="1:5" x14ac:dyDescent="0.3">
      <c r="A30" s="89" t="s">
        <v>78</v>
      </c>
      <c r="B30" s="89" t="s">
        <v>258</v>
      </c>
      <c r="C30" s="89" t="s">
        <v>259</v>
      </c>
      <c r="D30" s="89" t="s">
        <v>248</v>
      </c>
      <c r="E30" s="79">
        <v>1</v>
      </c>
    </row>
    <row r="31" spans="1:5" x14ac:dyDescent="0.3">
      <c r="A31" s="89" t="s">
        <v>99</v>
      </c>
      <c r="B31" s="89" t="s">
        <v>97</v>
      </c>
      <c r="C31" s="89" t="s">
        <v>100</v>
      </c>
      <c r="D31" s="89" t="s">
        <v>80</v>
      </c>
      <c r="E31" s="88">
        <v>8</v>
      </c>
    </row>
    <row r="32" spans="1:5" x14ac:dyDescent="0.3">
      <c r="A32" s="89" t="s">
        <v>99</v>
      </c>
      <c r="B32" s="89" t="s">
        <v>97</v>
      </c>
      <c r="C32" s="89" t="s">
        <v>100</v>
      </c>
      <c r="D32" s="89" t="s">
        <v>102</v>
      </c>
      <c r="E32" s="88">
        <v>16</v>
      </c>
    </row>
    <row r="33" spans="1:5" x14ac:dyDescent="0.3">
      <c r="A33" s="89" t="s">
        <v>99</v>
      </c>
      <c r="B33" s="89" t="s">
        <v>97</v>
      </c>
      <c r="C33" s="89" t="s">
        <v>100</v>
      </c>
      <c r="D33" s="89" t="s">
        <v>263</v>
      </c>
      <c r="E33" s="63">
        <v>4</v>
      </c>
    </row>
    <row r="34" spans="1:5" x14ac:dyDescent="0.3">
      <c r="A34" s="89" t="s">
        <v>99</v>
      </c>
      <c r="B34" s="89" t="s">
        <v>97</v>
      </c>
      <c r="C34" s="89" t="s">
        <v>100</v>
      </c>
      <c r="D34" s="89" t="s">
        <v>264</v>
      </c>
      <c r="E34" s="88">
        <v>2</v>
      </c>
    </row>
    <row r="35" spans="1:5" x14ac:dyDescent="0.3">
      <c r="A35" s="89" t="s">
        <v>99</v>
      </c>
      <c r="B35" s="89" t="s">
        <v>97</v>
      </c>
      <c r="C35" s="89" t="s">
        <v>100</v>
      </c>
      <c r="D35" s="89" t="s">
        <v>255</v>
      </c>
      <c r="E35" s="88">
        <v>2</v>
      </c>
    </row>
    <row r="36" spans="1:5" x14ac:dyDescent="0.3">
      <c r="A36" s="89" t="s">
        <v>99</v>
      </c>
      <c r="B36" s="89" t="s">
        <v>98</v>
      </c>
      <c r="C36" s="89" t="s">
        <v>101</v>
      </c>
      <c r="D36" s="89" t="s">
        <v>84</v>
      </c>
      <c r="E36" s="88">
        <v>4</v>
      </c>
    </row>
    <row r="37" spans="1:5" x14ac:dyDescent="0.3">
      <c r="A37" s="89" t="s">
        <v>99</v>
      </c>
      <c r="B37" s="89" t="s">
        <v>98</v>
      </c>
      <c r="C37" s="89" t="s">
        <v>101</v>
      </c>
      <c r="D37" s="89" t="s">
        <v>103</v>
      </c>
      <c r="E37" s="88">
        <v>6</v>
      </c>
    </row>
    <row r="38" spans="1:5" x14ac:dyDescent="0.3">
      <c r="A38" s="89" t="s">
        <v>99</v>
      </c>
      <c r="B38" s="89" t="s">
        <v>98</v>
      </c>
      <c r="C38" s="89" t="s">
        <v>101</v>
      </c>
      <c r="D38" s="89" t="s">
        <v>114</v>
      </c>
      <c r="E38" s="88">
        <v>1</v>
      </c>
    </row>
    <row r="39" spans="1:5" x14ac:dyDescent="0.3">
      <c r="A39" s="89" t="s">
        <v>99</v>
      </c>
      <c r="B39" s="89" t="s">
        <v>98</v>
      </c>
      <c r="C39" s="89" t="s">
        <v>101</v>
      </c>
      <c r="D39" s="89" t="s">
        <v>248</v>
      </c>
      <c r="E39" s="88">
        <v>1</v>
      </c>
    </row>
    <row r="40" spans="1:5" x14ac:dyDescent="0.3">
      <c r="A40" s="89" t="s">
        <v>3</v>
      </c>
      <c r="B40" s="89" t="s">
        <v>110</v>
      </c>
      <c r="C40" s="89" t="s">
        <v>113</v>
      </c>
      <c r="D40" s="89" t="s">
        <v>266</v>
      </c>
      <c r="E40" s="88">
        <v>16</v>
      </c>
    </row>
    <row r="41" spans="1:5" x14ac:dyDescent="0.3">
      <c r="A41" s="89" t="s">
        <v>3</v>
      </c>
      <c r="B41" s="89" t="s">
        <v>110</v>
      </c>
      <c r="C41" s="89" t="s">
        <v>113</v>
      </c>
      <c r="D41" s="89" t="s">
        <v>267</v>
      </c>
      <c r="E41" s="88">
        <v>20</v>
      </c>
    </row>
    <row r="42" spans="1:5" x14ac:dyDescent="0.3">
      <c r="A42" s="89" t="s">
        <v>3</v>
      </c>
      <c r="B42" s="89" t="s">
        <v>110</v>
      </c>
      <c r="C42" s="89" t="s">
        <v>113</v>
      </c>
      <c r="D42" s="89" t="s">
        <v>268</v>
      </c>
      <c r="E42" s="63">
        <v>32</v>
      </c>
    </row>
    <row r="43" spans="1:5" x14ac:dyDescent="0.3">
      <c r="A43" s="89" t="s">
        <v>3</v>
      </c>
      <c r="B43" s="89" t="s">
        <v>110</v>
      </c>
      <c r="C43" s="89" t="s">
        <v>113</v>
      </c>
      <c r="D43" s="89" t="s">
        <v>269</v>
      </c>
      <c r="E43" s="88">
        <v>2</v>
      </c>
    </row>
    <row r="44" spans="1:5" x14ac:dyDescent="0.3">
      <c r="A44" s="89" t="s">
        <v>3</v>
      </c>
      <c r="B44" s="89" t="s">
        <v>110</v>
      </c>
      <c r="C44" s="89" t="s">
        <v>113</v>
      </c>
      <c r="D44" s="89" t="s">
        <v>270</v>
      </c>
      <c r="E44" s="63">
        <v>4</v>
      </c>
    </row>
    <row r="45" spans="1:5" x14ac:dyDescent="0.3">
      <c r="A45" s="89" t="s">
        <v>3</v>
      </c>
      <c r="B45" s="89" t="s">
        <v>110</v>
      </c>
      <c r="C45" s="89" t="s">
        <v>113</v>
      </c>
      <c r="D45" s="89" t="s">
        <v>271</v>
      </c>
      <c r="E45" s="88">
        <v>2</v>
      </c>
    </row>
    <row r="46" spans="1:5" x14ac:dyDescent="0.3">
      <c r="A46" s="89" t="s">
        <v>3</v>
      </c>
      <c r="B46" s="89" t="s">
        <v>110</v>
      </c>
      <c r="C46" s="89" t="s">
        <v>113</v>
      </c>
      <c r="D46" s="89" t="s">
        <v>272</v>
      </c>
      <c r="E46" s="63">
        <v>4</v>
      </c>
    </row>
    <row r="47" spans="1:5" x14ac:dyDescent="0.3">
      <c r="A47" s="89" t="s">
        <v>3</v>
      </c>
      <c r="B47" s="89" t="s">
        <v>111</v>
      </c>
      <c r="C47" s="89" t="s">
        <v>112</v>
      </c>
      <c r="D47" s="89" t="s">
        <v>131</v>
      </c>
      <c r="E47" s="88">
        <v>4</v>
      </c>
    </row>
    <row r="48" spans="1:5" x14ac:dyDescent="0.3">
      <c r="A48" s="89" t="s">
        <v>3</v>
      </c>
      <c r="B48" s="89" t="s">
        <v>111</v>
      </c>
      <c r="C48" s="89" t="s">
        <v>112</v>
      </c>
      <c r="D48" s="89" t="s">
        <v>132</v>
      </c>
      <c r="E48" s="88">
        <v>4</v>
      </c>
    </row>
    <row r="49" spans="1:5" x14ac:dyDescent="0.3">
      <c r="A49" s="89" t="s">
        <v>3</v>
      </c>
      <c r="B49" s="89" t="s">
        <v>111</v>
      </c>
      <c r="C49" s="89" t="s">
        <v>112</v>
      </c>
      <c r="D49" s="89" t="s">
        <v>133</v>
      </c>
      <c r="E49" s="63">
        <v>2</v>
      </c>
    </row>
    <row r="50" spans="1:5" x14ac:dyDescent="0.3">
      <c r="A50" s="89" t="s">
        <v>3</v>
      </c>
      <c r="B50" s="89" t="s">
        <v>111</v>
      </c>
      <c r="C50" s="89" t="s">
        <v>112</v>
      </c>
      <c r="D50" s="89" t="s">
        <v>134</v>
      </c>
      <c r="E50" s="88">
        <v>2</v>
      </c>
    </row>
    <row r="51" spans="1:5" x14ac:dyDescent="0.3">
      <c r="A51" s="89" t="s">
        <v>137</v>
      </c>
      <c r="B51" s="89" t="s">
        <v>138</v>
      </c>
      <c r="C51" s="89" t="s">
        <v>143</v>
      </c>
      <c r="D51" s="89" t="s">
        <v>80</v>
      </c>
      <c r="E51" s="88">
        <v>8</v>
      </c>
    </row>
    <row r="52" spans="1:5" x14ac:dyDescent="0.3">
      <c r="A52" s="89" t="s">
        <v>137</v>
      </c>
      <c r="B52" s="89" t="s">
        <v>138</v>
      </c>
      <c r="C52" s="89" t="s">
        <v>143</v>
      </c>
      <c r="D52" s="89" t="s">
        <v>145</v>
      </c>
      <c r="E52" s="88">
        <v>16</v>
      </c>
    </row>
    <row r="53" spans="1:5" x14ac:dyDescent="0.3">
      <c r="A53" s="89" t="s">
        <v>137</v>
      </c>
      <c r="B53" s="89" t="s">
        <v>138</v>
      </c>
      <c r="C53" s="89" t="s">
        <v>143</v>
      </c>
      <c r="D53" s="89" t="s">
        <v>144</v>
      </c>
      <c r="E53" s="63">
        <v>2</v>
      </c>
    </row>
    <row r="54" spans="1:5" x14ac:dyDescent="0.3">
      <c r="A54" s="89" t="s">
        <v>137</v>
      </c>
      <c r="B54" s="89" t="s">
        <v>138</v>
      </c>
      <c r="C54" s="89" t="s">
        <v>143</v>
      </c>
      <c r="D54" s="90" t="s">
        <v>149</v>
      </c>
      <c r="E54" s="79">
        <v>16</v>
      </c>
    </row>
    <row r="55" spans="1:5" x14ac:dyDescent="0.3">
      <c r="A55" s="89" t="s">
        <v>137</v>
      </c>
      <c r="B55" s="89" t="s">
        <v>138</v>
      </c>
      <c r="C55" s="89" t="s">
        <v>143</v>
      </c>
      <c r="D55" s="89" t="s">
        <v>150</v>
      </c>
      <c r="E55" s="79">
        <v>8</v>
      </c>
    </row>
    <row r="56" spans="1:5" x14ac:dyDescent="0.3">
      <c r="A56" s="89" t="s">
        <v>137</v>
      </c>
      <c r="B56" s="89" t="s">
        <v>138</v>
      </c>
      <c r="C56" s="89" t="s">
        <v>143</v>
      </c>
      <c r="D56" s="89" t="s">
        <v>273</v>
      </c>
      <c r="E56" s="79">
        <v>16</v>
      </c>
    </row>
    <row r="57" spans="1:5" x14ac:dyDescent="0.3">
      <c r="A57" s="89" t="s">
        <v>137</v>
      </c>
      <c r="B57" s="89" t="s">
        <v>142</v>
      </c>
      <c r="C57" s="89" t="s">
        <v>146</v>
      </c>
      <c r="D57" s="89" t="s">
        <v>80</v>
      </c>
      <c r="E57" s="88">
        <v>8</v>
      </c>
    </row>
    <row r="58" spans="1:5" x14ac:dyDescent="0.3">
      <c r="A58" s="89" t="s">
        <v>137</v>
      </c>
      <c r="B58" s="89" t="s">
        <v>142</v>
      </c>
      <c r="C58" s="89" t="s">
        <v>146</v>
      </c>
      <c r="D58" s="89" t="s">
        <v>156</v>
      </c>
      <c r="E58" s="88">
        <v>8</v>
      </c>
    </row>
    <row r="59" spans="1:5" x14ac:dyDescent="0.3">
      <c r="A59" s="89" t="s">
        <v>137</v>
      </c>
      <c r="B59" s="89" t="s">
        <v>142</v>
      </c>
      <c r="C59" s="89" t="s">
        <v>146</v>
      </c>
      <c r="D59" s="89" t="s">
        <v>157</v>
      </c>
      <c r="E59" s="63">
        <v>4</v>
      </c>
    </row>
    <row r="60" spans="1:5" x14ac:dyDescent="0.3">
      <c r="A60" s="89" t="s">
        <v>137</v>
      </c>
      <c r="B60" s="89" t="s">
        <v>142</v>
      </c>
      <c r="C60" s="89" t="s">
        <v>146</v>
      </c>
      <c r="D60" s="90" t="s">
        <v>151</v>
      </c>
      <c r="E60" s="79">
        <v>8</v>
      </c>
    </row>
    <row r="61" spans="1:5" x14ac:dyDescent="0.3">
      <c r="A61" s="89" t="s">
        <v>137</v>
      </c>
      <c r="B61" s="89" t="s">
        <v>142</v>
      </c>
      <c r="C61" s="89" t="s">
        <v>146</v>
      </c>
      <c r="D61" s="89" t="s">
        <v>255</v>
      </c>
      <c r="E61" s="79">
        <v>2</v>
      </c>
    </row>
    <row r="62" spans="1:5" x14ac:dyDescent="0.3">
      <c r="A62" s="89" t="s">
        <v>137</v>
      </c>
      <c r="B62" s="89" t="s">
        <v>142</v>
      </c>
      <c r="C62" s="89" t="s">
        <v>146</v>
      </c>
      <c r="D62" s="89" t="s">
        <v>274</v>
      </c>
      <c r="E62" s="79">
        <v>2</v>
      </c>
    </row>
    <row r="63" spans="1:5" x14ac:dyDescent="0.3">
      <c r="A63" s="90" t="s">
        <v>77</v>
      </c>
      <c r="B63" s="90" t="s">
        <v>153</v>
      </c>
      <c r="C63" s="90" t="s">
        <v>154</v>
      </c>
      <c r="D63" s="89" t="s">
        <v>155</v>
      </c>
      <c r="E63" s="88">
        <v>16</v>
      </c>
    </row>
    <row r="64" spans="1:5" x14ac:dyDescent="0.3">
      <c r="A64" s="90" t="s">
        <v>77</v>
      </c>
      <c r="B64" s="90" t="s">
        <v>153</v>
      </c>
      <c r="C64" s="90" t="s">
        <v>154</v>
      </c>
      <c r="D64" s="89" t="s">
        <v>158</v>
      </c>
      <c r="E64" s="88">
        <v>24</v>
      </c>
    </row>
    <row r="65" spans="1:5" x14ac:dyDescent="0.3">
      <c r="A65" s="90" t="s">
        <v>77</v>
      </c>
      <c r="B65" s="90" t="s">
        <v>153</v>
      </c>
      <c r="C65" s="90" t="s">
        <v>154</v>
      </c>
      <c r="D65" s="89" t="s">
        <v>159</v>
      </c>
      <c r="E65" s="63">
        <v>8</v>
      </c>
    </row>
    <row r="66" spans="1:5" x14ac:dyDescent="0.3">
      <c r="A66" s="90" t="s">
        <v>77</v>
      </c>
      <c r="B66" s="90" t="s">
        <v>153</v>
      </c>
      <c r="C66" s="90" t="s">
        <v>154</v>
      </c>
      <c r="D66" s="90" t="s">
        <v>160</v>
      </c>
      <c r="E66" s="79">
        <v>12</v>
      </c>
    </row>
    <row r="67" spans="1:5" x14ac:dyDescent="0.3">
      <c r="A67" s="90" t="s">
        <v>77</v>
      </c>
      <c r="B67" s="90" t="s">
        <v>153</v>
      </c>
      <c r="C67" s="90" t="s">
        <v>154</v>
      </c>
      <c r="D67" s="89" t="s">
        <v>255</v>
      </c>
      <c r="E67" s="79">
        <v>2</v>
      </c>
    </row>
    <row r="68" spans="1:5" x14ac:dyDescent="0.3">
      <c r="A68" s="90" t="s">
        <v>77</v>
      </c>
      <c r="B68" s="90" t="s">
        <v>153</v>
      </c>
      <c r="C68" s="90" t="s">
        <v>154</v>
      </c>
      <c r="D68" s="89" t="s">
        <v>274</v>
      </c>
      <c r="E68" s="79">
        <v>4</v>
      </c>
    </row>
    <row r="69" spans="1:5" x14ac:dyDescent="0.3">
      <c r="A69" s="90" t="s">
        <v>77</v>
      </c>
      <c r="B69" s="90" t="s">
        <v>163</v>
      </c>
      <c r="C69" s="90" t="s">
        <v>165</v>
      </c>
      <c r="D69" s="89" t="s">
        <v>168</v>
      </c>
      <c r="E69" s="88">
        <v>12</v>
      </c>
    </row>
    <row r="70" spans="1:5" x14ac:dyDescent="0.3">
      <c r="A70" s="90" t="s">
        <v>77</v>
      </c>
      <c r="B70" s="90" t="s">
        <v>163</v>
      </c>
      <c r="C70" s="90" t="s">
        <v>165</v>
      </c>
      <c r="D70" s="89" t="s">
        <v>169</v>
      </c>
      <c r="E70" s="88">
        <v>20</v>
      </c>
    </row>
    <row r="71" spans="1:5" x14ac:dyDescent="0.3">
      <c r="A71" s="90" t="s">
        <v>77</v>
      </c>
      <c r="B71" s="90" t="s">
        <v>163</v>
      </c>
      <c r="C71" s="90" t="s">
        <v>165</v>
      </c>
      <c r="D71" s="89" t="s">
        <v>170</v>
      </c>
      <c r="E71" s="63">
        <v>6</v>
      </c>
    </row>
    <row r="72" spans="1:5" x14ac:dyDescent="0.3">
      <c r="A72" s="90" t="s">
        <v>77</v>
      </c>
      <c r="B72" s="90" t="s">
        <v>163</v>
      </c>
      <c r="C72" s="90" t="s">
        <v>165</v>
      </c>
      <c r="D72" s="90" t="s">
        <v>171</v>
      </c>
      <c r="E72" s="79">
        <v>6</v>
      </c>
    </row>
    <row r="73" spans="1:5" x14ac:dyDescent="0.3">
      <c r="A73" s="90" t="s">
        <v>77</v>
      </c>
      <c r="B73" s="90" t="s">
        <v>163</v>
      </c>
      <c r="C73" s="90" t="s">
        <v>165</v>
      </c>
      <c r="D73" s="89" t="s">
        <v>255</v>
      </c>
      <c r="E73" s="79">
        <v>2</v>
      </c>
    </row>
    <row r="74" spans="1:5" x14ac:dyDescent="0.3">
      <c r="A74" s="90" t="s">
        <v>77</v>
      </c>
      <c r="B74" s="90" t="s">
        <v>163</v>
      </c>
      <c r="C74" s="90" t="s">
        <v>165</v>
      </c>
      <c r="D74" s="89" t="s">
        <v>275</v>
      </c>
      <c r="E74" s="79">
        <v>2</v>
      </c>
    </row>
    <row r="75" spans="1:5" x14ac:dyDescent="0.3">
      <c r="A75" s="90" t="s">
        <v>172</v>
      </c>
      <c r="B75" s="90" t="s">
        <v>173</v>
      </c>
      <c r="C75" s="90" t="s">
        <v>175</v>
      </c>
      <c r="D75" s="89" t="s">
        <v>178</v>
      </c>
      <c r="E75" s="79">
        <v>8</v>
      </c>
    </row>
    <row r="76" spans="1:5" x14ac:dyDescent="0.3">
      <c r="A76" s="90" t="s">
        <v>172</v>
      </c>
      <c r="B76" s="90" t="s">
        <v>173</v>
      </c>
      <c r="C76" s="90" t="s">
        <v>175</v>
      </c>
      <c r="D76" s="89" t="s">
        <v>179</v>
      </c>
      <c r="E76" s="79">
        <v>10</v>
      </c>
    </row>
    <row r="77" spans="1:5" x14ac:dyDescent="0.3">
      <c r="A77" s="90" t="s">
        <v>172</v>
      </c>
      <c r="B77" s="90" t="s">
        <v>173</v>
      </c>
      <c r="C77" s="90" t="s">
        <v>175</v>
      </c>
      <c r="D77" s="89" t="s">
        <v>180</v>
      </c>
      <c r="E77" s="79">
        <v>2</v>
      </c>
    </row>
    <row r="78" spans="1:5" x14ac:dyDescent="0.3">
      <c r="A78" s="90" t="s">
        <v>172</v>
      </c>
      <c r="B78" s="90" t="s">
        <v>173</v>
      </c>
      <c r="C78" s="90" t="s">
        <v>175</v>
      </c>
      <c r="D78" s="89" t="s">
        <v>280</v>
      </c>
      <c r="E78" s="79">
        <v>2</v>
      </c>
    </row>
    <row r="79" spans="1:5" x14ac:dyDescent="0.3">
      <c r="A79" s="90" t="s">
        <v>172</v>
      </c>
      <c r="B79" s="90" t="s">
        <v>173</v>
      </c>
      <c r="C79" s="90" t="s">
        <v>175</v>
      </c>
      <c r="D79" s="89" t="s">
        <v>255</v>
      </c>
      <c r="E79" s="79">
        <v>2</v>
      </c>
    </row>
    <row r="80" spans="1:5" x14ac:dyDescent="0.3">
      <c r="A80" s="90" t="s">
        <v>172</v>
      </c>
      <c r="B80" s="90" t="s">
        <v>181</v>
      </c>
      <c r="C80" s="90" t="s">
        <v>182</v>
      </c>
      <c r="D80" s="89" t="s">
        <v>185</v>
      </c>
      <c r="E80" s="79">
        <v>4</v>
      </c>
    </row>
    <row r="81" spans="1:5" x14ac:dyDescent="0.3">
      <c r="A81" s="90" t="s">
        <v>172</v>
      </c>
      <c r="B81" s="90" t="s">
        <v>181</v>
      </c>
      <c r="C81" s="90" t="s">
        <v>182</v>
      </c>
      <c r="D81" s="89" t="s">
        <v>186</v>
      </c>
      <c r="E81" s="79">
        <v>8</v>
      </c>
    </row>
    <row r="82" spans="1:5" x14ac:dyDescent="0.3">
      <c r="A82" s="90" t="s">
        <v>172</v>
      </c>
      <c r="B82" s="90" t="s">
        <v>181</v>
      </c>
      <c r="C82" s="90" t="s">
        <v>182</v>
      </c>
      <c r="D82" s="89" t="s">
        <v>187</v>
      </c>
      <c r="E82" s="79">
        <v>4</v>
      </c>
    </row>
    <row r="83" spans="1:5" x14ac:dyDescent="0.3">
      <c r="A83" s="90" t="s">
        <v>172</v>
      </c>
      <c r="B83" s="90" t="s">
        <v>181</v>
      </c>
      <c r="C83" s="90" t="s">
        <v>182</v>
      </c>
      <c r="D83" s="89" t="s">
        <v>281</v>
      </c>
      <c r="E83" s="79">
        <v>2</v>
      </c>
    </row>
    <row r="84" spans="1:5" x14ac:dyDescent="0.3">
      <c r="A84" s="90" t="s">
        <v>172</v>
      </c>
      <c r="B84" s="90" t="s">
        <v>181</v>
      </c>
      <c r="C84" s="90" t="s">
        <v>182</v>
      </c>
      <c r="D84" s="89" t="s">
        <v>255</v>
      </c>
      <c r="E84" s="79">
        <v>2</v>
      </c>
    </row>
    <row r="85" spans="1:5" x14ac:dyDescent="0.3">
      <c r="A85" s="90" t="s">
        <v>188</v>
      </c>
      <c r="B85" s="90" t="s">
        <v>189</v>
      </c>
      <c r="C85" s="90" t="s">
        <v>190</v>
      </c>
      <c r="D85" s="89" t="s">
        <v>155</v>
      </c>
      <c r="E85" s="88">
        <v>24</v>
      </c>
    </row>
    <row r="86" spans="1:5" x14ac:dyDescent="0.3">
      <c r="A86" s="90" t="s">
        <v>188</v>
      </c>
      <c r="B86" s="90" t="s">
        <v>189</v>
      </c>
      <c r="C86" s="90" t="s">
        <v>190</v>
      </c>
      <c r="D86" s="89" t="s">
        <v>158</v>
      </c>
      <c r="E86" s="88">
        <v>24</v>
      </c>
    </row>
    <row r="87" spans="1:5" x14ac:dyDescent="0.3">
      <c r="A87" s="90" t="s">
        <v>188</v>
      </c>
      <c r="B87" s="90" t="s">
        <v>189</v>
      </c>
      <c r="C87" s="90" t="s">
        <v>190</v>
      </c>
      <c r="D87" s="89" t="s">
        <v>159</v>
      </c>
      <c r="E87" s="63">
        <v>16</v>
      </c>
    </row>
    <row r="88" spans="1:5" x14ac:dyDescent="0.3">
      <c r="A88" s="90" t="s">
        <v>188</v>
      </c>
      <c r="B88" s="90" t="s">
        <v>189</v>
      </c>
      <c r="C88" s="90" t="s">
        <v>190</v>
      </c>
      <c r="D88" s="90" t="s">
        <v>160</v>
      </c>
      <c r="E88" s="79">
        <v>12</v>
      </c>
    </row>
    <row r="89" spans="1:5" x14ac:dyDescent="0.3">
      <c r="A89" s="90" t="s">
        <v>188</v>
      </c>
      <c r="B89" s="90" t="s">
        <v>189</v>
      </c>
      <c r="C89" s="90" t="s">
        <v>190</v>
      </c>
      <c r="D89" s="89" t="s">
        <v>255</v>
      </c>
      <c r="E89" s="79">
        <v>2</v>
      </c>
    </row>
    <row r="90" spans="1:5" x14ac:dyDescent="0.3">
      <c r="A90" s="90" t="s">
        <v>188</v>
      </c>
      <c r="B90" s="90" t="s">
        <v>189</v>
      </c>
      <c r="C90" s="90" t="s">
        <v>190</v>
      </c>
      <c r="D90" s="89" t="s">
        <v>274</v>
      </c>
      <c r="E90" s="79">
        <v>4</v>
      </c>
    </row>
    <row r="91" spans="1:5" x14ac:dyDescent="0.3">
      <c r="A91" s="89" t="s">
        <v>197</v>
      </c>
      <c r="B91" s="89" t="s">
        <v>198</v>
      </c>
      <c r="C91" s="89" t="s">
        <v>199</v>
      </c>
      <c r="D91" s="89" t="s">
        <v>202</v>
      </c>
      <c r="E91" s="88">
        <v>24</v>
      </c>
    </row>
    <row r="92" spans="1:5" x14ac:dyDescent="0.3">
      <c r="A92" s="89" t="s">
        <v>197</v>
      </c>
      <c r="B92" s="89" t="s">
        <v>198</v>
      </c>
      <c r="C92" s="89" t="s">
        <v>199</v>
      </c>
      <c r="D92" s="89" t="s">
        <v>203</v>
      </c>
      <c r="E92" s="88">
        <v>24</v>
      </c>
    </row>
    <row r="93" spans="1:5" x14ac:dyDescent="0.3">
      <c r="A93" s="89" t="s">
        <v>197</v>
      </c>
      <c r="B93" s="89" t="s">
        <v>198</v>
      </c>
      <c r="C93" s="89" t="s">
        <v>199</v>
      </c>
      <c r="D93" s="89" t="s">
        <v>282</v>
      </c>
      <c r="E93" s="63">
        <v>8</v>
      </c>
    </row>
    <row r="94" spans="1:5" x14ac:dyDescent="0.3">
      <c r="A94" s="89" t="s">
        <v>197</v>
      </c>
      <c r="B94" s="89" t="s">
        <v>198</v>
      </c>
      <c r="C94" s="89" t="s">
        <v>199</v>
      </c>
      <c r="D94" s="89" t="s">
        <v>283</v>
      </c>
      <c r="E94" s="63">
        <v>8</v>
      </c>
    </row>
    <row r="95" spans="1:5" x14ac:dyDescent="0.3">
      <c r="A95" s="89" t="s">
        <v>197</v>
      </c>
      <c r="B95" s="89" t="s">
        <v>198</v>
      </c>
      <c r="C95" s="89" t="s">
        <v>199</v>
      </c>
      <c r="D95" s="89" t="s">
        <v>284</v>
      </c>
      <c r="E95" s="79">
        <v>16</v>
      </c>
    </row>
    <row r="96" spans="1:5" x14ac:dyDescent="0.3">
      <c r="A96" s="89" t="s">
        <v>197</v>
      </c>
      <c r="B96" s="89" t="s">
        <v>198</v>
      </c>
      <c r="C96" s="89" t="s">
        <v>199</v>
      </c>
      <c r="D96" s="89" t="s">
        <v>271</v>
      </c>
      <c r="E96" s="79">
        <v>2</v>
      </c>
    </row>
    <row r="97" spans="1:5" x14ac:dyDescent="0.3">
      <c r="A97" s="89" t="s">
        <v>197</v>
      </c>
      <c r="B97" s="89" t="s">
        <v>198</v>
      </c>
      <c r="C97" s="89" t="s">
        <v>199</v>
      </c>
      <c r="D97" s="89" t="s">
        <v>285</v>
      </c>
      <c r="E97" s="88">
        <v>4</v>
      </c>
    </row>
    <row r="98" spans="1:5" x14ac:dyDescent="0.3">
      <c r="A98" s="89" t="s">
        <v>205</v>
      </c>
      <c r="B98" s="89" t="s">
        <v>206</v>
      </c>
      <c r="C98" s="89" t="s">
        <v>207</v>
      </c>
      <c r="D98" s="89" t="s">
        <v>80</v>
      </c>
      <c r="E98" s="88">
        <v>8</v>
      </c>
    </row>
    <row r="99" spans="1:5" x14ac:dyDescent="0.3">
      <c r="A99" s="89" t="s">
        <v>205</v>
      </c>
      <c r="B99" s="89" t="s">
        <v>206</v>
      </c>
      <c r="C99" s="89" t="s">
        <v>207</v>
      </c>
      <c r="D99" s="89" t="s">
        <v>211</v>
      </c>
      <c r="E99" s="88">
        <v>8</v>
      </c>
    </row>
    <row r="100" spans="1:5" x14ac:dyDescent="0.3">
      <c r="A100" s="89" t="s">
        <v>205</v>
      </c>
      <c r="B100" s="89" t="s">
        <v>206</v>
      </c>
      <c r="C100" s="89" t="s">
        <v>207</v>
      </c>
      <c r="D100" s="89" t="s">
        <v>212</v>
      </c>
      <c r="E100" s="88">
        <v>4</v>
      </c>
    </row>
    <row r="101" spans="1:5" x14ac:dyDescent="0.3">
      <c r="A101" s="89" t="s">
        <v>205</v>
      </c>
      <c r="B101" s="89" t="s">
        <v>206</v>
      </c>
      <c r="C101" s="89" t="s">
        <v>207</v>
      </c>
      <c r="D101" s="89" t="s">
        <v>286</v>
      </c>
      <c r="E101" s="88">
        <v>6</v>
      </c>
    </row>
    <row r="102" spans="1:5" x14ac:dyDescent="0.3">
      <c r="A102" s="89" t="s">
        <v>205</v>
      </c>
      <c r="B102" s="89" t="s">
        <v>206</v>
      </c>
      <c r="C102" s="89" t="s">
        <v>207</v>
      </c>
      <c r="D102" s="89" t="s">
        <v>255</v>
      </c>
      <c r="E102" s="88">
        <v>2</v>
      </c>
    </row>
    <row r="103" spans="1:5" x14ac:dyDescent="0.3">
      <c r="A103" s="89" t="s">
        <v>213</v>
      </c>
      <c r="B103" s="89" t="s">
        <v>214</v>
      </c>
      <c r="C103" s="89" t="s">
        <v>215</v>
      </c>
      <c r="D103" s="89" t="s">
        <v>231</v>
      </c>
      <c r="E103" s="88">
        <v>16</v>
      </c>
    </row>
    <row r="104" spans="1:5" x14ac:dyDescent="0.3">
      <c r="A104" s="89" t="s">
        <v>213</v>
      </c>
      <c r="B104" s="89" t="s">
        <v>214</v>
      </c>
      <c r="C104" s="89" t="s">
        <v>215</v>
      </c>
      <c r="D104" s="89" t="s">
        <v>230</v>
      </c>
      <c r="E104" s="88">
        <v>32</v>
      </c>
    </row>
    <row r="105" spans="1:5" x14ac:dyDescent="0.3">
      <c r="A105" s="89" t="s">
        <v>213</v>
      </c>
      <c r="B105" s="89" t="s">
        <v>214</v>
      </c>
      <c r="C105" s="89" t="s">
        <v>215</v>
      </c>
      <c r="D105" s="89" t="s">
        <v>232</v>
      </c>
      <c r="E105" s="63">
        <v>8</v>
      </c>
    </row>
    <row r="106" spans="1:5" x14ac:dyDescent="0.3">
      <c r="A106" s="89" t="s">
        <v>213</v>
      </c>
      <c r="B106" s="89" t="s">
        <v>214</v>
      </c>
      <c r="C106" s="89" t="s">
        <v>215</v>
      </c>
      <c r="D106" s="90" t="s">
        <v>233</v>
      </c>
      <c r="E106" s="79">
        <v>20</v>
      </c>
    </row>
    <row r="107" spans="1:5" x14ac:dyDescent="0.3">
      <c r="A107" s="89" t="s">
        <v>213</v>
      </c>
      <c r="B107" s="89" t="s">
        <v>214</v>
      </c>
      <c r="C107" s="89" t="s">
        <v>215</v>
      </c>
      <c r="D107" s="89" t="s">
        <v>255</v>
      </c>
      <c r="E107" s="79">
        <v>2</v>
      </c>
    </row>
    <row r="108" spans="1:5" x14ac:dyDescent="0.3">
      <c r="A108" s="89" t="s">
        <v>213</v>
      </c>
      <c r="B108" s="89" t="s">
        <v>214</v>
      </c>
      <c r="C108" s="89" t="s">
        <v>215</v>
      </c>
      <c r="D108" s="89" t="s">
        <v>287</v>
      </c>
      <c r="E108" s="88">
        <v>4</v>
      </c>
    </row>
    <row r="109" spans="1:5" x14ac:dyDescent="0.3">
      <c r="A109" s="90" t="s">
        <v>229</v>
      </c>
      <c r="B109" s="90" t="s">
        <v>219</v>
      </c>
      <c r="C109" s="90" t="s">
        <v>221</v>
      </c>
      <c r="D109" s="89" t="s">
        <v>234</v>
      </c>
      <c r="E109" s="88">
        <v>16</v>
      </c>
    </row>
    <row r="110" spans="1:5" x14ac:dyDescent="0.3">
      <c r="A110" s="90" t="s">
        <v>229</v>
      </c>
      <c r="B110" s="90" t="s">
        <v>219</v>
      </c>
      <c r="C110" s="90" t="s">
        <v>221</v>
      </c>
      <c r="D110" s="89" t="s">
        <v>158</v>
      </c>
      <c r="E110" s="88">
        <v>24</v>
      </c>
    </row>
    <row r="111" spans="1:5" x14ac:dyDescent="0.3">
      <c r="A111" s="90" t="s">
        <v>229</v>
      </c>
      <c r="B111" s="90" t="s">
        <v>219</v>
      </c>
      <c r="C111" s="90" t="s">
        <v>221</v>
      </c>
      <c r="D111" s="89" t="s">
        <v>235</v>
      </c>
      <c r="E111" s="63">
        <v>8</v>
      </c>
    </row>
    <row r="112" spans="1:5" x14ac:dyDescent="0.3">
      <c r="A112" s="90" t="s">
        <v>229</v>
      </c>
      <c r="B112" s="90" t="s">
        <v>219</v>
      </c>
      <c r="C112" s="90" t="s">
        <v>221</v>
      </c>
      <c r="D112" s="90" t="s">
        <v>236</v>
      </c>
      <c r="E112" s="79">
        <v>8</v>
      </c>
    </row>
    <row r="113" spans="1:5" x14ac:dyDescent="0.3">
      <c r="A113" s="90" t="s">
        <v>229</v>
      </c>
      <c r="B113" s="90" t="s">
        <v>219</v>
      </c>
      <c r="C113" s="90" t="s">
        <v>221</v>
      </c>
      <c r="D113" s="89" t="s">
        <v>255</v>
      </c>
      <c r="E113" s="79">
        <v>2</v>
      </c>
    </row>
    <row r="114" spans="1:5" x14ac:dyDescent="0.3">
      <c r="A114" s="89" t="s">
        <v>229</v>
      </c>
      <c r="B114" s="89" t="s">
        <v>219</v>
      </c>
      <c r="C114" s="89" t="s">
        <v>221</v>
      </c>
      <c r="D114" s="89" t="s">
        <v>274</v>
      </c>
      <c r="E114" s="79">
        <v>4</v>
      </c>
    </row>
    <row r="115" spans="1:5" x14ac:dyDescent="0.3">
      <c r="A115" s="89" t="s">
        <v>301</v>
      </c>
      <c r="B115" s="89" t="s">
        <v>302</v>
      </c>
      <c r="C115" s="89" t="s">
        <v>303</v>
      </c>
      <c r="D115" s="89" t="s">
        <v>306</v>
      </c>
      <c r="E115" s="88">
        <v>32</v>
      </c>
    </row>
    <row r="116" spans="1:5" x14ac:dyDescent="0.3">
      <c r="A116" s="89" t="s">
        <v>301</v>
      </c>
      <c r="B116" s="89" t="s">
        <v>302</v>
      </c>
      <c r="C116" s="89" t="s">
        <v>303</v>
      </c>
      <c r="D116" s="89" t="s">
        <v>307</v>
      </c>
      <c r="E116" s="88">
        <v>16</v>
      </c>
    </row>
    <row r="117" spans="1:5" x14ac:dyDescent="0.3">
      <c r="A117" s="89" t="s">
        <v>301</v>
      </c>
      <c r="B117" s="89" t="s">
        <v>302</v>
      </c>
      <c r="C117" s="89" t="s">
        <v>303</v>
      </c>
      <c r="D117" s="89" t="s">
        <v>308</v>
      </c>
      <c r="E117" s="88">
        <v>12</v>
      </c>
    </row>
    <row r="118" spans="1:5" x14ac:dyDescent="0.3">
      <c r="A118" s="89" t="s">
        <v>301</v>
      </c>
      <c r="B118" s="89" t="s">
        <v>302</v>
      </c>
      <c r="C118" s="89" t="s">
        <v>303</v>
      </c>
      <c r="D118" s="89" t="s">
        <v>309</v>
      </c>
      <c r="E118" s="88">
        <v>16</v>
      </c>
    </row>
    <row r="119" spans="1:5" x14ac:dyDescent="0.3">
      <c r="A119" s="89" t="s">
        <v>301</v>
      </c>
      <c r="B119" s="89" t="s">
        <v>302</v>
      </c>
      <c r="C119" s="89" t="s">
        <v>303</v>
      </c>
      <c r="D119" s="89" t="s">
        <v>310</v>
      </c>
      <c r="E119" s="88">
        <v>16</v>
      </c>
    </row>
    <row r="120" spans="1:5" x14ac:dyDescent="0.3">
      <c r="A120" s="89" t="s">
        <v>301</v>
      </c>
      <c r="B120" s="89" t="s">
        <v>302</v>
      </c>
      <c r="C120" s="89" t="s">
        <v>303</v>
      </c>
      <c r="D120" s="89" t="s">
        <v>311</v>
      </c>
      <c r="E120" s="88">
        <v>16</v>
      </c>
    </row>
    <row r="121" spans="1:5" x14ac:dyDescent="0.3">
      <c r="A121" s="89" t="s">
        <v>301</v>
      </c>
      <c r="B121" s="89" t="s">
        <v>302</v>
      </c>
      <c r="C121" s="89" t="s">
        <v>303</v>
      </c>
      <c r="D121" s="89" t="s">
        <v>312</v>
      </c>
      <c r="E121" s="88">
        <v>12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9"/>
  <sheetViews>
    <sheetView showGridLines="0" tabSelected="1" topLeftCell="A28" workbookViewId="0">
      <selection activeCell="B43" sqref="B43"/>
    </sheetView>
  </sheetViews>
  <sheetFormatPr defaultRowHeight="14.5" x14ac:dyDescent="0.35"/>
  <cols>
    <col min="2" max="2" width="22.1796875" style="1" customWidth="1"/>
    <col min="3" max="3" width="12.1796875" style="1" customWidth="1"/>
    <col min="4" max="4" width="11" customWidth="1"/>
    <col min="5" max="5" width="10.1796875" customWidth="1"/>
    <col min="6" max="6" width="34.453125" customWidth="1"/>
    <col min="7" max="7" width="3.7265625" customWidth="1"/>
    <col min="13" max="13" width="12.54296875" bestFit="1" customWidth="1"/>
  </cols>
  <sheetData>
    <row r="1" spans="1:13" x14ac:dyDescent="0.35">
      <c r="A1" s="32" t="s">
        <v>68</v>
      </c>
      <c r="B1" s="32"/>
      <c r="C1" s="33"/>
      <c r="D1" s="33"/>
    </row>
    <row r="2" spans="1:13" x14ac:dyDescent="0.35">
      <c r="A2" s="34"/>
      <c r="B2" s="34"/>
      <c r="C2" s="35"/>
      <c r="D2" s="35"/>
    </row>
    <row r="3" spans="1:13" x14ac:dyDescent="0.35">
      <c r="A3" s="18"/>
      <c r="B3" s="48" t="s">
        <v>70</v>
      </c>
      <c r="C3" s="49">
        <f>SUM(C5:C7)/SUM(B5:B7)</f>
        <v>2.2882428578092937</v>
      </c>
      <c r="D3" s="18"/>
      <c r="E3" s="18"/>
      <c r="F3" s="18"/>
    </row>
    <row r="4" spans="1:13" x14ac:dyDescent="0.35">
      <c r="A4" s="45"/>
      <c r="B4" s="48" t="s">
        <v>18</v>
      </c>
      <c r="C4" s="48" t="s">
        <v>19</v>
      </c>
      <c r="D4" s="41" t="s">
        <v>21</v>
      </c>
      <c r="E4" s="41" t="s">
        <v>20</v>
      </c>
      <c r="F4" s="41" t="s">
        <v>71</v>
      </c>
    </row>
    <row r="5" spans="1:13" ht="22" x14ac:dyDescent="0.35">
      <c r="A5" s="45" t="s">
        <v>15</v>
      </c>
      <c r="B5" s="50">
        <f>C18</f>
        <v>12975.284999999998</v>
      </c>
      <c r="C5" s="44">
        <v>29233.93</v>
      </c>
      <c r="D5" s="38">
        <f>C5/C7</f>
        <v>1.9914175515464621</v>
      </c>
      <c r="E5" s="51">
        <v>2.2530000000000001</v>
      </c>
      <c r="F5" s="39" t="s">
        <v>72</v>
      </c>
      <c r="G5" s="18"/>
      <c r="M5" s="85"/>
    </row>
    <row r="6" spans="1:13" ht="22" x14ac:dyDescent="0.35">
      <c r="A6" s="45" t="s">
        <v>16</v>
      </c>
      <c r="B6" s="50">
        <f>C28</f>
        <v>8570.2285714285717</v>
      </c>
      <c r="C6" s="44">
        <v>19690.86</v>
      </c>
      <c r="D6" s="38">
        <f>C6/C7</f>
        <v>1.341342891942485</v>
      </c>
      <c r="E6" s="51">
        <v>2.2976000000000001</v>
      </c>
      <c r="F6" s="39" t="s">
        <v>72</v>
      </c>
      <c r="G6" s="18"/>
    </row>
    <row r="7" spans="1:13" ht="22" x14ac:dyDescent="0.35">
      <c r="A7" s="45" t="s">
        <v>17</v>
      </c>
      <c r="B7" s="50">
        <f>C38</f>
        <v>6250.8148571428565</v>
      </c>
      <c r="C7" s="44">
        <v>14679.96</v>
      </c>
      <c r="D7" s="38">
        <f>C7/C7</f>
        <v>1</v>
      </c>
      <c r="E7" s="51">
        <v>2.3485</v>
      </c>
      <c r="F7" s="39" t="s">
        <v>72</v>
      </c>
      <c r="G7" s="18"/>
    </row>
    <row r="9" spans="1:13" x14ac:dyDescent="0.35">
      <c r="A9" s="40" t="s">
        <v>36</v>
      </c>
      <c r="B9" s="41" t="s">
        <v>35</v>
      </c>
      <c r="C9" s="42" t="s">
        <v>120</v>
      </c>
      <c r="D9" s="106" t="s">
        <v>58</v>
      </c>
      <c r="E9" s="107"/>
      <c r="F9" s="107"/>
    </row>
    <row r="10" spans="1:13" x14ac:dyDescent="0.35">
      <c r="A10" s="104" t="s">
        <v>15</v>
      </c>
      <c r="B10" s="43" t="s">
        <v>119</v>
      </c>
      <c r="C10" s="44">
        <v>12000</v>
      </c>
      <c r="D10" s="103" t="s">
        <v>121</v>
      </c>
      <c r="E10" s="103"/>
      <c r="F10" s="103"/>
    </row>
    <row r="11" spans="1:13" x14ac:dyDescent="0.35">
      <c r="A11" s="105"/>
      <c r="B11" s="43" t="s">
        <v>39</v>
      </c>
      <c r="C11" s="44">
        <v>10000</v>
      </c>
      <c r="D11" s="103" t="s">
        <v>121</v>
      </c>
      <c r="E11" s="103"/>
      <c r="F11" s="103"/>
    </row>
    <row r="12" spans="1:13" x14ac:dyDescent="0.35">
      <c r="A12" s="105"/>
      <c r="B12" s="43" t="s">
        <v>279</v>
      </c>
      <c r="C12" s="44">
        <v>13000</v>
      </c>
      <c r="D12" s="103" t="s">
        <v>121</v>
      </c>
      <c r="E12" s="103"/>
      <c r="F12" s="103"/>
    </row>
    <row r="13" spans="1:13" x14ac:dyDescent="0.35">
      <c r="A13" s="105"/>
      <c r="B13" s="43" t="s">
        <v>278</v>
      </c>
      <c r="C13" s="44">
        <v>15000</v>
      </c>
      <c r="D13" s="103" t="s">
        <v>121</v>
      </c>
      <c r="E13" s="103"/>
      <c r="F13" s="103"/>
    </row>
    <row r="14" spans="1:13" x14ac:dyDescent="0.35">
      <c r="A14" s="105"/>
      <c r="B14" s="43" t="s">
        <v>126</v>
      </c>
      <c r="C14" s="44">
        <v>8905.6</v>
      </c>
      <c r="D14" s="100" t="s">
        <v>129</v>
      </c>
      <c r="E14" s="101"/>
      <c r="F14" s="102"/>
    </row>
    <row r="15" spans="1:13" x14ac:dyDescent="0.35">
      <c r="A15" s="84"/>
      <c r="B15" s="43" t="s">
        <v>276</v>
      </c>
      <c r="C15" s="44">
        <v>18946.11</v>
      </c>
      <c r="D15" s="100" t="s">
        <v>277</v>
      </c>
      <c r="E15" s="101"/>
      <c r="F15" s="102"/>
    </row>
    <row r="16" spans="1:13" x14ac:dyDescent="0.35">
      <c r="A16" s="84"/>
      <c r="B16" s="43" t="s">
        <v>122</v>
      </c>
      <c r="C16" s="44">
        <v>11045.55</v>
      </c>
      <c r="D16" s="100" t="s">
        <v>123</v>
      </c>
      <c r="E16" s="101"/>
      <c r="F16" s="102"/>
    </row>
    <row r="17" spans="1:6" x14ac:dyDescent="0.35">
      <c r="A17" s="84"/>
      <c r="B17" s="43" t="s">
        <v>39</v>
      </c>
      <c r="C17" s="44">
        <v>12615.25</v>
      </c>
      <c r="D17" s="100" t="s">
        <v>123</v>
      </c>
      <c r="E17" s="101"/>
      <c r="F17" s="102"/>
    </row>
    <row r="18" spans="1:6" x14ac:dyDescent="0.35">
      <c r="A18" s="45"/>
      <c r="B18" s="86" t="s">
        <v>2</v>
      </c>
      <c r="C18" s="87">
        <f>AVERAGE(C10:C15)</f>
        <v>12975.284999999998</v>
      </c>
      <c r="D18" s="64"/>
    </row>
    <row r="19" spans="1:6" x14ac:dyDescent="0.35">
      <c r="A19" s="18"/>
      <c r="B19"/>
      <c r="C19"/>
    </row>
    <row r="20" spans="1:6" x14ac:dyDescent="0.35">
      <c r="A20" s="40" t="s">
        <v>36</v>
      </c>
      <c r="B20" s="41" t="s">
        <v>35</v>
      </c>
      <c r="C20" s="42" t="s">
        <v>120</v>
      </c>
      <c r="D20" s="106" t="s">
        <v>58</v>
      </c>
      <c r="E20" s="107"/>
      <c r="F20" s="107"/>
    </row>
    <row r="21" spans="1:6" x14ac:dyDescent="0.35">
      <c r="A21" s="104" t="s">
        <v>16</v>
      </c>
      <c r="B21" s="43" t="s">
        <v>37</v>
      </c>
      <c r="C21" s="44">
        <v>8000</v>
      </c>
      <c r="D21" s="103" t="s">
        <v>121</v>
      </c>
      <c r="E21" s="103"/>
      <c r="F21" s="103"/>
    </row>
    <row r="22" spans="1:6" x14ac:dyDescent="0.35">
      <c r="A22" s="105"/>
      <c r="B22" s="43" t="s">
        <v>40</v>
      </c>
      <c r="C22" s="44">
        <v>6000</v>
      </c>
      <c r="D22" s="103" t="s">
        <v>121</v>
      </c>
      <c r="E22" s="103"/>
      <c r="F22" s="103"/>
    </row>
    <row r="23" spans="1:6" x14ac:dyDescent="0.35">
      <c r="A23" s="105"/>
      <c r="B23" s="43" t="s">
        <v>42</v>
      </c>
      <c r="C23" s="44">
        <v>7000</v>
      </c>
      <c r="D23" s="103" t="s">
        <v>121</v>
      </c>
      <c r="E23" s="103"/>
      <c r="F23" s="103"/>
    </row>
    <row r="24" spans="1:6" x14ac:dyDescent="0.35">
      <c r="A24" s="105"/>
      <c r="B24" s="43" t="s">
        <v>124</v>
      </c>
      <c r="C24" s="44">
        <v>9939.93</v>
      </c>
      <c r="D24" s="100" t="s">
        <v>123</v>
      </c>
      <c r="E24" s="101"/>
      <c r="F24" s="102"/>
    </row>
    <row r="25" spans="1:6" x14ac:dyDescent="0.35">
      <c r="A25" s="105"/>
      <c r="B25" s="43" t="s">
        <v>40</v>
      </c>
      <c r="C25" s="44">
        <v>7728.13</v>
      </c>
      <c r="D25" s="100" t="s">
        <v>123</v>
      </c>
      <c r="E25" s="101"/>
      <c r="F25" s="102"/>
    </row>
    <row r="26" spans="1:6" x14ac:dyDescent="0.35">
      <c r="A26" s="105"/>
      <c r="B26" s="43" t="s">
        <v>127</v>
      </c>
      <c r="C26" s="44">
        <v>6749.61</v>
      </c>
      <c r="D26" s="100" t="s">
        <v>129</v>
      </c>
      <c r="E26" s="101"/>
      <c r="F26" s="102"/>
    </row>
    <row r="27" spans="1:6" x14ac:dyDescent="0.35">
      <c r="A27" s="84"/>
      <c r="B27" s="43" t="s">
        <v>276</v>
      </c>
      <c r="C27" s="44">
        <v>14573.93</v>
      </c>
      <c r="D27" s="100" t="s">
        <v>277</v>
      </c>
      <c r="E27" s="101"/>
      <c r="F27" s="102"/>
    </row>
    <row r="28" spans="1:6" x14ac:dyDescent="0.35">
      <c r="A28" s="45"/>
      <c r="B28" s="46" t="s">
        <v>2</v>
      </c>
      <c r="C28" s="47">
        <f>AVERAGE(C21:C27)</f>
        <v>8570.2285714285717</v>
      </c>
      <c r="D28" s="65"/>
    </row>
    <row r="29" spans="1:6" x14ac:dyDescent="0.35">
      <c r="A29" s="18"/>
      <c r="B29" s="18"/>
      <c r="C29" s="18"/>
      <c r="D29" s="18"/>
    </row>
    <row r="30" spans="1:6" x14ac:dyDescent="0.35">
      <c r="A30" s="40" t="s">
        <v>36</v>
      </c>
      <c r="B30" s="41" t="s">
        <v>35</v>
      </c>
      <c r="C30" s="42" t="s">
        <v>120</v>
      </c>
      <c r="D30" s="106" t="s">
        <v>58</v>
      </c>
      <c r="E30" s="107"/>
      <c r="F30" s="107"/>
    </row>
    <row r="31" spans="1:6" x14ac:dyDescent="0.35">
      <c r="A31" s="104" t="s">
        <v>17</v>
      </c>
      <c r="B31" s="43" t="s">
        <v>38</v>
      </c>
      <c r="C31" s="44">
        <v>5000</v>
      </c>
      <c r="D31" s="103" t="s">
        <v>121</v>
      </c>
      <c r="E31" s="103"/>
      <c r="F31" s="103"/>
    </row>
    <row r="32" spans="1:6" x14ac:dyDescent="0.35">
      <c r="A32" s="105"/>
      <c r="B32" s="43" t="s">
        <v>41</v>
      </c>
      <c r="C32" s="44">
        <v>4000</v>
      </c>
      <c r="D32" s="103" t="s">
        <v>121</v>
      </c>
      <c r="E32" s="103"/>
      <c r="F32" s="103"/>
    </row>
    <row r="33" spans="1:6" x14ac:dyDescent="0.35">
      <c r="A33" s="105"/>
      <c r="B33" s="43" t="s">
        <v>43</v>
      </c>
      <c r="C33" s="44">
        <v>4500</v>
      </c>
      <c r="D33" s="103" t="s">
        <v>121</v>
      </c>
      <c r="E33" s="103"/>
      <c r="F33" s="103"/>
    </row>
    <row r="34" spans="1:6" x14ac:dyDescent="0.35">
      <c r="A34" s="105"/>
      <c r="B34" s="43" t="s">
        <v>125</v>
      </c>
      <c r="C34" s="44">
        <v>8835.8439999999991</v>
      </c>
      <c r="D34" s="100" t="s">
        <v>123</v>
      </c>
      <c r="E34" s="101"/>
      <c r="F34" s="102"/>
    </row>
    <row r="35" spans="1:6" x14ac:dyDescent="0.35">
      <c r="A35" s="105"/>
      <c r="B35" s="43" t="s">
        <v>41</v>
      </c>
      <c r="C35" s="44">
        <v>6718.23</v>
      </c>
      <c r="D35" s="100" t="s">
        <v>123</v>
      </c>
      <c r="E35" s="101"/>
      <c r="F35" s="102"/>
    </row>
    <row r="36" spans="1:6" x14ac:dyDescent="0.35">
      <c r="A36" s="105"/>
      <c r="B36" s="43" t="s">
        <v>128</v>
      </c>
      <c r="C36" s="44">
        <v>3490.91</v>
      </c>
      <c r="D36" s="100" t="s">
        <v>129</v>
      </c>
      <c r="E36" s="101"/>
      <c r="F36" s="102"/>
    </row>
    <row r="37" spans="1:6" x14ac:dyDescent="0.35">
      <c r="A37" s="84"/>
      <c r="B37" s="43" t="s">
        <v>276</v>
      </c>
      <c r="C37" s="44">
        <v>11210.72</v>
      </c>
      <c r="D37" s="100" t="s">
        <v>277</v>
      </c>
      <c r="E37" s="101"/>
      <c r="F37" s="102"/>
    </row>
    <row r="38" spans="1:6" x14ac:dyDescent="0.35">
      <c r="A38" s="45"/>
      <c r="B38" s="46" t="s">
        <v>2</v>
      </c>
      <c r="C38" s="47">
        <f>AVERAGE(C31:C37)</f>
        <v>6250.8148571428565</v>
      </c>
      <c r="D38" s="65"/>
    </row>
    <row r="39" spans="1:6" x14ac:dyDescent="0.35">
      <c r="A39" s="98" t="s">
        <v>315</v>
      </c>
      <c r="B39" s="18"/>
      <c r="C39" s="18"/>
      <c r="D39" s="18"/>
    </row>
  </sheetData>
  <mergeCells count="28">
    <mergeCell ref="D27:F27"/>
    <mergeCell ref="D9:F9"/>
    <mergeCell ref="D10:F10"/>
    <mergeCell ref="D11:F11"/>
    <mergeCell ref="D12:F12"/>
    <mergeCell ref="D25:F25"/>
    <mergeCell ref="D34:F34"/>
    <mergeCell ref="D35:F35"/>
    <mergeCell ref="D36:F36"/>
    <mergeCell ref="D31:F31"/>
    <mergeCell ref="D32:F32"/>
    <mergeCell ref="D33:F33"/>
    <mergeCell ref="D37:F37"/>
    <mergeCell ref="D13:F13"/>
    <mergeCell ref="A10:A14"/>
    <mergeCell ref="D16:F16"/>
    <mergeCell ref="D17:F17"/>
    <mergeCell ref="D14:F14"/>
    <mergeCell ref="D24:F24"/>
    <mergeCell ref="D15:F15"/>
    <mergeCell ref="D26:F26"/>
    <mergeCell ref="A21:A26"/>
    <mergeCell ref="A31:A36"/>
    <mergeCell ref="D20:F20"/>
    <mergeCell ref="D21:F21"/>
    <mergeCell ref="D22:F22"/>
    <mergeCell ref="D23:F23"/>
    <mergeCell ref="D30:F3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E4A810B1A5F554FA231B1A6F797CA29" ma:contentTypeVersion="12" ma:contentTypeDescription="Crie um novo documento." ma:contentTypeScope="" ma:versionID="0bef70935ede99ff818443c5f9aa9de7">
  <xsd:schema xmlns:xsd="http://www.w3.org/2001/XMLSchema" xmlns:xs="http://www.w3.org/2001/XMLSchema" xmlns:p="http://schemas.microsoft.com/office/2006/metadata/properties" xmlns:ns3="990cd40c-e4d2-4b15-a7fc-d12d9749ab0d" xmlns:ns4="c2bc9dae-708f-4cfe-9df8-96918e7fa810" targetNamespace="http://schemas.microsoft.com/office/2006/metadata/properties" ma:root="true" ma:fieldsID="d6cd6e6c97361d07cd160479e33da226" ns3:_="" ns4:_="">
    <xsd:import namespace="990cd40c-e4d2-4b15-a7fc-d12d9749ab0d"/>
    <xsd:import namespace="c2bc9dae-708f-4cfe-9df8-96918e7fa81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cd40c-e4d2-4b15-a7fc-d12d9749ab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bc9dae-708f-4cfe-9df8-96918e7fa81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7AC109-B5B8-429B-8E14-491F811947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0cd40c-e4d2-4b15-a7fc-d12d9749ab0d"/>
    <ds:schemaRef ds:uri="c2bc9dae-708f-4cfe-9df8-96918e7fa8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77E7EF4-D934-4082-A354-744A8B6E85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1CD67-3234-4311-B3FE-77BBB4E4ECD7}">
  <ds:schemaRefs>
    <ds:schemaRef ds:uri="c2bc9dae-708f-4cfe-9df8-96918e7fa810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990cd40c-e4d2-4b15-a7fc-d12d9749ab0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Quadro Resumo</vt:lpstr>
      <vt:lpstr>Catálogo UES GRC_Est_ANAC</vt:lpstr>
      <vt:lpstr>Catálogo UES GRC_Est_Empresas</vt:lpstr>
      <vt:lpstr>Atividades</vt:lpstr>
      <vt:lpstr>Custo dos Profissionais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Magnus Fernandes Diniz</dc:creator>
  <cp:lastModifiedBy>Aderson de Lima Calazans</cp:lastModifiedBy>
  <dcterms:created xsi:type="dcterms:W3CDTF">2016-10-26T12:38:45Z</dcterms:created>
  <dcterms:modified xsi:type="dcterms:W3CDTF">2020-12-07T10:09:07Z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0x0101008E4A810B1A5F554FA231B1A6F797CA29</vt:lpwstr>
  </property>
</Properties>
</file>