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charts/chart6.xml" ContentType="application/vnd.openxmlformats-officedocument.drawingml.char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8.xml" ContentType="application/vnd.openxmlformats-officedocument.drawing+xml"/>
  <Override PartName="/xl/charts/chart4.xml" ContentType="application/vnd.openxmlformats-officedocument.drawingml.chart+xml"/>
  <Override PartName="/xl/drawings/drawing19.xml" ContentType="application/vnd.openxmlformats-officedocument.drawing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worksheets/sheet20.xml" ContentType="application/vnd.openxmlformats-officedocument.spreadsheetml.worksheet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17.xml" ContentType="application/vnd.openxmlformats-officedocument.drawing+xml"/>
  <Default Extension="rels" ContentType="application/vnd.openxmlformats-package.relationships+xml"/>
  <Default Extension="xml" ContentType="application/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15.xml" ContentType="application/vnd.openxmlformats-officedocument.drawing+xml"/>
  <Override PartName="/xl/worksheets/sheet3.xml" ContentType="application/vnd.openxmlformats-officedocument.spreadsheetml.worksheet+xml"/>
  <Override PartName="/xl/drawings/drawing13.xml" ContentType="application/vnd.openxmlformats-officedocument.drawing+xml"/>
  <Override PartName="/xl/drawings/drawing22.xml" ContentType="application/vnd.openxmlformats-officedocument.drawingml.chartshapes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drawings/drawing9.xml" ContentType="application/vnd.openxmlformats-officedocument.drawingml.chartshapes+xml"/>
  <Default Extension="png" ContentType="image/png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21.xml" ContentType="application/vnd.openxmlformats-officedocument.spreadsheetml.worksheet+xml"/>
  <Default Extension="jpeg" ContentType="image/jpeg"/>
  <Override PartName="/xl/drawings/drawing5.xml" ContentType="application/vnd.openxmlformats-officedocument.drawing+xml"/>
  <Default Extension="emf" ContentType="image/x-emf"/>
  <Override PartName="/xl/charts/chart3.xml" ContentType="application/vnd.openxmlformats-officedocument.drawingml.chart+xml"/>
  <Override PartName="/xl/drawings/drawing18.xml" ContentType="application/vnd.openxmlformats-officedocument.drawing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16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drawings/drawing14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backupFile="1"/>
  <bookViews>
    <workbookView xWindow="360" yWindow="90" windowWidth="11340" windowHeight="6795" tabRatio="932"/>
  </bookViews>
  <sheets>
    <sheet name="Capa" sheetId="56" r:id="rId1"/>
    <sheet name="CCapa" sheetId="55" r:id="rId2"/>
    <sheet name="Indice" sheetId="57" r:id="rId3"/>
    <sheet name="Mundial" sheetId="7" r:id="rId4"/>
    <sheet name="Brasil" sheetId="11" r:id="rId5"/>
    <sheet name="Indicadores" sheetId="34" r:id="rId6"/>
    <sheet name="Estoque" sheetId="32" r:id="rId7"/>
    <sheet name="Série Safras" sheetId="58" r:id="rId8"/>
    <sheet name="Preço" sheetId="12" r:id="rId9"/>
    <sheet name="Cotações" sheetId="33" r:id="rId10"/>
    <sheet name="Agro Ano" sheetId="39" r:id="rId11"/>
    <sheet name="Agro Mês" sheetId="35" r:id="rId12"/>
    <sheet name="Importações" sheetId="44" r:id="rId13"/>
    <sheet name="Exportações" sheetId="40" r:id="rId14"/>
    <sheet name="Exp. Verde" sheetId="69" r:id="rId15"/>
    <sheet name="Exp. Solúvel" sheetId="67" r:id="rId16"/>
    <sheet name="Exp. Torrado" sheetId="65" r:id="rId17"/>
    <sheet name="Exp. Extrato" sheetId="68" r:id="rId18"/>
    <sheet name="Total" sheetId="77" r:id="rId19"/>
    <sheet name="Destinos" sheetId="63" r:id="rId20"/>
    <sheet name="Custos" sheetId="78" r:id="rId21"/>
    <sheet name="PM" sheetId="38" r:id="rId22"/>
    <sheet name="Safra 16" sheetId="73" r:id="rId23"/>
    <sheet name="Safra 15" sheetId="79" r:id="rId24"/>
    <sheet name="Safra 14" sheetId="76" r:id="rId25"/>
    <sheet name="Ranking" sheetId="28" r:id="rId26"/>
    <sheet name="Plan1" sheetId="74" r:id="rId27"/>
    <sheet name="Plan2" sheetId="80" r:id="rId28"/>
  </sheets>
  <definedNames>
    <definedName name="_xlnm.Print_Area" localSheetId="3">Mundial!$A$1:$U$27</definedName>
  </definedNames>
  <calcPr calcId="125725"/>
</workbook>
</file>

<file path=xl/calcChain.xml><?xml version="1.0" encoding="utf-8"?>
<calcChain xmlns="http://schemas.openxmlformats.org/spreadsheetml/2006/main">
  <c r="I16" i="39"/>
  <c r="H16"/>
  <c r="F16"/>
  <c r="K19" i="77"/>
  <c r="I8" i="35" l="1"/>
  <c r="I9"/>
  <c r="I10"/>
  <c r="I11"/>
  <c r="I12"/>
  <c r="I13"/>
  <c r="I14"/>
  <c r="I15"/>
  <c r="I17"/>
  <c r="I18"/>
  <c r="I19"/>
  <c r="I20"/>
  <c r="I21"/>
  <c r="I22"/>
  <c r="I23"/>
  <c r="I24"/>
  <c r="I25"/>
  <c r="I26"/>
  <c r="I27"/>
  <c r="I28"/>
  <c r="I29"/>
  <c r="I30"/>
  <c r="I7"/>
  <c r="F9"/>
  <c r="F10"/>
  <c r="F11"/>
  <c r="F12"/>
  <c r="F13"/>
  <c r="F14"/>
  <c r="F15"/>
  <c r="F17"/>
  <c r="F18"/>
  <c r="F19"/>
  <c r="F20"/>
  <c r="F21"/>
  <c r="F22"/>
  <c r="F23"/>
  <c r="F24"/>
  <c r="F25"/>
  <c r="F26"/>
  <c r="F27"/>
  <c r="F28"/>
  <c r="F29"/>
  <c r="F30"/>
  <c r="F8"/>
  <c r="F7"/>
  <c r="E29" l="1"/>
  <c r="G11"/>
  <c r="H8"/>
  <c r="H9"/>
  <c r="H10"/>
  <c r="H11"/>
  <c r="H12"/>
  <c r="H13"/>
  <c r="H14"/>
  <c r="H15"/>
  <c r="H17"/>
  <c r="H18"/>
  <c r="H19"/>
  <c r="H20"/>
  <c r="H21"/>
  <c r="H22"/>
  <c r="H23"/>
  <c r="H24"/>
  <c r="H25"/>
  <c r="H26"/>
  <c r="H27"/>
  <c r="H28"/>
  <c r="H30"/>
  <c r="H7"/>
  <c r="E15"/>
  <c r="E14"/>
  <c r="E13"/>
  <c r="E12"/>
  <c r="E11" s="1"/>
  <c r="J12" i="63"/>
  <c r="D12"/>
  <c r="G12"/>
  <c r="F113"/>
  <c r="E113"/>
  <c r="C113"/>
  <c r="B113"/>
  <c r="G34"/>
  <c r="I38"/>
  <c r="H38"/>
  <c r="G38"/>
  <c r="D38"/>
  <c r="D34"/>
  <c r="H17" i="40"/>
  <c r="G17"/>
  <c r="H16"/>
  <c r="G16"/>
  <c r="H15"/>
  <c r="G15"/>
  <c r="H14"/>
  <c r="G14"/>
  <c r="G14" i="44"/>
  <c r="F14"/>
  <c r="E14"/>
  <c r="D14"/>
  <c r="L7" i="69"/>
  <c r="K7"/>
  <c r="J7"/>
  <c r="I7"/>
  <c r="L7" i="68"/>
  <c r="K7"/>
  <c r="J7"/>
  <c r="I7"/>
  <c r="L7" i="65"/>
  <c r="K7"/>
  <c r="J7"/>
  <c r="I7"/>
  <c r="L7" i="67"/>
  <c r="K7"/>
  <c r="J7"/>
  <c r="I7"/>
  <c r="J38" i="63" l="1"/>
  <c r="I12" i="44"/>
  <c r="H12"/>
  <c r="I11"/>
  <c r="H11"/>
  <c r="I24" l="1"/>
  <c r="H24"/>
  <c r="E24"/>
  <c r="D24"/>
  <c r="J7" i="78"/>
  <c r="J32"/>
  <c r="B70" i="28"/>
  <c r="B71" s="1"/>
  <c r="C71" s="1"/>
  <c r="C69"/>
  <c r="C68"/>
  <c r="C67"/>
  <c r="C66"/>
  <c r="C65"/>
  <c r="C64"/>
  <c r="C63"/>
  <c r="C62"/>
  <c r="C61"/>
  <c r="C60"/>
  <c r="C59"/>
  <c r="C58"/>
  <c r="C57"/>
  <c r="C56"/>
  <c r="C55"/>
  <c r="B47"/>
  <c r="B48" s="1"/>
  <c r="C48" s="1"/>
  <c r="C46"/>
  <c r="C45"/>
  <c r="C44"/>
  <c r="C43"/>
  <c r="C42"/>
  <c r="C41"/>
  <c r="C40"/>
  <c r="C39"/>
  <c r="C38"/>
  <c r="C37"/>
  <c r="C36"/>
  <c r="C35"/>
  <c r="C34"/>
  <c r="C33"/>
  <c r="C32"/>
  <c r="B24"/>
  <c r="B25" s="1"/>
  <c r="C25" s="1"/>
  <c r="C23"/>
  <c r="C22"/>
  <c r="C21"/>
  <c r="C20"/>
  <c r="C19"/>
  <c r="C18"/>
  <c r="C17"/>
  <c r="C16"/>
  <c r="C15"/>
  <c r="C14"/>
  <c r="C13"/>
  <c r="C12"/>
  <c r="C11"/>
  <c r="C10"/>
  <c r="C9"/>
  <c r="G29" i="35"/>
  <c r="K21" i="33"/>
  <c r="H29" i="35" l="1"/>
  <c r="C72" i="28"/>
  <c r="C49"/>
  <c r="C26"/>
  <c r="R21" i="33"/>
  <c r="O21"/>
  <c r="L21"/>
  <c r="I21"/>
  <c r="F21"/>
  <c r="E21"/>
  <c r="D21"/>
  <c r="Q8" i="74"/>
  <c r="E34" i="73"/>
  <c r="E33"/>
  <c r="E30"/>
  <c r="E24"/>
  <c r="E17"/>
  <c r="E13"/>
  <c r="E9"/>
  <c r="I25" i="7"/>
  <c r="I10"/>
  <c r="I11"/>
  <c r="I12"/>
  <c r="I13"/>
  <c r="I14"/>
  <c r="I15"/>
  <c r="I16"/>
  <c r="I17"/>
  <c r="I18"/>
  <c r="I19"/>
  <c r="I20"/>
  <c r="I21"/>
  <c r="I22"/>
  <c r="I23"/>
  <c r="I9"/>
  <c r="F24"/>
  <c r="E22"/>
  <c r="G19" i="68"/>
  <c r="F19"/>
  <c r="D19"/>
  <c r="E17" i="40" s="1"/>
  <c r="C19" i="68"/>
  <c r="D17" i="40" s="1"/>
  <c r="G19" i="65"/>
  <c r="F19"/>
  <c r="D19"/>
  <c r="E16" i="40" s="1"/>
  <c r="C19" i="65"/>
  <c r="D16" i="40" s="1"/>
  <c r="G19" i="67"/>
  <c r="F19"/>
  <c r="D19"/>
  <c r="E15" i="40" s="1"/>
  <c r="C19" i="67"/>
  <c r="D15" i="40" s="1"/>
  <c r="D19" i="69"/>
  <c r="E14" i="40" s="1"/>
  <c r="F19" i="69"/>
  <c r="G19"/>
  <c r="C19"/>
  <c r="D14" i="40" s="1"/>
  <c r="P8" i="74"/>
  <c r="O30" i="76"/>
  <c r="O24"/>
  <c r="O17"/>
  <c r="O13"/>
  <c r="O9"/>
  <c r="F30"/>
  <c r="F24"/>
  <c r="F17"/>
  <c r="F13"/>
  <c r="F9"/>
  <c r="G55" i="63"/>
  <c r="I107"/>
  <c r="I108"/>
  <c r="I109"/>
  <c r="I110"/>
  <c r="I111"/>
  <c r="I112"/>
  <c r="H107"/>
  <c r="H108"/>
  <c r="H109"/>
  <c r="H110"/>
  <c r="H111"/>
  <c r="H112"/>
  <c r="H104"/>
  <c r="H105"/>
  <c r="G107"/>
  <c r="G108"/>
  <c r="G109"/>
  <c r="G110"/>
  <c r="G111"/>
  <c r="G112"/>
  <c r="G104"/>
  <c r="G105"/>
  <c r="I85"/>
  <c r="I86"/>
  <c r="I87"/>
  <c r="I88"/>
  <c r="H85"/>
  <c r="H86"/>
  <c r="H87"/>
  <c r="H88"/>
  <c r="G85"/>
  <c r="G86"/>
  <c r="G87"/>
  <c r="G88"/>
  <c r="I56"/>
  <c r="I58"/>
  <c r="I64"/>
  <c r="I62"/>
  <c r="I63"/>
  <c r="I61"/>
  <c r="I60"/>
  <c r="I59"/>
  <c r="I66"/>
  <c r="I65"/>
  <c r="I67"/>
  <c r="I68"/>
  <c r="I69"/>
  <c r="H56"/>
  <c r="H58"/>
  <c r="H64"/>
  <c r="H62"/>
  <c r="H63"/>
  <c r="H61"/>
  <c r="H60"/>
  <c r="H59"/>
  <c r="H66"/>
  <c r="H65"/>
  <c r="H67"/>
  <c r="H68"/>
  <c r="H69"/>
  <c r="I34"/>
  <c r="I41"/>
  <c r="I40"/>
  <c r="I42"/>
  <c r="H34"/>
  <c r="H41"/>
  <c r="H40"/>
  <c r="H42"/>
  <c r="H30"/>
  <c r="H32"/>
  <c r="H31"/>
  <c r="H37"/>
  <c r="H36"/>
  <c r="H35"/>
  <c r="H33"/>
  <c r="I29"/>
  <c r="I30"/>
  <c r="I32"/>
  <c r="I31"/>
  <c r="I37"/>
  <c r="I36"/>
  <c r="I35"/>
  <c r="I33"/>
  <c r="I39"/>
  <c r="D69"/>
  <c r="G67"/>
  <c r="D67"/>
  <c r="G60"/>
  <c r="D60"/>
  <c r="G41"/>
  <c r="D41"/>
  <c r="J34"/>
  <c r="G35"/>
  <c r="G37"/>
  <c r="D37"/>
  <c r="E11"/>
  <c r="H35" i="76"/>
  <c r="L32" i="73"/>
  <c r="K32"/>
  <c r="L30"/>
  <c r="K30"/>
  <c r="L26"/>
  <c r="K26"/>
  <c r="L24"/>
  <c r="K24"/>
  <c r="L23"/>
  <c r="L21"/>
  <c r="K21"/>
  <c r="L17"/>
  <c r="K17"/>
  <c r="L15"/>
  <c r="K15"/>
  <c r="L13"/>
  <c r="K13"/>
  <c r="L12"/>
  <c r="K12"/>
  <c r="L9"/>
  <c r="K9"/>
  <c r="L8"/>
  <c r="K8"/>
  <c r="L7"/>
  <c r="K7"/>
  <c r="L32" i="76"/>
  <c r="M32" s="1"/>
  <c r="K32"/>
  <c r="L30"/>
  <c r="K30"/>
  <c r="L26"/>
  <c r="M26" s="1"/>
  <c r="K26"/>
  <c r="L24"/>
  <c r="K24"/>
  <c r="L23"/>
  <c r="M23" s="1"/>
  <c r="K23"/>
  <c r="L21"/>
  <c r="K21"/>
  <c r="L17"/>
  <c r="M17" s="1"/>
  <c r="K17"/>
  <c r="L15"/>
  <c r="K15"/>
  <c r="L13"/>
  <c r="M13" s="1"/>
  <c r="K13"/>
  <c r="L12"/>
  <c r="K12"/>
  <c r="L9"/>
  <c r="M9" s="1"/>
  <c r="K9"/>
  <c r="L8"/>
  <c r="K8"/>
  <c r="L7"/>
  <c r="M7" s="1"/>
  <c r="K7"/>
  <c r="I31" i="73"/>
  <c r="H31"/>
  <c r="H30"/>
  <c r="I29"/>
  <c r="H29"/>
  <c r="I28"/>
  <c r="H28"/>
  <c r="I27"/>
  <c r="H27"/>
  <c r="I25"/>
  <c r="H25"/>
  <c r="I24"/>
  <c r="H24"/>
  <c r="I22"/>
  <c r="I20"/>
  <c r="H20"/>
  <c r="I19"/>
  <c r="H19"/>
  <c r="I18"/>
  <c r="H18"/>
  <c r="I17"/>
  <c r="H17"/>
  <c r="I16"/>
  <c r="H16"/>
  <c r="I14"/>
  <c r="H14"/>
  <c r="I13"/>
  <c r="H13"/>
  <c r="I11"/>
  <c r="H11"/>
  <c r="I10"/>
  <c r="H10"/>
  <c r="I9"/>
  <c r="H9"/>
  <c r="I31" i="76"/>
  <c r="J31" s="1"/>
  <c r="H31"/>
  <c r="I30"/>
  <c r="J30" s="1"/>
  <c r="H30"/>
  <c r="I29"/>
  <c r="J29" s="1"/>
  <c r="H29"/>
  <c r="I28"/>
  <c r="H28"/>
  <c r="J28" s="1"/>
  <c r="I27"/>
  <c r="J27" s="1"/>
  <c r="H27"/>
  <c r="I25"/>
  <c r="H25"/>
  <c r="J25" s="1"/>
  <c r="I24"/>
  <c r="J24" s="1"/>
  <c r="H24"/>
  <c r="I22"/>
  <c r="H22"/>
  <c r="J22" s="1"/>
  <c r="I20"/>
  <c r="J20" s="1"/>
  <c r="H20"/>
  <c r="I19"/>
  <c r="H19"/>
  <c r="J19" s="1"/>
  <c r="I18"/>
  <c r="J18" s="1"/>
  <c r="H18"/>
  <c r="I17"/>
  <c r="H17"/>
  <c r="I16"/>
  <c r="J16" s="1"/>
  <c r="H16"/>
  <c r="I14"/>
  <c r="H14"/>
  <c r="I13"/>
  <c r="J13" s="1"/>
  <c r="H13"/>
  <c r="I11"/>
  <c r="H11"/>
  <c r="I10"/>
  <c r="J10" s="1"/>
  <c r="H10"/>
  <c r="I9"/>
  <c r="H9"/>
  <c r="H30" i="79"/>
  <c r="L30"/>
  <c r="K30"/>
  <c r="L24"/>
  <c r="K24"/>
  <c r="I24"/>
  <c r="H24"/>
  <c r="L17"/>
  <c r="K17"/>
  <c r="I17"/>
  <c r="H17"/>
  <c r="L13"/>
  <c r="K13"/>
  <c r="I13"/>
  <c r="H13"/>
  <c r="L9"/>
  <c r="K9"/>
  <c r="I9"/>
  <c r="H9"/>
  <c r="L32"/>
  <c r="L26"/>
  <c r="L23"/>
  <c r="L21"/>
  <c r="L15"/>
  <c r="L12"/>
  <c r="L8"/>
  <c r="L7"/>
  <c r="F33"/>
  <c r="E33"/>
  <c r="K32"/>
  <c r="K26"/>
  <c r="K23"/>
  <c r="K21"/>
  <c r="K15"/>
  <c r="K12"/>
  <c r="K7"/>
  <c r="K8"/>
  <c r="I31"/>
  <c r="I29"/>
  <c r="I28"/>
  <c r="I27"/>
  <c r="I25"/>
  <c r="I22"/>
  <c r="I20"/>
  <c r="I19"/>
  <c r="I18"/>
  <c r="I16"/>
  <c r="I14"/>
  <c r="I11"/>
  <c r="I10"/>
  <c r="H31"/>
  <c r="H29"/>
  <c r="H28"/>
  <c r="H27"/>
  <c r="H25"/>
  <c r="H22"/>
  <c r="H20"/>
  <c r="H19"/>
  <c r="H18"/>
  <c r="H16"/>
  <c r="H14"/>
  <c r="H11"/>
  <c r="H10"/>
  <c r="N34" i="76"/>
  <c r="H33"/>
  <c r="N30"/>
  <c r="N24"/>
  <c r="N17"/>
  <c r="N13"/>
  <c r="O13" i="73"/>
  <c r="N13"/>
  <c r="O33" i="76"/>
  <c r="F34"/>
  <c r="L34" s="1"/>
  <c r="E34"/>
  <c r="F33"/>
  <c r="I33" s="1"/>
  <c r="E33"/>
  <c r="F34" i="73"/>
  <c r="F33"/>
  <c r="O34"/>
  <c r="O17"/>
  <c r="O33"/>
  <c r="N34"/>
  <c r="N33"/>
  <c r="O34" i="76"/>
  <c r="O34" i="79"/>
  <c r="N34"/>
  <c r="O33"/>
  <c r="N33"/>
  <c r="H33" s="1"/>
  <c r="O13"/>
  <c r="N13"/>
  <c r="P32" i="73"/>
  <c r="P21"/>
  <c r="G15"/>
  <c r="J37" i="63" l="1"/>
  <c r="J60"/>
  <c r="J67"/>
  <c r="J41"/>
  <c r="H19" i="69"/>
  <c r="E35" i="73"/>
  <c r="J10"/>
  <c r="J13"/>
  <c r="J16"/>
  <c r="J18"/>
  <c r="J20"/>
  <c r="J31"/>
  <c r="M7"/>
  <c r="M9"/>
  <c r="M13"/>
  <c r="M17"/>
  <c r="M21"/>
  <c r="J24"/>
  <c r="J27"/>
  <c r="J29"/>
  <c r="M26"/>
  <c r="M32"/>
  <c r="J28"/>
  <c r="M30"/>
  <c r="M24"/>
  <c r="F35"/>
  <c r="G35" s="1"/>
  <c r="J25"/>
  <c r="J19"/>
  <c r="J17"/>
  <c r="M15"/>
  <c r="J14"/>
  <c r="M12"/>
  <c r="J11"/>
  <c r="J9"/>
  <c r="M8"/>
  <c r="E19" i="69"/>
  <c r="J9" i="76"/>
  <c r="J11"/>
  <c r="J14"/>
  <c r="J17"/>
  <c r="M8"/>
  <c r="M12"/>
  <c r="M15"/>
  <c r="M21"/>
  <c r="M24"/>
  <c r="M30"/>
  <c r="I33" i="79"/>
  <c r="K34" i="76"/>
  <c r="K34" i="73"/>
  <c r="G12"/>
  <c r="G7"/>
  <c r="G8"/>
  <c r="P22" i="76"/>
  <c r="L34" i="73"/>
  <c r="I33"/>
  <c r="H33"/>
  <c r="G32"/>
  <c r="P31"/>
  <c r="G31"/>
  <c r="O30"/>
  <c r="N30"/>
  <c r="F30"/>
  <c r="P29"/>
  <c r="G29"/>
  <c r="P28"/>
  <c r="G28"/>
  <c r="P27"/>
  <c r="G27"/>
  <c r="P26"/>
  <c r="G26"/>
  <c r="P25"/>
  <c r="G25"/>
  <c r="O24"/>
  <c r="N24"/>
  <c r="F24"/>
  <c r="G21"/>
  <c r="P20"/>
  <c r="G20"/>
  <c r="P19"/>
  <c r="G19"/>
  <c r="P18"/>
  <c r="G18"/>
  <c r="N17"/>
  <c r="F17"/>
  <c r="P16"/>
  <c r="G16"/>
  <c r="P15"/>
  <c r="P14"/>
  <c r="G14"/>
  <c r="F13"/>
  <c r="P12"/>
  <c r="P11"/>
  <c r="G11"/>
  <c r="P10"/>
  <c r="G10"/>
  <c r="O9"/>
  <c r="N9"/>
  <c r="F9"/>
  <c r="P8"/>
  <c r="P7"/>
  <c r="O30" i="79"/>
  <c r="N30"/>
  <c r="O17"/>
  <c r="N17"/>
  <c r="O35" i="76"/>
  <c r="G32"/>
  <c r="G31"/>
  <c r="E30"/>
  <c r="G29"/>
  <c r="G28"/>
  <c r="G27"/>
  <c r="G26"/>
  <c r="G25"/>
  <c r="E24"/>
  <c r="P23"/>
  <c r="G23"/>
  <c r="G22"/>
  <c r="G21"/>
  <c r="G20"/>
  <c r="G19"/>
  <c r="G18"/>
  <c r="E17"/>
  <c r="G17" s="1"/>
  <c r="G16"/>
  <c r="G15"/>
  <c r="G14"/>
  <c r="E13"/>
  <c r="G12"/>
  <c r="G11"/>
  <c r="P10"/>
  <c r="G10"/>
  <c r="E9"/>
  <c r="G9" s="1"/>
  <c r="G8"/>
  <c r="G7"/>
  <c r="O35" i="79"/>
  <c r="N35"/>
  <c r="P31"/>
  <c r="P32"/>
  <c r="P26"/>
  <c r="P23"/>
  <c r="P22"/>
  <c r="O24"/>
  <c r="N24"/>
  <c r="M32"/>
  <c r="J31"/>
  <c r="M26"/>
  <c r="M23"/>
  <c r="J22"/>
  <c r="P14"/>
  <c r="O9"/>
  <c r="N9"/>
  <c r="P15"/>
  <c r="M15"/>
  <c r="F34"/>
  <c r="L34" s="1"/>
  <c r="E34"/>
  <c r="K34" s="1"/>
  <c r="F35"/>
  <c r="E35"/>
  <c r="F13"/>
  <c r="E13"/>
  <c r="G32"/>
  <c r="F30"/>
  <c r="E30"/>
  <c r="G31"/>
  <c r="F24"/>
  <c r="E24"/>
  <c r="G26"/>
  <c r="F17"/>
  <c r="E17"/>
  <c r="G23"/>
  <c r="G22"/>
  <c r="G15"/>
  <c r="F9"/>
  <c r="E9"/>
  <c r="P34"/>
  <c r="P30"/>
  <c r="P29"/>
  <c r="J29"/>
  <c r="G29"/>
  <c r="P28"/>
  <c r="J28"/>
  <c r="G28"/>
  <c r="P27"/>
  <c r="J27"/>
  <c r="G27"/>
  <c r="P25"/>
  <c r="J25"/>
  <c r="G25"/>
  <c r="P21"/>
  <c r="M21"/>
  <c r="G21"/>
  <c r="P20"/>
  <c r="J20"/>
  <c r="G20"/>
  <c r="P19"/>
  <c r="J19"/>
  <c r="G19"/>
  <c r="P18"/>
  <c r="J18"/>
  <c r="G18"/>
  <c r="M17"/>
  <c r="P16"/>
  <c r="J16"/>
  <c r="G16"/>
  <c r="J14"/>
  <c r="G14"/>
  <c r="P12"/>
  <c r="M12"/>
  <c r="G12"/>
  <c r="P11"/>
  <c r="J11"/>
  <c r="G11"/>
  <c r="P10"/>
  <c r="J10"/>
  <c r="G10"/>
  <c r="J9"/>
  <c r="P8"/>
  <c r="M8"/>
  <c r="G8"/>
  <c r="P7"/>
  <c r="M7"/>
  <c r="G7"/>
  <c r="E32" i="78"/>
  <c r="D32"/>
  <c r="C32"/>
  <c r="B32"/>
  <c r="F7"/>
  <c r="E7"/>
  <c r="D7"/>
  <c r="C7"/>
  <c r="B7"/>
  <c r="H35" i="79" l="1"/>
  <c r="L35" s="1"/>
  <c r="I30" i="73"/>
  <c r="J30" s="1"/>
  <c r="P17" i="79"/>
  <c r="J35"/>
  <c r="I30"/>
  <c r="J30" s="1"/>
  <c r="J33"/>
  <c r="G17"/>
  <c r="M30"/>
  <c r="G33"/>
  <c r="J13"/>
  <c r="M13"/>
  <c r="J24"/>
  <c r="G30"/>
  <c r="G34"/>
  <c r="G24"/>
  <c r="G13"/>
  <c r="M24"/>
  <c r="G34" i="76"/>
  <c r="G13"/>
  <c r="F35"/>
  <c r="J35" s="1"/>
  <c r="L35" s="1"/>
  <c r="P17" i="73"/>
  <c r="P24"/>
  <c r="G30"/>
  <c r="G13"/>
  <c r="N35"/>
  <c r="H35" s="1"/>
  <c r="P9"/>
  <c r="P13"/>
  <c r="P30"/>
  <c r="G17"/>
  <c r="G9"/>
  <c r="G34"/>
  <c r="P33" i="79"/>
  <c r="M34"/>
  <c r="P35"/>
  <c r="O35" i="73"/>
  <c r="J35" s="1"/>
  <c r="L35" s="1"/>
  <c r="P33"/>
  <c r="P34"/>
  <c r="G24"/>
  <c r="G33"/>
  <c r="M34"/>
  <c r="J33"/>
  <c r="E35" i="76"/>
  <c r="G35" s="1"/>
  <c r="G30"/>
  <c r="G24"/>
  <c r="G33"/>
  <c r="P24" i="79"/>
  <c r="G35"/>
  <c r="M9"/>
  <c r="P9"/>
  <c r="J17"/>
  <c r="P13"/>
  <c r="G9"/>
  <c r="D15" i="78"/>
  <c r="B15"/>
  <c r="I15"/>
  <c r="I25"/>
  <c r="H25"/>
  <c r="D25"/>
  <c r="B25"/>
  <c r="D21"/>
  <c r="B21"/>
  <c r="H15"/>
  <c r="G12"/>
  <c r="J29"/>
  <c r="I38"/>
  <c r="H38"/>
  <c r="D38"/>
  <c r="E38" s="1"/>
  <c r="B38"/>
  <c r="C38" s="1"/>
  <c r="E37"/>
  <c r="C37"/>
  <c r="I36"/>
  <c r="H36"/>
  <c r="D36"/>
  <c r="E36" s="1"/>
  <c r="B36"/>
  <c r="C36" s="1"/>
  <c r="E35"/>
  <c r="C35"/>
  <c r="E34"/>
  <c r="C34"/>
  <c r="E33"/>
  <c r="C33"/>
  <c r="H32"/>
  <c r="F32"/>
  <c r="I32" s="1"/>
  <c r="I31"/>
  <c r="H31"/>
  <c r="D31"/>
  <c r="E31" s="1"/>
  <c r="B31"/>
  <c r="C31" s="1"/>
  <c r="E30"/>
  <c r="C30"/>
  <c r="I29"/>
  <c r="H29"/>
  <c r="I27"/>
  <c r="H27"/>
  <c r="D27"/>
  <c r="D29" s="1"/>
  <c r="B27"/>
  <c r="B29" s="1"/>
  <c r="E26"/>
  <c r="C26"/>
  <c r="I21"/>
  <c r="H21"/>
  <c r="E21"/>
  <c r="C21"/>
  <c r="E17"/>
  <c r="C17"/>
  <c r="E16"/>
  <c r="C16"/>
  <c r="E22"/>
  <c r="C22"/>
  <c r="I23"/>
  <c r="H23"/>
  <c r="D23"/>
  <c r="E23" s="1"/>
  <c r="B23"/>
  <c r="C23" s="1"/>
  <c r="E24"/>
  <c r="C24"/>
  <c r="C25"/>
  <c r="E20"/>
  <c r="C20"/>
  <c r="E19"/>
  <c r="C19"/>
  <c r="E18"/>
  <c r="C18"/>
  <c r="I14"/>
  <c r="H14"/>
  <c r="D14"/>
  <c r="E14" s="1"/>
  <c r="B14"/>
  <c r="C14" s="1"/>
  <c r="E13"/>
  <c r="C13"/>
  <c r="I12"/>
  <c r="H12"/>
  <c r="J8"/>
  <c r="I8"/>
  <c r="H8"/>
  <c r="E8"/>
  <c r="C8"/>
  <c r="H7"/>
  <c r="I7"/>
  <c r="Q25" i="7"/>
  <c r="R9" s="1"/>
  <c r="D87" i="63"/>
  <c r="J87" s="1"/>
  <c r="D64"/>
  <c r="E17" i="12"/>
  <c r="N7" i="77"/>
  <c r="L7"/>
  <c r="F7"/>
  <c r="C7"/>
  <c r="S26" i="7"/>
  <c r="S25"/>
  <c r="M25"/>
  <c r="M24"/>
  <c r="H24"/>
  <c r="I24" s="1"/>
  <c r="G24"/>
  <c r="D24"/>
  <c r="E24" s="1"/>
  <c r="M23"/>
  <c r="G23"/>
  <c r="E23"/>
  <c r="M22"/>
  <c r="G22"/>
  <c r="M21"/>
  <c r="G21"/>
  <c r="E21"/>
  <c r="M20"/>
  <c r="G20"/>
  <c r="E20"/>
  <c r="M19"/>
  <c r="G19"/>
  <c r="E19"/>
  <c r="M18"/>
  <c r="G18"/>
  <c r="E18"/>
  <c r="M17"/>
  <c r="G17"/>
  <c r="E17"/>
  <c r="M16"/>
  <c r="G16"/>
  <c r="E16"/>
  <c r="M15"/>
  <c r="G15"/>
  <c r="E15"/>
  <c r="M14"/>
  <c r="G14"/>
  <c r="E14"/>
  <c r="M13"/>
  <c r="G13"/>
  <c r="E13"/>
  <c r="M12"/>
  <c r="G12"/>
  <c r="E12"/>
  <c r="M11"/>
  <c r="G11"/>
  <c r="E11"/>
  <c r="M10"/>
  <c r="G10"/>
  <c r="E10"/>
  <c r="M9"/>
  <c r="G9"/>
  <c r="E9"/>
  <c r="D65" i="63"/>
  <c r="D40"/>
  <c r="I8" i="39"/>
  <c r="I9"/>
  <c r="I10"/>
  <c r="I17"/>
  <c r="I18"/>
  <c r="I19"/>
  <c r="I20"/>
  <c r="I21"/>
  <c r="I22"/>
  <c r="I23"/>
  <c r="I24"/>
  <c r="I25"/>
  <c r="I26"/>
  <c r="I27"/>
  <c r="I28"/>
  <c r="F25"/>
  <c r="I7"/>
  <c r="H30"/>
  <c r="H28"/>
  <c r="H27"/>
  <c r="H26"/>
  <c r="H25"/>
  <c r="H24"/>
  <c r="H23"/>
  <c r="H22"/>
  <c r="H21"/>
  <c r="H20"/>
  <c r="H19"/>
  <c r="H18"/>
  <c r="H17"/>
  <c r="H10"/>
  <c r="H9"/>
  <c r="H8"/>
  <c r="H7"/>
  <c r="N19" i="77" l="1"/>
  <c r="H7"/>
  <c r="F19"/>
  <c r="C19"/>
  <c r="L19"/>
  <c r="E7"/>
  <c r="J15" i="78"/>
  <c r="L15" s="1"/>
  <c r="P35" i="73"/>
  <c r="C15" i="78"/>
  <c r="E15"/>
  <c r="K15"/>
  <c r="L8"/>
  <c r="C27"/>
  <c r="E27"/>
  <c r="E25"/>
  <c r="C28"/>
  <c r="C29"/>
  <c r="K29" s="1"/>
  <c r="E29"/>
  <c r="L29" s="1"/>
  <c r="K8"/>
  <c r="J12"/>
  <c r="J21"/>
  <c r="J27"/>
  <c r="E28"/>
  <c r="J31"/>
  <c r="J14"/>
  <c r="J23"/>
  <c r="J25"/>
  <c r="E25" i="7"/>
  <c r="R22"/>
  <c r="R18"/>
  <c r="R14"/>
  <c r="R10"/>
  <c r="R25"/>
  <c r="R24"/>
  <c r="R20"/>
  <c r="R16"/>
  <c r="R12"/>
  <c r="R23"/>
  <c r="R21"/>
  <c r="R19"/>
  <c r="R17"/>
  <c r="R15"/>
  <c r="R13"/>
  <c r="R11"/>
  <c r="G25"/>
  <c r="H15" i="39"/>
  <c r="H14"/>
  <c r="H13"/>
  <c r="P7" i="77"/>
  <c r="I7"/>
  <c r="I14" i="39"/>
  <c r="H19" i="77" l="1"/>
  <c r="E19"/>
  <c r="I15" i="39"/>
  <c r="E7" i="63"/>
  <c r="H11" i="39"/>
  <c r="L7" i="78"/>
  <c r="L25"/>
  <c r="K25"/>
  <c r="L14"/>
  <c r="K14"/>
  <c r="K21"/>
  <c r="L21"/>
  <c r="K7"/>
  <c r="L23"/>
  <c r="K23"/>
  <c r="K31"/>
  <c r="L31"/>
  <c r="K27"/>
  <c r="L27"/>
  <c r="K7" i="77"/>
  <c r="I12" i="39" l="1"/>
  <c r="H12"/>
  <c r="P19" i="77"/>
  <c r="I19"/>
  <c r="N23" i="58" l="1"/>
  <c r="O8" i="74"/>
  <c r="N8"/>
  <c r="M8"/>
  <c r="L8"/>
  <c r="K8"/>
  <c r="J8"/>
  <c r="I8"/>
  <c r="H8"/>
  <c r="G8"/>
  <c r="F8"/>
  <c r="E8"/>
  <c r="D8"/>
  <c r="C8"/>
  <c r="B8"/>
  <c r="L70" i="28" l="1"/>
  <c r="L71" s="1"/>
  <c r="M71" s="1"/>
  <c r="J70"/>
  <c r="J71" s="1"/>
  <c r="K71" s="1"/>
  <c r="H70"/>
  <c r="H71" s="1"/>
  <c r="I71" s="1"/>
  <c r="F70"/>
  <c r="F71" s="1"/>
  <c r="G71" s="1"/>
  <c r="D70"/>
  <c r="D71" s="1"/>
  <c r="E71" s="1"/>
  <c r="M69"/>
  <c r="K69"/>
  <c r="I69"/>
  <c r="G69"/>
  <c r="E69"/>
  <c r="M68"/>
  <c r="K68"/>
  <c r="I68"/>
  <c r="G68"/>
  <c r="E68"/>
  <c r="M67"/>
  <c r="K67"/>
  <c r="I67"/>
  <c r="G67"/>
  <c r="E67"/>
  <c r="M66"/>
  <c r="K66"/>
  <c r="I66"/>
  <c r="G66"/>
  <c r="E66"/>
  <c r="M65"/>
  <c r="K65"/>
  <c r="I65"/>
  <c r="G65"/>
  <c r="E65"/>
  <c r="M64"/>
  <c r="K64"/>
  <c r="I64"/>
  <c r="G64"/>
  <c r="E64"/>
  <c r="M63"/>
  <c r="K63"/>
  <c r="I63"/>
  <c r="G63"/>
  <c r="E63"/>
  <c r="M62"/>
  <c r="K62"/>
  <c r="I62"/>
  <c r="G62"/>
  <c r="E62"/>
  <c r="M61"/>
  <c r="K61"/>
  <c r="I61"/>
  <c r="G61"/>
  <c r="E61"/>
  <c r="M60"/>
  <c r="K60"/>
  <c r="I60"/>
  <c r="G60"/>
  <c r="E60"/>
  <c r="M59"/>
  <c r="K59"/>
  <c r="I59"/>
  <c r="G59"/>
  <c r="E59"/>
  <c r="M58"/>
  <c r="K58"/>
  <c r="I58"/>
  <c r="G58"/>
  <c r="E58"/>
  <c r="M57"/>
  <c r="K57"/>
  <c r="I57"/>
  <c r="G57"/>
  <c r="E57"/>
  <c r="M56"/>
  <c r="K56"/>
  <c r="I56"/>
  <c r="G56"/>
  <c r="E56"/>
  <c r="M55"/>
  <c r="K55"/>
  <c r="I55"/>
  <c r="G55"/>
  <c r="E55"/>
  <c r="L47"/>
  <c r="L48" s="1"/>
  <c r="M48" s="1"/>
  <c r="J47"/>
  <c r="J48" s="1"/>
  <c r="K48" s="1"/>
  <c r="H47"/>
  <c r="H48" s="1"/>
  <c r="I48" s="1"/>
  <c r="F47"/>
  <c r="F48" s="1"/>
  <c r="G48" s="1"/>
  <c r="D47"/>
  <c r="D48" s="1"/>
  <c r="E48" s="1"/>
  <c r="M46"/>
  <c r="K46"/>
  <c r="I46"/>
  <c r="G46"/>
  <c r="E46"/>
  <c r="M45"/>
  <c r="K45"/>
  <c r="I45"/>
  <c r="G45"/>
  <c r="E45"/>
  <c r="M44"/>
  <c r="K44"/>
  <c r="I44"/>
  <c r="G44"/>
  <c r="E44"/>
  <c r="M43"/>
  <c r="K43"/>
  <c r="I43"/>
  <c r="G43"/>
  <c r="E43"/>
  <c r="M42"/>
  <c r="K42"/>
  <c r="I42"/>
  <c r="G42"/>
  <c r="E42"/>
  <c r="M41"/>
  <c r="K41"/>
  <c r="I41"/>
  <c r="G41"/>
  <c r="E41"/>
  <c r="M40"/>
  <c r="K40"/>
  <c r="I40"/>
  <c r="G40"/>
  <c r="E40"/>
  <c r="M39"/>
  <c r="K39"/>
  <c r="I39"/>
  <c r="G39"/>
  <c r="E39"/>
  <c r="M38"/>
  <c r="K38"/>
  <c r="I38"/>
  <c r="G38"/>
  <c r="E38"/>
  <c r="M37"/>
  <c r="K37"/>
  <c r="I37"/>
  <c r="G37"/>
  <c r="E37"/>
  <c r="M36"/>
  <c r="K36"/>
  <c r="I36"/>
  <c r="G36"/>
  <c r="E36"/>
  <c r="M35"/>
  <c r="K35"/>
  <c r="I35"/>
  <c r="G35"/>
  <c r="E35"/>
  <c r="M34"/>
  <c r="K34"/>
  <c r="I34"/>
  <c r="G34"/>
  <c r="E34"/>
  <c r="M33"/>
  <c r="K33"/>
  <c r="I33"/>
  <c r="G33"/>
  <c r="E33"/>
  <c r="M32"/>
  <c r="K32"/>
  <c r="I32"/>
  <c r="G32"/>
  <c r="E32"/>
  <c r="L24"/>
  <c r="L25" s="1"/>
  <c r="M25" s="1"/>
  <c r="J24"/>
  <c r="J25" s="1"/>
  <c r="K25" s="1"/>
  <c r="H24"/>
  <c r="H25" s="1"/>
  <c r="I25" s="1"/>
  <c r="F24"/>
  <c r="F25" s="1"/>
  <c r="G25" s="1"/>
  <c r="D24"/>
  <c r="D25" s="1"/>
  <c r="E25" s="1"/>
  <c r="M23"/>
  <c r="K23"/>
  <c r="I23"/>
  <c r="G23"/>
  <c r="E23"/>
  <c r="M22"/>
  <c r="K22"/>
  <c r="I22"/>
  <c r="G22"/>
  <c r="E22"/>
  <c r="M21"/>
  <c r="K21"/>
  <c r="I21"/>
  <c r="G21"/>
  <c r="E21"/>
  <c r="M20"/>
  <c r="K20"/>
  <c r="I20"/>
  <c r="G20"/>
  <c r="E20"/>
  <c r="M19"/>
  <c r="K19"/>
  <c r="I19"/>
  <c r="G19"/>
  <c r="E19"/>
  <c r="M18"/>
  <c r="K18"/>
  <c r="I18"/>
  <c r="G18"/>
  <c r="E18"/>
  <c r="M17"/>
  <c r="K17"/>
  <c r="I17"/>
  <c r="G17"/>
  <c r="E17"/>
  <c r="M16"/>
  <c r="K16"/>
  <c r="I16"/>
  <c r="G16"/>
  <c r="E16"/>
  <c r="M15"/>
  <c r="K15"/>
  <c r="I15"/>
  <c r="G15"/>
  <c r="E15"/>
  <c r="M14"/>
  <c r="K14"/>
  <c r="I14"/>
  <c r="G14"/>
  <c r="E14"/>
  <c r="M13"/>
  <c r="K13"/>
  <c r="I13"/>
  <c r="G13"/>
  <c r="E13"/>
  <c r="M12"/>
  <c r="K12"/>
  <c r="I12"/>
  <c r="G12"/>
  <c r="E12"/>
  <c r="M11"/>
  <c r="K11"/>
  <c r="I11"/>
  <c r="G11"/>
  <c r="E11"/>
  <c r="M10"/>
  <c r="K10"/>
  <c r="I10"/>
  <c r="G10"/>
  <c r="E10"/>
  <c r="M9"/>
  <c r="K9"/>
  <c r="I9"/>
  <c r="G9"/>
  <c r="E9"/>
  <c r="G72" l="1"/>
  <c r="K72"/>
  <c r="E26"/>
  <c r="I26"/>
  <c r="M26"/>
  <c r="E49"/>
  <c r="I49"/>
  <c r="M49"/>
  <c r="E72"/>
  <c r="I72"/>
  <c r="M72"/>
  <c r="G26"/>
  <c r="K26"/>
  <c r="G49"/>
  <c r="K49"/>
  <c r="G24" i="44"/>
  <c r="F24"/>
  <c r="F115" i="63"/>
  <c r="C115"/>
  <c r="D112"/>
  <c r="J112" s="1"/>
  <c r="J111"/>
  <c r="J110"/>
  <c r="D107"/>
  <c r="J107" s="1"/>
  <c r="D109"/>
  <c r="J109" s="1"/>
  <c r="D108"/>
  <c r="J108" s="1"/>
  <c r="I106"/>
  <c r="H106"/>
  <c r="G106"/>
  <c r="D106"/>
  <c r="I105"/>
  <c r="I103"/>
  <c r="H103"/>
  <c r="G103"/>
  <c r="D103"/>
  <c r="I104"/>
  <c r="D104"/>
  <c r="H101"/>
  <c r="E100"/>
  <c r="B100"/>
  <c r="F92"/>
  <c r="C92"/>
  <c r="I14" i="44" l="1"/>
  <c r="H14"/>
  <c r="I113" i="63"/>
  <c r="H113"/>
  <c r="I115"/>
  <c r="I92"/>
  <c r="G113"/>
  <c r="J104"/>
  <c r="J103"/>
  <c r="J105"/>
  <c r="J106"/>
  <c r="D113"/>
  <c r="F90"/>
  <c r="F91" s="1"/>
  <c r="E90"/>
  <c r="C90"/>
  <c r="I90" s="1"/>
  <c r="B90"/>
  <c r="H90" s="1"/>
  <c r="D89"/>
  <c r="D88"/>
  <c r="J88" s="1"/>
  <c r="D86"/>
  <c r="J86" s="1"/>
  <c r="I84"/>
  <c r="H84"/>
  <c r="G84"/>
  <c r="D85"/>
  <c r="J85" s="1"/>
  <c r="I83"/>
  <c r="H83"/>
  <c r="G83"/>
  <c r="D83"/>
  <c r="I82"/>
  <c r="H82"/>
  <c r="G82"/>
  <c r="D82"/>
  <c r="H80"/>
  <c r="E79"/>
  <c r="B79"/>
  <c r="F72"/>
  <c r="C72"/>
  <c r="F70"/>
  <c r="F71" s="1"/>
  <c r="E70"/>
  <c r="C70"/>
  <c r="B70"/>
  <c r="H70" s="1"/>
  <c r="G69"/>
  <c r="J69" s="1"/>
  <c r="G68"/>
  <c r="D68"/>
  <c r="G65"/>
  <c r="J65" s="1"/>
  <c r="G66"/>
  <c r="D66"/>
  <c r="G61"/>
  <c r="D61"/>
  <c r="G59"/>
  <c r="D59"/>
  <c r="G63"/>
  <c r="D63"/>
  <c r="G62"/>
  <c r="D62"/>
  <c r="G64"/>
  <c r="J64" s="1"/>
  <c r="G58"/>
  <c r="D58"/>
  <c r="G56"/>
  <c r="D56"/>
  <c r="I57"/>
  <c r="H57"/>
  <c r="G57"/>
  <c r="D57"/>
  <c r="I55"/>
  <c r="H55"/>
  <c r="D55"/>
  <c r="H53"/>
  <c r="E52"/>
  <c r="B52"/>
  <c r="F45"/>
  <c r="C45"/>
  <c r="F43"/>
  <c r="E43"/>
  <c r="C43"/>
  <c r="B43"/>
  <c r="G42"/>
  <c r="D42"/>
  <c r="G40"/>
  <c r="J40" s="1"/>
  <c r="H39"/>
  <c r="G39"/>
  <c r="D39"/>
  <c r="D35"/>
  <c r="J35" s="1"/>
  <c r="G33"/>
  <c r="D33"/>
  <c r="G36"/>
  <c r="D36"/>
  <c r="G31"/>
  <c r="D31"/>
  <c r="G32"/>
  <c r="D32"/>
  <c r="G30"/>
  <c r="D30"/>
  <c r="H29"/>
  <c r="G29"/>
  <c r="D29"/>
  <c r="I28"/>
  <c r="H28"/>
  <c r="G28"/>
  <c r="D28"/>
  <c r="H26"/>
  <c r="E25"/>
  <c r="B25"/>
  <c r="F12"/>
  <c r="C12"/>
  <c r="J68" l="1"/>
  <c r="J58"/>
  <c r="J56"/>
  <c r="I43"/>
  <c r="J62"/>
  <c r="J63"/>
  <c r="J59"/>
  <c r="J61"/>
  <c r="J66"/>
  <c r="J30"/>
  <c r="J32"/>
  <c r="J31"/>
  <c r="J36"/>
  <c r="J33"/>
  <c r="J42"/>
  <c r="F44"/>
  <c r="J113"/>
  <c r="I72"/>
  <c r="C71"/>
  <c r="I71" s="1"/>
  <c r="I12"/>
  <c r="I45"/>
  <c r="C44"/>
  <c r="I44" s="1"/>
  <c r="H43"/>
  <c r="J29"/>
  <c r="G43"/>
  <c r="J28"/>
  <c r="J82"/>
  <c r="J83"/>
  <c r="J84"/>
  <c r="G90"/>
  <c r="C91"/>
  <c r="I91" s="1"/>
  <c r="D90"/>
  <c r="J55"/>
  <c r="J57"/>
  <c r="G70"/>
  <c r="I70"/>
  <c r="D70"/>
  <c r="J39"/>
  <c r="D43"/>
  <c r="I10"/>
  <c r="I9"/>
  <c r="I8"/>
  <c r="I7"/>
  <c r="H18" i="68"/>
  <c r="H17"/>
  <c r="H16"/>
  <c r="H15"/>
  <c r="H14"/>
  <c r="H13"/>
  <c r="H12"/>
  <c r="H11"/>
  <c r="H10"/>
  <c r="H9"/>
  <c r="H8"/>
  <c r="H7"/>
  <c r="E7"/>
  <c r="H18" i="65"/>
  <c r="H17"/>
  <c r="H16"/>
  <c r="H15"/>
  <c r="H14"/>
  <c r="H13"/>
  <c r="H12"/>
  <c r="H11"/>
  <c r="H10"/>
  <c r="H9"/>
  <c r="H8"/>
  <c r="H7"/>
  <c r="E7"/>
  <c r="H18" i="67"/>
  <c r="H17"/>
  <c r="H16"/>
  <c r="H15"/>
  <c r="H14"/>
  <c r="H13"/>
  <c r="H12"/>
  <c r="H11"/>
  <c r="H10"/>
  <c r="H9"/>
  <c r="H8"/>
  <c r="H7"/>
  <c r="E7"/>
  <c r="H18" i="69"/>
  <c r="H17"/>
  <c r="H16"/>
  <c r="H15"/>
  <c r="H14"/>
  <c r="H13"/>
  <c r="H12"/>
  <c r="H11"/>
  <c r="H10"/>
  <c r="H9"/>
  <c r="H8"/>
  <c r="H7"/>
  <c r="E7"/>
  <c r="J90" i="63" l="1"/>
  <c r="J70"/>
  <c r="E19" i="65"/>
  <c r="J43" i="63"/>
  <c r="E19" i="68"/>
  <c r="E19" i="67"/>
  <c r="H19"/>
  <c r="H19" i="68" l="1"/>
  <c r="H19" i="65"/>
  <c r="K17" i="40"/>
  <c r="E9" i="63"/>
  <c r="K16" i="40"/>
  <c r="E8" i="63"/>
  <c r="K15" i="40"/>
  <c r="H19"/>
  <c r="E19"/>
  <c r="Q21" i="33"/>
  <c r="P21"/>
  <c r="N21"/>
  <c r="M21"/>
  <c r="J21"/>
  <c r="H21"/>
  <c r="G21"/>
  <c r="K27" i="12"/>
  <c r="H22"/>
  <c r="H23" s="1"/>
  <c r="G22"/>
  <c r="F22"/>
  <c r="F23" s="1"/>
  <c r="E22"/>
  <c r="H17"/>
  <c r="H18" s="1"/>
  <c r="G17"/>
  <c r="F17"/>
  <c r="F18" s="1"/>
  <c r="H12"/>
  <c r="F26" s="1"/>
  <c r="H26" s="1"/>
  <c r="G12"/>
  <c r="F12"/>
  <c r="E12"/>
  <c r="H10"/>
  <c r="F25" s="1"/>
  <c r="H25" s="1"/>
  <c r="G10"/>
  <c r="F10"/>
  <c r="E10"/>
  <c r="I20" i="32"/>
  <c r="F20"/>
  <c r="J19" s="1"/>
  <c r="I19"/>
  <c r="F19"/>
  <c r="J18"/>
  <c r="I18"/>
  <c r="F18"/>
  <c r="J17" s="1"/>
  <c r="I17"/>
  <c r="F17"/>
  <c r="J16"/>
  <c r="I16"/>
  <c r="F16"/>
  <c r="J15" s="1"/>
  <c r="I15"/>
  <c r="F15"/>
  <c r="J14"/>
  <c r="I14"/>
  <c r="F14"/>
  <c r="J13" s="1"/>
  <c r="I13"/>
  <c r="F13"/>
  <c r="J12"/>
  <c r="I12"/>
  <c r="F12"/>
  <c r="D12"/>
  <c r="J11"/>
  <c r="I11"/>
  <c r="F11"/>
  <c r="D11"/>
  <c r="J10"/>
  <c r="I10"/>
  <c r="F10"/>
  <c r="J9" s="1"/>
  <c r="I9"/>
  <c r="J20" l="1"/>
  <c r="J36" i="78"/>
  <c r="K32"/>
  <c r="J38"/>
  <c r="L32"/>
  <c r="F13" i="12"/>
  <c r="I13" i="39"/>
  <c r="E11"/>
  <c r="I11" s="1"/>
  <c r="F11" i="12"/>
  <c r="E18"/>
  <c r="G18"/>
  <c r="K19" i="40"/>
  <c r="G11" i="12"/>
  <c r="H11"/>
  <c r="E13"/>
  <c r="G13"/>
  <c r="H13"/>
  <c r="E23"/>
  <c r="G23"/>
  <c r="E11"/>
  <c r="B7" i="63"/>
  <c r="D19" i="40"/>
  <c r="B8" i="63"/>
  <c r="B9"/>
  <c r="D9" s="1"/>
  <c r="I17" i="40"/>
  <c r="F14"/>
  <c r="J14"/>
  <c r="F15"/>
  <c r="J15"/>
  <c r="F16"/>
  <c r="J16"/>
  <c r="G19"/>
  <c r="I19" s="1"/>
  <c r="E72" i="63"/>
  <c r="G8"/>
  <c r="E92"/>
  <c r="G9"/>
  <c r="B10"/>
  <c r="J17" i="40"/>
  <c r="I14"/>
  <c r="K14"/>
  <c r="I15"/>
  <c r="I16"/>
  <c r="F17"/>
  <c r="F9" i="32"/>
  <c r="O28" i="11"/>
  <c r="N27"/>
  <c r="M27"/>
  <c r="L27"/>
  <c r="H27"/>
  <c r="G27"/>
  <c r="E27"/>
  <c r="D27"/>
  <c r="O26"/>
  <c r="I26"/>
  <c r="F26"/>
  <c r="O25"/>
  <c r="I25"/>
  <c r="F25"/>
  <c r="O24"/>
  <c r="I24"/>
  <c r="F24"/>
  <c r="O23"/>
  <c r="I23"/>
  <c r="F23"/>
  <c r="O22"/>
  <c r="I22"/>
  <c r="F22"/>
  <c r="O21"/>
  <c r="I21"/>
  <c r="F21"/>
  <c r="O20"/>
  <c r="I20"/>
  <c r="F20"/>
  <c r="O19"/>
  <c r="I19"/>
  <c r="F19"/>
  <c r="O18"/>
  <c r="I18"/>
  <c r="F18"/>
  <c r="O17"/>
  <c r="I17"/>
  <c r="F17"/>
  <c r="O16"/>
  <c r="I16"/>
  <c r="F16"/>
  <c r="O15"/>
  <c r="I15"/>
  <c r="F15"/>
  <c r="O14"/>
  <c r="I14"/>
  <c r="F14"/>
  <c r="O13"/>
  <c r="I13"/>
  <c r="F13"/>
  <c r="O12"/>
  <c r="I12"/>
  <c r="F12"/>
  <c r="O11"/>
  <c r="I11"/>
  <c r="F11"/>
  <c r="O10"/>
  <c r="I10"/>
  <c r="F10"/>
  <c r="O9"/>
  <c r="I9"/>
  <c r="F9"/>
  <c r="K38" i="78" l="1"/>
  <c r="L38"/>
  <c r="K36"/>
  <c r="L36"/>
  <c r="O27" i="11"/>
  <c r="I27"/>
  <c r="L17" i="40"/>
  <c r="L15"/>
  <c r="L14"/>
  <c r="F27" i="11"/>
  <c r="E71" i="63"/>
  <c r="G72"/>
  <c r="E12"/>
  <c r="E45"/>
  <c r="G7"/>
  <c r="E115"/>
  <c r="G10"/>
  <c r="B45"/>
  <c r="B12"/>
  <c r="D7"/>
  <c r="H7"/>
  <c r="J9"/>
  <c r="L16" i="40"/>
  <c r="B115" i="63"/>
  <c r="H10"/>
  <c r="D10"/>
  <c r="G92"/>
  <c r="E91"/>
  <c r="B92"/>
  <c r="H9"/>
  <c r="B72"/>
  <c r="D8"/>
  <c r="J8" s="1"/>
  <c r="H8"/>
  <c r="J19" i="40"/>
  <c r="F19"/>
  <c r="L19" s="1"/>
  <c r="H12" i="63" l="1"/>
  <c r="J7"/>
  <c r="J10"/>
  <c r="H92"/>
  <c r="D92"/>
  <c r="J92" s="1"/>
  <c r="B91"/>
  <c r="H72"/>
  <c r="D72"/>
  <c r="J72" s="1"/>
  <c r="B71"/>
  <c r="H115"/>
  <c r="D115"/>
  <c r="H45"/>
  <c r="B44"/>
  <c r="D45"/>
  <c r="G115"/>
  <c r="G45"/>
  <c r="E44"/>
  <c r="J45" l="1"/>
  <c r="D44"/>
  <c r="H44"/>
  <c r="G44" s="1"/>
  <c r="J115"/>
  <c r="H71"/>
  <c r="G71" s="1"/>
  <c r="D71"/>
  <c r="H91"/>
  <c r="G91" s="1"/>
  <c r="J71" l="1"/>
  <c r="J91"/>
  <c r="J44"/>
  <c r="G29" i="39"/>
  <c r="H29" l="1"/>
  <c r="F30"/>
  <c r="F26"/>
  <c r="F22"/>
  <c r="F18"/>
  <c r="F14"/>
  <c r="F10"/>
  <c r="F27"/>
  <c r="F23"/>
  <c r="F19"/>
  <c r="F15"/>
  <c r="F11"/>
  <c r="I30"/>
  <c r="F28"/>
  <c r="F24"/>
  <c r="F20"/>
  <c r="F12"/>
  <c r="F8"/>
  <c r="F21"/>
  <c r="F17"/>
  <c r="F13"/>
  <c r="F9"/>
  <c r="F7"/>
  <c r="E29"/>
  <c r="F29" l="1"/>
  <c r="I29"/>
  <c r="P25" i="76"/>
  <c r="P24"/>
  <c r="P31"/>
  <c r="P20"/>
  <c r="P15"/>
  <c r="P8"/>
  <c r="P14"/>
  <c r="P19"/>
  <c r="P28"/>
  <c r="P18"/>
  <c r="P27"/>
  <c r="P16"/>
  <c r="P7"/>
  <c r="P17"/>
  <c r="P30"/>
  <c r="P26"/>
  <c r="P32"/>
  <c r="P21"/>
  <c r="P12"/>
  <c r="M34" l="1"/>
  <c r="P34"/>
  <c r="P11"/>
  <c r="N9"/>
  <c r="P9" l="1"/>
  <c r="P13" l="1"/>
  <c r="P29"/>
  <c r="N33"/>
  <c r="P33" s="1"/>
  <c r="N35" l="1"/>
  <c r="J33"/>
  <c r="P35" l="1"/>
</calcChain>
</file>

<file path=xl/sharedStrings.xml><?xml version="1.0" encoding="utf-8"?>
<sst xmlns="http://schemas.openxmlformats.org/spreadsheetml/2006/main" count="1262" uniqueCount="564">
  <si>
    <t>Brasil</t>
  </si>
  <si>
    <t>Argentina</t>
  </si>
  <si>
    <t>EUA</t>
  </si>
  <si>
    <t>Total</t>
  </si>
  <si>
    <t>RO</t>
  </si>
  <si>
    <t>PA</t>
  </si>
  <si>
    <t>BA</t>
  </si>
  <si>
    <t>PR</t>
  </si>
  <si>
    <t>MG</t>
  </si>
  <si>
    <t>SP</t>
  </si>
  <si>
    <t>MT</t>
  </si>
  <si>
    <t>GO</t>
  </si>
  <si>
    <t>P.Médio</t>
  </si>
  <si>
    <t>%</t>
  </si>
  <si>
    <t>VERDE</t>
  </si>
  <si>
    <t>Outros</t>
  </si>
  <si>
    <t>Produtor</t>
  </si>
  <si>
    <t>Produção</t>
  </si>
  <si>
    <t>Consumo</t>
  </si>
  <si>
    <t>Exportação</t>
  </si>
  <si>
    <t>COMPLEXO SOJA</t>
  </si>
  <si>
    <t>PRODUTO</t>
  </si>
  <si>
    <t>Unidade</t>
  </si>
  <si>
    <t>PERÍODOS ANTERIORES</t>
  </si>
  <si>
    <t>Semana</t>
  </si>
  <si>
    <t>12 Meses</t>
  </si>
  <si>
    <t>4 Semanas</t>
  </si>
  <si>
    <t>1 Semana</t>
  </si>
  <si>
    <t>Atual</t>
  </si>
  <si>
    <t>R$/Saca</t>
  </si>
  <si>
    <t>ES</t>
  </si>
  <si>
    <t>RJ</t>
  </si>
  <si>
    <t>2011</t>
  </si>
  <si>
    <t xml:space="preserve">EVOLUÇÃO DOS PREÇOS INTERNACIONAIS </t>
  </si>
  <si>
    <t>Londres</t>
  </si>
  <si>
    <t>US$/Tonelada</t>
  </si>
  <si>
    <t>INDICADORES DE DESEMPENHO DA CAFEICULTURA BRASILEIRA</t>
  </si>
  <si>
    <t>1.1. Área em produção - milhões/há</t>
  </si>
  <si>
    <t>1.2. Produtividade sc/ha</t>
  </si>
  <si>
    <t xml:space="preserve">5.1. Financiamentos </t>
  </si>
  <si>
    <t>5.3. Pesquisa Cafeeira</t>
  </si>
  <si>
    <t>Fontes: DCAF - CONAB - ABIC - MDIC/SECEX - OIC - CEPEA/ESALQ/BM&amp;F</t>
  </si>
  <si>
    <t>ESTOQUES PRIVADOS E PÚBLICOS DE CAFÉ NO BRASIL</t>
  </si>
  <si>
    <t>(Em mil sacas de 60 kg)</t>
  </si>
  <si>
    <t>ANO</t>
  </si>
  <si>
    <t>ESTOQUES PRIVADOS</t>
  </si>
  <si>
    <t>PÚBLICOS</t>
  </si>
  <si>
    <t>TOTAL GERAL</t>
  </si>
  <si>
    <t>Arábica</t>
  </si>
  <si>
    <t>Robusta</t>
  </si>
  <si>
    <t>DCAF</t>
  </si>
  <si>
    <t>CONAB</t>
  </si>
  <si>
    <t>Fontes: CONAB</t>
  </si>
  <si>
    <t>R$/sc 60 kg</t>
  </si>
  <si>
    <t xml:space="preserve">MÊS </t>
  </si>
  <si>
    <t xml:space="preserve">* Arábica </t>
  </si>
  <si>
    <t>Tipo 6 BC-Duro</t>
  </si>
  <si>
    <t xml:space="preserve">Tipo 6-Pen.13 </t>
  </si>
  <si>
    <t>Tipo 7 BC</t>
  </si>
  <si>
    <t>(Base Cepea-Esalq)</t>
  </si>
  <si>
    <t xml:space="preserve">(Base Cepea-Esalq) </t>
  </si>
  <si>
    <t>(Base Varginha-MG)</t>
  </si>
  <si>
    <t>(Base Vitória-ES)</t>
  </si>
  <si>
    <t>JANEIRO</t>
  </si>
  <si>
    <t>FEVEREIRO</t>
  </si>
  <si>
    <t xml:space="preserve">MARÇO 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</si>
  <si>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</si>
  <si>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</si>
  <si>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</si>
  <si>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</si>
  <si>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</si>
  <si>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</si>
  <si>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</si>
  <si>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</si>
  <si>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</si>
  <si>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Média Anual</t>
  </si>
  <si>
    <t>EXPORTAÇÃO DO AGRONEGÓCIO BRASILEIRO - TOTAL</t>
  </si>
  <si>
    <t>PRINCIPAIS PRODUTOS EXPORTADOS</t>
  </si>
  <si>
    <t>Var.% (a/b)</t>
  </si>
  <si>
    <t>US$ MIL - (a)</t>
  </si>
  <si>
    <t>Part. %</t>
  </si>
  <si>
    <t>US$ MIL - (b)</t>
  </si>
  <si>
    <t>CARNES</t>
  </si>
  <si>
    <t>COMPLEXO SUCROALCOOLEIRO</t>
  </si>
  <si>
    <t>PRODUTOS FLORESTAIS</t>
  </si>
  <si>
    <t>CAFÉS</t>
  </si>
  <si>
    <t>CAFÉ VERDE</t>
  </si>
  <si>
    <t>CAFÉ SOLÚVEL</t>
  </si>
  <si>
    <t>CAFÉ TORRADO &amp; MOÍDO</t>
  </si>
  <si>
    <t>OUTROS EXTRATOS, ESSENCIAIS, CONCENTRADOS</t>
  </si>
  <si>
    <t>CASCAS, PELÍCULAS DE CAFÉ E SUCEDANEOS</t>
  </si>
  <si>
    <t>CEREAIS, FARINHAS E PREPARAÇÕES</t>
  </si>
  <si>
    <t>COUROS, PRODUTOS DE COURO E PELETERIA</t>
  </si>
  <si>
    <t>FUMO E SEUS PRODUTOS</t>
  </si>
  <si>
    <t xml:space="preserve">SUCOS </t>
  </si>
  <si>
    <t>FIBRAS E PRODUTOS TÊXTEIS</t>
  </si>
  <si>
    <t>FRUTAS (INCLUI NOZES E CASTANHAS)</t>
  </si>
  <si>
    <t>ANIMAIS VIVOS (EXCETO PESCADOS)</t>
  </si>
  <si>
    <t>CHÁ, MATE E ESPECIARIAS</t>
  </si>
  <si>
    <t>BEBIDAS</t>
  </si>
  <si>
    <t>LÁCTEOS</t>
  </si>
  <si>
    <t>CACAU E SEUS PRODUTOS</t>
  </si>
  <si>
    <t>PESCADOS</t>
  </si>
  <si>
    <t>DEMAIS PRODUTOS</t>
  </si>
  <si>
    <t>TOTAL:</t>
  </si>
  <si>
    <t>Fonte: AgroStat Brasil a partir de dados da SECEX/MDIC</t>
  </si>
  <si>
    <t>VARIAÇÃO RELATIVA</t>
  </si>
  <si>
    <t>VALOR</t>
  </si>
  <si>
    <t>QUANT.</t>
  </si>
  <si>
    <t>P.MÉDIO</t>
  </si>
  <si>
    <t>US$ Mil</t>
  </si>
  <si>
    <t>SC/60 kg</t>
  </si>
  <si>
    <t>US$ (FOB)</t>
  </si>
  <si>
    <t>SOLÚVEL</t>
  </si>
  <si>
    <t>TORRADO &amp; MOÍDO</t>
  </si>
  <si>
    <t>OUTROS EXTRATOS</t>
  </si>
  <si>
    <t>TOTAL</t>
  </si>
  <si>
    <t>Fonte: MDIC/SECEX</t>
  </si>
  <si>
    <t>EXPORTAÇÕES BRASILEIRAS DE CAFÉ VERDE</t>
  </si>
  <si>
    <t>MÊS</t>
  </si>
  <si>
    <t>Receita</t>
  </si>
  <si>
    <t>Volume</t>
  </si>
  <si>
    <t>Janeiro</t>
  </si>
  <si>
    <t>Fevereiro</t>
  </si>
  <si>
    <t>Março</t>
  </si>
  <si>
    <t>Abril</t>
  </si>
  <si>
    <t>Maio</t>
  </si>
  <si>
    <t>Junho</t>
  </si>
  <si>
    <t>Sub-total</t>
  </si>
  <si>
    <t>Julho</t>
  </si>
  <si>
    <t>Agosto</t>
  </si>
  <si>
    <t>Setembro</t>
  </si>
  <si>
    <t>Outubro</t>
  </si>
  <si>
    <t>Novembro</t>
  </si>
  <si>
    <t>Dezembro</t>
  </si>
  <si>
    <t>Receita: em mil US$</t>
  </si>
  <si>
    <t>Volume: em saca de 60 kg</t>
  </si>
  <si>
    <t>Preço Medio: em US$ por saca</t>
  </si>
  <si>
    <t>EXPORTAÇÕES BRASILEIRAS DE CAFÉ SOLÚVEL</t>
  </si>
  <si>
    <t>EXPORTAÇÕES BRASILEIRAS DE CAFÉ TORRADO &amp; MOÍDO</t>
  </si>
  <si>
    <t>EXPORTAÇÕES BRASILEIRAS DE CAFÉS</t>
  </si>
  <si>
    <t>t</t>
  </si>
  <si>
    <t>US$/t</t>
  </si>
  <si>
    <t>Conversão Verde em sacas de 60 kg: peso liquido/60</t>
  </si>
  <si>
    <t>Conversão Solúvel em sacas de 60 kg: peso liquido*2,6/60</t>
  </si>
  <si>
    <t>Conversão Torrado e Moído em sacas de 60 kg: peso liquido *1,19/60</t>
  </si>
  <si>
    <t xml:space="preserve">EXPORTAÇÕES BRASILEIRAS DE CAFÉ VERDE </t>
  </si>
  <si>
    <t>NCM: 0901.11.10/0901.12.00</t>
  </si>
  <si>
    <t>PAÍSES</t>
  </si>
  <si>
    <t>QUANT</t>
  </si>
  <si>
    <t>US$ MIL</t>
  </si>
  <si>
    <t xml:space="preserve">   OUTROS</t>
  </si>
  <si>
    <t xml:space="preserve">TOTAL </t>
  </si>
  <si>
    <t>EXPORTAÇÕES BRASILEIRAS DE CAFÉ SOLÚVEL, MESMO DESCAFEINADO</t>
  </si>
  <si>
    <t>NCM: 2101.11.10</t>
  </si>
  <si>
    <t>NCM: 0901.21.00/0901.22.00</t>
  </si>
  <si>
    <t xml:space="preserve">EXPORTAÇÕES BRASILEIRAS DE OUTROS EXTRATOS, ESSENCIAIS, PREPARS, CONCENTRADOS DE CAFÉ </t>
  </si>
  <si>
    <t>NCM: 2101.11.90/2101.12.00</t>
  </si>
  <si>
    <t>TOTAL DAS IMPORTAÇÕES BRASILEIRAS DE CAFÉS</t>
  </si>
  <si>
    <t>TORRADO E MOÍDO</t>
  </si>
  <si>
    <t xml:space="preserve">Produção, Exportação Mundial e Consumo Interno de Café </t>
  </si>
  <si>
    <t>(Principais Países Produtores)</t>
  </si>
  <si>
    <t>CAFÉ - RANKING</t>
  </si>
  <si>
    <t>Produção Mundial - Produtores</t>
  </si>
  <si>
    <t>Países</t>
  </si>
  <si>
    <t>*2014</t>
  </si>
  <si>
    <t>2013</t>
  </si>
  <si>
    <t>2012</t>
  </si>
  <si>
    <t>2010</t>
  </si>
  <si>
    <t xml:space="preserve">Part. (%) </t>
  </si>
  <si>
    <t>*Brasil</t>
  </si>
  <si>
    <t>Vietnan</t>
  </si>
  <si>
    <t>Colômbia</t>
  </si>
  <si>
    <t>Indonésia</t>
  </si>
  <si>
    <t>Etiópia</t>
  </si>
  <si>
    <t>Índia</t>
  </si>
  <si>
    <t>Peru</t>
  </si>
  <si>
    <t>Honduras</t>
  </si>
  <si>
    <t>México</t>
  </si>
  <si>
    <t>Uganda</t>
  </si>
  <si>
    <t>Guatemala</t>
  </si>
  <si>
    <t>Costa do Marfim</t>
  </si>
  <si>
    <t>Nicaragua</t>
  </si>
  <si>
    <t>Costa Rica</t>
  </si>
  <si>
    <t>El Salvador</t>
  </si>
  <si>
    <t>Outros países</t>
  </si>
  <si>
    <t>Fontes: *MAPA/SPAE/CONAB; O.I.C.</t>
  </si>
  <si>
    <t>*Estimativas</t>
  </si>
  <si>
    <t>Exportação Mundial - Produtores</t>
  </si>
  <si>
    <t>Fontes: *MDIC/SECEX; O.I.C.</t>
  </si>
  <si>
    <t>Consumo Interno - Produtores</t>
  </si>
  <si>
    <t>Fontes: *ABIC; O.I.C.</t>
  </si>
  <si>
    <t>Outr. países</t>
  </si>
  <si>
    <t>Fonte: OIC e CONAB</t>
  </si>
  <si>
    <t>Alemanha</t>
  </si>
  <si>
    <t>Itália</t>
  </si>
  <si>
    <t>Belgica</t>
  </si>
  <si>
    <t>Japão</t>
  </si>
  <si>
    <t>Espanha</t>
  </si>
  <si>
    <t>Canadá</t>
  </si>
  <si>
    <t>Reino Unido</t>
  </si>
  <si>
    <t>Suécia</t>
  </si>
  <si>
    <t>Turquia</t>
  </si>
  <si>
    <t>Russia</t>
  </si>
  <si>
    <t>2014</t>
  </si>
  <si>
    <t>Eslovenia</t>
  </si>
  <si>
    <t>Finlandia</t>
  </si>
  <si>
    <t>Importador</t>
  </si>
  <si>
    <t>PRAÇA</t>
  </si>
  <si>
    <t>Nova York</t>
  </si>
  <si>
    <t>NY</t>
  </si>
  <si>
    <t>LD</t>
  </si>
  <si>
    <t>Otr.</t>
  </si>
  <si>
    <t>UF</t>
  </si>
  <si>
    <t>A &amp; P</t>
  </si>
  <si>
    <t>Cerrado</t>
  </si>
  <si>
    <t>Planalto</t>
  </si>
  <si>
    <t>Atlântico</t>
  </si>
  <si>
    <t>Indicadores</t>
  </si>
  <si>
    <t>2.1. Valor - bilhões/US$</t>
  </si>
  <si>
    <t>2.2. Preço Médio - US$/sc</t>
  </si>
  <si>
    <t>3.1. Per capita - kg/habitante ano</t>
  </si>
  <si>
    <t>4. Estoques Totais (milhões/sc)</t>
  </si>
  <si>
    <t>5. Orçamento Funcafé - R$ milhões</t>
  </si>
  <si>
    <t xml:space="preserve">5.2. Publicidade e Promoção </t>
  </si>
  <si>
    <t>Fonte: Desex</t>
  </si>
  <si>
    <t>Base legal</t>
  </si>
  <si>
    <t>Safra</t>
  </si>
  <si>
    <t>Conilon</t>
  </si>
  <si>
    <t>Tipo</t>
  </si>
  <si>
    <t>Peneira</t>
  </si>
  <si>
    <t>2001/2002</t>
  </si>
  <si>
    <t xml:space="preserve">13 acima </t>
  </si>
  <si>
    <t>(Não houve definição)</t>
  </si>
  <si>
    <t>Decreto nº 4.783, de 17-7-2003</t>
  </si>
  <si>
    <t>2002/2003</t>
  </si>
  <si>
    <t xml:space="preserve">14 acima </t>
  </si>
  <si>
    <t>Decreto nº 5.071, de 7-5-2004</t>
  </si>
  <si>
    <t>2003/2004</t>
  </si>
  <si>
    <t>Decreto nº 5.494, de 20-7-2005</t>
  </si>
  <si>
    <t>2004/2005</t>
  </si>
  <si>
    <t>Decreto nº 5.838, de 10-7-2006</t>
  </si>
  <si>
    <t>2005/2006</t>
  </si>
  <si>
    <t>2006/2007</t>
  </si>
  <si>
    <t>Decreto nº 6.557, de 8-9-2008</t>
  </si>
  <si>
    <t>2007/2008</t>
  </si>
  <si>
    <t>2008/2009</t>
  </si>
  <si>
    <t>Portaria MAPA nº 460, de 19-6-2009</t>
  </si>
  <si>
    <t xml:space="preserve">Portaria MAPA nº 392, de 19-5-2010 </t>
  </si>
  <si>
    <t>A partir da safra 2009/2010</t>
  </si>
  <si>
    <t>Portaria MAPA nº 309, de 17-5-2013</t>
  </si>
  <si>
    <t>mai/13 a mar/14</t>
  </si>
  <si>
    <t>Portaria MAPA nº 478, de 20-5-2014</t>
  </si>
  <si>
    <t>mai/14 a mar/15</t>
  </si>
  <si>
    <t>Preço mínimo (R$ / 60kg)</t>
  </si>
  <si>
    <t>Decreto nº 4.325, de 7-8-2002 (*)</t>
  </si>
  <si>
    <t>(**)</t>
  </si>
  <si>
    <r>
      <t>Portaria MAPA nº 339, de 14-5-2009</t>
    </r>
    <r>
      <rPr>
        <sz val="9"/>
        <rFont val="Arial"/>
        <family val="2"/>
      </rPr>
      <t xml:space="preserve"> (revogada pela Portaria nº 460, de 19-6-2009)</t>
    </r>
  </si>
  <si>
    <t>Preços Mínimos para os cafés Arábica e Conilon</t>
  </si>
  <si>
    <t>(*) Preço mínimo exclusivamente para opções de venda em 2002</t>
  </si>
  <si>
    <t>(**) Tipo 7, com até 150 defeitos</t>
  </si>
  <si>
    <t>(***) Tipo 6, bebida dura para melhor, com até 86 defeitos</t>
  </si>
  <si>
    <t>(***)</t>
  </si>
  <si>
    <t>Decreto nº 6.078, de 10-4-2007</t>
  </si>
  <si>
    <t>Tabela de entrada de dados para planilha e gráficos</t>
  </si>
  <si>
    <t>Sul</t>
  </si>
  <si>
    <t>Triângulo</t>
  </si>
  <si>
    <t>Mata</t>
  </si>
  <si>
    <t>Norte</t>
  </si>
  <si>
    <t>Contratos</t>
  </si>
  <si>
    <t>Recursos</t>
  </si>
  <si>
    <t>Área Financida</t>
  </si>
  <si>
    <t>Nº</t>
  </si>
  <si>
    <t>R$ milhões</t>
  </si>
  <si>
    <t>ÁREA (em hectáres)</t>
  </si>
  <si>
    <t>PRODUÇÃO (em mil sacas)</t>
  </si>
  <si>
    <t>Operações</t>
  </si>
  <si>
    <t>Fonte: Bacen - Sicor (para produtores e cooperativas)</t>
  </si>
  <si>
    <t>em hectáres</t>
  </si>
  <si>
    <t>CASCA E PELÍCULAS</t>
  </si>
  <si>
    <t>P. MÉDIO</t>
  </si>
  <si>
    <t>TOTAL DAS EXPORTAÇÕES BRASILEIRAS DE CAFÉS</t>
  </si>
  <si>
    <t>CASCAS, PELÍCULAS</t>
  </si>
  <si>
    <t>US$ (MIL)</t>
  </si>
  <si>
    <t>ESTADOS UNIDOS</t>
  </si>
  <si>
    <t>JAPAO</t>
  </si>
  <si>
    <t>CANADA</t>
  </si>
  <si>
    <t>TURQUIA</t>
  </si>
  <si>
    <t>ARABIA SAUDITA</t>
  </si>
  <si>
    <t>INDONESIA</t>
  </si>
  <si>
    <t>ARGENTINA</t>
  </si>
  <si>
    <t>CINGAPURA</t>
  </si>
  <si>
    <t>URUGUAI</t>
  </si>
  <si>
    <t>PARAGUAI</t>
  </si>
  <si>
    <t>BOLIVIA</t>
  </si>
  <si>
    <t>TAIWAN (FORMOSA)</t>
  </si>
  <si>
    <t>COREIA,REP.SUL</t>
  </si>
  <si>
    <t>MEXICO</t>
  </si>
  <si>
    <t>França</t>
  </si>
  <si>
    <t>US$ (cents/LP)</t>
  </si>
  <si>
    <t xml:space="preserve"> Câmbio = </t>
  </si>
  <si>
    <t xml:space="preserve"> Dólar/saca   = </t>
  </si>
  <si>
    <t>R$/saca</t>
  </si>
  <si>
    <t xml:space="preserve"> R$/saca </t>
  </si>
  <si>
    <t xml:space="preserve">1. Produção - em milhões/sc </t>
  </si>
  <si>
    <t xml:space="preserve">2. Exportações em - milhões/sc </t>
  </si>
  <si>
    <r>
      <t>7. Participação no Agronegócio</t>
    </r>
    <r>
      <rPr>
        <sz val="10"/>
        <rFont val="Arial"/>
        <family val="2"/>
      </rPr>
      <t xml:space="preserve"> (%)</t>
    </r>
  </si>
  <si>
    <t>VARIAÇÃO RELATIVA (%)</t>
  </si>
  <si>
    <t>Finlândia</t>
  </si>
  <si>
    <t>Portaria MAPA nº 094 de 06-05-2015</t>
  </si>
  <si>
    <t>abr/15 a mar/16</t>
  </si>
  <si>
    <t/>
  </si>
  <si>
    <t xml:space="preserve">Dólar/saca   = </t>
  </si>
  <si>
    <t>Área Financiada para Custeio - 2014</t>
  </si>
  <si>
    <t>Área Cultivada e Produção Brasileira - Safra 2014/15 e 2015/16</t>
  </si>
  <si>
    <t>Atualizado:</t>
  </si>
  <si>
    <t>SECRETARIA DE POLÍTICA AGRÍCOLA - SPA</t>
  </si>
  <si>
    <t>DEPARTAMENTO DE CRÉDITO, RECURSOS E RISCOS - DCRR</t>
  </si>
  <si>
    <t>Ministra: KÁTIA ABREU</t>
  </si>
  <si>
    <t>Secretária-Executiva: MARIA EMILIA MENDONÇA PEDROZA JABER</t>
  </si>
  <si>
    <t>Secretário da SPA: ANDRÉ MELONI NASSAR</t>
  </si>
  <si>
    <t>Diretor do DCRR: VITOR AUGUSTO OZAKI</t>
  </si>
  <si>
    <t>Elaborado pela Coordenação Geral de Gestão de Recursos</t>
  </si>
  <si>
    <t>Equipe Técnica</t>
  </si>
  <si>
    <t>Coordenador: Marconni Sobreira</t>
  </si>
  <si>
    <t>Antonio Augusto Ribeiro Vaz Costa</t>
  </si>
  <si>
    <t>Francisco Pires Sobrinho</t>
  </si>
  <si>
    <t>Getulio Akio Shinkawa</t>
  </si>
  <si>
    <t>Janaína Macedo Freitas</t>
  </si>
  <si>
    <t>CEP: 70043-900 - Brasília - DF</t>
  </si>
  <si>
    <t>Telefone: (61) 3218-2812, 3322-0408</t>
  </si>
  <si>
    <t>Fax:         (61) 3322-0337</t>
  </si>
  <si>
    <t>e-mail: airton.camargo@agricultura.gov.br</t>
  </si>
  <si>
    <t>http://www.agricultura.gov.br/vegetal/cafe/estatisticas</t>
  </si>
  <si>
    <t>Selecione: Café</t>
  </si>
  <si>
    <t>TABELAS E GRÁFICOS</t>
  </si>
  <si>
    <t>Airton Camargo Pacheco da Silva</t>
  </si>
  <si>
    <t>Export.</t>
  </si>
  <si>
    <t>US$ mil</t>
  </si>
  <si>
    <t>Sacas mil</t>
  </si>
  <si>
    <t>MINISTÉRIO DA AGRICULTURA, PECUÁRIA E ABASTECIMENTO</t>
  </si>
  <si>
    <t>Elaboração: MAPA/SPA/DCRR</t>
  </si>
  <si>
    <t>(PRINCIPAIS IMPORTADORES)</t>
  </si>
  <si>
    <t>UNIÃO EUROPEIA 28</t>
  </si>
  <si>
    <t>COREIA DO SUL</t>
  </si>
  <si>
    <t>RUSSIA</t>
  </si>
  <si>
    <t>SIRIA</t>
  </si>
  <si>
    <t>HUNGRIA</t>
  </si>
  <si>
    <t>EXPORTAÇÕES BRASILEIRAS DE CAFÉ TORRADO</t>
  </si>
  <si>
    <t>EXPORTAÇÕES BRASILEIRAS DE CAFÉ EXTRATO</t>
  </si>
  <si>
    <t>Estoques privados com base no levantamento efetuado pela CONAB e divulgado em 31.03.15</t>
  </si>
  <si>
    <t>Última</t>
  </si>
  <si>
    <t>QUANTIDADE</t>
  </si>
  <si>
    <t>Fonte e Elaboração: CONAB</t>
  </si>
  <si>
    <t>Ano</t>
  </si>
  <si>
    <t>ARÁBICA</t>
  </si>
  <si>
    <t>CONILON</t>
  </si>
  <si>
    <t>Produção Total</t>
  </si>
  <si>
    <t>Elaboração e Fonte: Mapa</t>
  </si>
  <si>
    <t xml:space="preserve">BC Tipo 6 Duro </t>
  </si>
  <si>
    <t>***Arábica</t>
  </si>
  <si>
    <t>***Conilon</t>
  </si>
  <si>
    <t>* Conilon</t>
  </si>
  <si>
    <t xml:space="preserve">**Arábica </t>
  </si>
  <si>
    <t>Elaboração: MAPA/SPA</t>
  </si>
  <si>
    <t>Conversão Outs.Estratos, Essencias em sacas de 60 kg: peso liquido*2,6/60</t>
  </si>
  <si>
    <t xml:space="preserve">3. Consumo (em milhões de sacas) </t>
  </si>
  <si>
    <r>
      <t xml:space="preserve">8. IPR pelos produtores - </t>
    </r>
    <r>
      <rPr>
        <sz val="11"/>
        <rFont val="Arial"/>
        <family val="2"/>
      </rPr>
      <t xml:space="preserve">café tipo 6, bebida dura, </t>
    </r>
    <r>
      <rPr>
        <sz val="10"/>
        <rFont val="Arial"/>
        <family val="2"/>
      </rPr>
      <t>CEPEIA/ESALQ (R$/sc)</t>
    </r>
  </si>
  <si>
    <t>Dados para construção da planilha:</t>
  </si>
  <si>
    <t>EXPORTAÇÕES BRASILEIRAS GLOBAIS</t>
  </si>
  <si>
    <t>-</t>
  </si>
  <si>
    <t>Volume: em sacas de 60 kg</t>
  </si>
  <si>
    <t>Evolução (%)</t>
  </si>
  <si>
    <t>mês</t>
  </si>
  <si>
    <t>U$ saca</t>
  </si>
  <si>
    <t>Evolução %</t>
  </si>
  <si>
    <t>no mês</t>
  </si>
  <si>
    <t>Var.</t>
  </si>
  <si>
    <t>Conversão Outros Estratos, Essencias em sacas de 60 kg: peso liquido*2,6/60</t>
  </si>
  <si>
    <t>Discriminação</t>
  </si>
  <si>
    <t>Custo de Produção</t>
  </si>
  <si>
    <t>Área Total em Produção (ha)</t>
  </si>
  <si>
    <t>Participação do Estado ou Região na área  total (%)</t>
  </si>
  <si>
    <t>Participação do cálculo no Estado ou Região (%)</t>
  </si>
  <si>
    <t>Preço Mercado (R$/saca)</t>
  </si>
  <si>
    <t>Variável (CV)</t>
  </si>
  <si>
    <t>Total (CT)</t>
  </si>
  <si>
    <t>CV</t>
  </si>
  <si>
    <t>CT</t>
  </si>
  <si>
    <t>(R$/ha)</t>
  </si>
  <si>
    <t>(R$/saca)</t>
  </si>
  <si>
    <r>
      <t>01. BA</t>
    </r>
    <r>
      <rPr>
        <sz val="9"/>
        <rFont val="Arial"/>
        <family val="2"/>
      </rPr>
      <t xml:space="preserve"> (Luiz Eduardo) - 50 sacas - mec. Irrigado</t>
    </r>
  </si>
  <si>
    <r>
      <t>02. GO (Cristalina)</t>
    </r>
    <r>
      <rPr>
        <sz val="9"/>
        <rFont val="Arial"/>
        <family val="2"/>
      </rPr>
      <t xml:space="preserve"> - 55 sacas - Mec. e Irrigado</t>
    </r>
  </si>
  <si>
    <t>10. PR (Londrina) 30 sacas - Mecanizada.</t>
  </si>
  <si>
    <t>11. SP (Franca) 30 sacas - Mecanizada.</t>
  </si>
  <si>
    <t>Estado (SP)   -   203.490  há - 18,85 sacas</t>
  </si>
  <si>
    <t>12. ES (Venda Nova) - 20 sacas</t>
  </si>
  <si>
    <t>13. RO (Rolim de Moura) 25 sacas - Manual</t>
  </si>
  <si>
    <t>14. RO (Ji Paraná) 20 sacas - Manual</t>
  </si>
  <si>
    <t>15. RO (Rolim de Moura) 60 sacas - Mecaniz.</t>
  </si>
  <si>
    <t>16. ES (Pinheiros) 60 sacas - Mecanizada</t>
  </si>
  <si>
    <t>(*) - Área abrangida pelo cálculo dos custos</t>
  </si>
  <si>
    <t>Fonte: Publicações da CONAB</t>
  </si>
  <si>
    <t xml:space="preserve">Planalto  -  101.921 há -   8,08 sacas/ha </t>
  </si>
  <si>
    <t xml:space="preserve">Cerrado  -      9.129 ha -  37,00 sacas/ha </t>
  </si>
  <si>
    <t>Estado (GO)   -    6.175 há - 36,81 sacas</t>
  </si>
  <si>
    <t>Estado (PR)   -    44.500  há - 27,19 sacas</t>
  </si>
  <si>
    <t>Resultado (%)</t>
  </si>
  <si>
    <t>Robusta Total - 432.852 há</t>
  </si>
  <si>
    <t>Arábica Total - 1.497.293 há</t>
  </si>
  <si>
    <t>Área (*) de influência dos cálculos dos custos (ha)</t>
  </si>
  <si>
    <t>Atlântico  -    35.228 há - 33,60 sacas/há(**)</t>
  </si>
  <si>
    <t>Estado (BA)   - 143.939  há - 16,04 sacas</t>
  </si>
  <si>
    <t>Estado (MG) - 967.456  há - 22,59 sacas (**)</t>
  </si>
  <si>
    <t>Estado (ES)   -   156.601 há - 18,76 sacas</t>
  </si>
  <si>
    <t>Estado (RO)   -   87.657 há - 19,51 sacas</t>
  </si>
  <si>
    <t>Estado (ES)   -  273.701  há - 27,18 sacas (***)</t>
  </si>
  <si>
    <r>
      <t>03. MG (S. S. do Paraíso) -</t>
    </r>
    <r>
      <rPr>
        <sz val="9"/>
        <rFont val="Arial"/>
        <family val="2"/>
      </rPr>
      <t xml:space="preserve"> 30 sacas - Semi-mecanizada 70%</t>
    </r>
  </si>
  <si>
    <r>
      <t>04. MG (S. S. do Paraíso)</t>
    </r>
    <r>
      <rPr>
        <sz val="9"/>
        <rFont val="Arial"/>
        <family val="2"/>
      </rPr>
      <t xml:space="preserve"> - 25 sacas - Semi-mecanizada 30%</t>
    </r>
  </si>
  <si>
    <r>
      <t>05. MG (Guaxupé)</t>
    </r>
    <r>
      <rPr>
        <sz val="9"/>
        <rFont val="Arial"/>
        <family val="2"/>
      </rPr>
      <t xml:space="preserve"> - 30 sacas - Manual - Mont.</t>
    </r>
  </si>
  <si>
    <r>
      <t>06. MG</t>
    </r>
    <r>
      <rPr>
        <sz val="9"/>
        <rFont val="Arial"/>
        <family val="2"/>
      </rPr>
      <t xml:space="preserve"> (Guaxupé) - 30 sacas - Mecanizada.</t>
    </r>
  </si>
  <si>
    <r>
      <t>07. MG (Guaxupé)</t>
    </r>
    <r>
      <rPr>
        <sz val="9"/>
        <rFont val="Arial"/>
        <family val="2"/>
      </rPr>
      <t xml:space="preserve"> - 30 sacas - Semi-mecan.</t>
    </r>
  </si>
  <si>
    <r>
      <t>08. MG (Patrocínio) -</t>
    </r>
    <r>
      <rPr>
        <sz val="9"/>
        <rFont val="Arial"/>
        <family val="2"/>
      </rPr>
      <t xml:space="preserve"> 30 sacas - Semi-mecaniz.</t>
    </r>
  </si>
  <si>
    <r>
      <t>09. MG (Manhuaçú) -</t>
    </r>
    <r>
      <rPr>
        <sz val="9"/>
        <rFont val="Arial"/>
        <family val="2"/>
      </rPr>
      <t xml:space="preserve"> 24 sacas - Manual</t>
    </r>
  </si>
  <si>
    <t>(**) - café Robusta (conilon), na BA = 35.228 há e MG = 13.389 há (descontados)</t>
  </si>
  <si>
    <t>(***) - café Arábica, no ES = 156.601 há (descontados)</t>
  </si>
  <si>
    <t>Cerrado - Arábica</t>
  </si>
  <si>
    <t>Planalto - Arábica</t>
  </si>
  <si>
    <t>Atlântico - Robusta</t>
  </si>
  <si>
    <t>- Arábica</t>
  </si>
  <si>
    <t>- Robusta</t>
  </si>
  <si>
    <t>BRASIL - Arábica</t>
  </si>
  <si>
    <t>BRASIL - Robusta</t>
  </si>
  <si>
    <t>BRASIL - Total</t>
  </si>
  <si>
    <t>CAFÉ - BENEFICIADO - ARÁBICA &amp; ROBUSTA</t>
  </si>
  <si>
    <t xml:space="preserve">Zona da Mata - Arábica </t>
  </si>
  <si>
    <t xml:space="preserve">Zona da Mata - Robusta </t>
  </si>
  <si>
    <t>Norte - Arábica</t>
  </si>
  <si>
    <t>Norte - Robusta</t>
  </si>
  <si>
    <t>Triângulo - Arábica</t>
  </si>
  <si>
    <t>Sul - Arábica</t>
  </si>
  <si>
    <t>em hectares</t>
  </si>
  <si>
    <t>em mil sacas</t>
  </si>
  <si>
    <t>Área em Produção</t>
  </si>
  <si>
    <t>Estados e Regiões</t>
  </si>
  <si>
    <t>EVOLUÇÃO DOS PREÇOS AO PRODUTOR - Café Arábica Minas BC T 6</t>
  </si>
  <si>
    <t>EVOLUÇÃO DOS PREÇOS AO PRODUTOR - Café Robusta Vitória BC T 7</t>
  </si>
  <si>
    <t>EQUIVALENCIA EM REAIS</t>
  </si>
  <si>
    <t>AUSTRÁLIA</t>
  </si>
  <si>
    <t>Área Cultivada e Custeio</t>
  </si>
  <si>
    <t>Holanda</t>
  </si>
  <si>
    <t>Coréia</t>
  </si>
  <si>
    <r>
      <t>15,94</t>
    </r>
    <r>
      <rPr>
        <vertAlign val="superscript"/>
        <sz val="11"/>
        <rFont val="Arial"/>
        <family val="2"/>
      </rPr>
      <t>(5)</t>
    </r>
  </si>
  <si>
    <t>(5) Estoques em 31/03/15 - Conab</t>
  </si>
  <si>
    <t>Principais Países Produtores de Café</t>
  </si>
  <si>
    <t>Principais Países Importadores de Café do Brasil</t>
  </si>
  <si>
    <t>Estatísticas de Produtores &amp; Importadores de Café</t>
  </si>
  <si>
    <t>Em 2014</t>
  </si>
  <si>
    <t>Em 2015</t>
  </si>
  <si>
    <t>CUSTO DE PRODUÇÃO x PREÇOS MÉDIOS DE MERCADO - Safra 2014/2015</t>
  </si>
  <si>
    <t>Custos a preços de abril/2014 &amp; Preços Médios Pagos ao Produtor em 2015</t>
  </si>
  <si>
    <r>
      <t>6. Part. na Produção Mundial</t>
    </r>
    <r>
      <rPr>
        <sz val="10"/>
        <rFont val="Arial"/>
        <family val="2"/>
      </rPr>
      <t xml:space="preserve"> (%)</t>
    </r>
  </si>
  <si>
    <t>Ano 17</t>
  </si>
  <si>
    <t>Planilha 01</t>
  </si>
  <si>
    <t>Planilha 02</t>
  </si>
  <si>
    <t>Planilha 03</t>
  </si>
  <si>
    <t>Planilha 04</t>
  </si>
  <si>
    <t>Planilha 05</t>
  </si>
  <si>
    <t>Planilha 06</t>
  </si>
  <si>
    <t>Planilha 07</t>
  </si>
  <si>
    <t>Planilha 08</t>
  </si>
  <si>
    <t>Planilha 09</t>
  </si>
  <si>
    <t>Planilha 10</t>
  </si>
  <si>
    <t>Planilha 11</t>
  </si>
  <si>
    <t>Planilha 12</t>
  </si>
  <si>
    <t>Planilha 13</t>
  </si>
  <si>
    <t>Planilha 14</t>
  </si>
  <si>
    <t>Planilha 15</t>
  </si>
  <si>
    <t>Planilha 16</t>
  </si>
  <si>
    <t>Planilha 17</t>
  </si>
  <si>
    <t>Planilha 18</t>
  </si>
  <si>
    <t>Planilha 19</t>
  </si>
  <si>
    <t>Planilha 20</t>
  </si>
  <si>
    <t>Planilha 21</t>
  </si>
  <si>
    <t>Planilha 22</t>
  </si>
  <si>
    <t>Planilha 23</t>
  </si>
  <si>
    <t>Safra 2015/16 e Safra 2016/17</t>
  </si>
  <si>
    <t>Safra 2014/15 e Safra 2015/16</t>
  </si>
  <si>
    <t>Safra 2013/14 e Safra 2014/15</t>
  </si>
  <si>
    <t>Janeiro de 2016</t>
  </si>
  <si>
    <t xml:space="preserve">03. Indicadores de Desempenho da Cafeicultura Brasileira - 2006 a 2015  </t>
  </si>
  <si>
    <t>04. Estoques Privados e Públicos de Café no Brasil</t>
  </si>
  <si>
    <t>06. Acompanhamento Semanal de Preços Internos e Externos</t>
  </si>
  <si>
    <t xml:space="preserve">07. Cotação Mensal dos Preços de Cafés Recebidos pelos Produtores  </t>
  </si>
  <si>
    <t>05. Série Histórica da Produção Nacional de Café - 2001 a 2016</t>
  </si>
  <si>
    <t>08. Exportação do Agronegócio Brasileiro - Ranking dos Principais Produtos - 2015</t>
  </si>
  <si>
    <t>09. Exportação do Agronegócio Brasileiro - Ranking dos Principais Produtos - Comparativo Acumulado 2015/2016</t>
  </si>
  <si>
    <t>11. Exportações Brasileiras de Café</t>
  </si>
  <si>
    <t>12. Exportações Brasileiras de Café Verde</t>
  </si>
  <si>
    <t>13. Exportações Brasileiras de Café Solúvel</t>
  </si>
  <si>
    <t>14. Exportações Brasileiras de Café Torrado e Moído</t>
  </si>
  <si>
    <t>15. Exportações Brasileiras de Outros Extratos, Concentrado de Café</t>
  </si>
  <si>
    <t>16. Total das Exportações Brasileiras de Cafés</t>
  </si>
  <si>
    <t>18. Custos de Produção</t>
  </si>
  <si>
    <t>19. Preços Mínimos</t>
  </si>
  <si>
    <t>20. Estimativa da Safra - 2016;</t>
  </si>
  <si>
    <t>21. Estimativa da Safra - 2015</t>
  </si>
  <si>
    <t>22. Estimativa da Safra - 2014</t>
  </si>
  <si>
    <t xml:space="preserve">23. Produção, Exportação e Consumo Mundial de Café (RANKING) </t>
  </si>
  <si>
    <t xml:space="preserve">01. Estatísticas de Produtores &amp; Importadores de Café (produção, exportação e consumo mundial) </t>
  </si>
  <si>
    <t>02. Área cultivada e Financiamento da Safra</t>
  </si>
  <si>
    <t>10. Importações Brasileiras de Café.</t>
  </si>
  <si>
    <t>17. Total das Exportações Brasileiras por Destinos - União Européia e Princiais Importadores</t>
  </si>
  <si>
    <t>Esplanada dos Ministérios, Bloco "D", 6º andar sala 644</t>
  </si>
  <si>
    <t>C. Marfim</t>
  </si>
  <si>
    <t>2015 - em milhões de sacas</t>
  </si>
  <si>
    <t>Equador</t>
  </si>
  <si>
    <t>Kenia</t>
  </si>
  <si>
    <t>04 a 08/01</t>
  </si>
  <si>
    <t>18 a 22/01</t>
  </si>
  <si>
    <t>Produtividade</t>
  </si>
  <si>
    <t>Fonte: Conab - Levantamentos de Dez/2015 e Jan/2016</t>
  </si>
  <si>
    <t xml:space="preserve">     Fonte: Conab - Incluindo divulgação de JAN/2016</t>
  </si>
  <si>
    <t xml:space="preserve">Tipo 6 BD </t>
  </si>
  <si>
    <t>CAFÉ - Média Mensal dos Preços Recebidos pelos Produtores - 2014/2015/2016</t>
  </si>
  <si>
    <t>*CEPEA-ESALQ/BM&amp;F; **Boletim de Comércio de Café de Minas Gerais (CCCMG); e ***Boletim do Centro do Comércio de Vitória (CCV); (+)nova fonte e tipo a partir de Setembro/15.</t>
  </si>
  <si>
    <t>Jan de 2015</t>
  </si>
  <si>
    <t>Jan de 2016</t>
  </si>
  <si>
    <t>2015</t>
  </si>
  <si>
    <t>RANKING POR VALORES DE 2015 e 2014</t>
  </si>
  <si>
    <t>RANKING POR VALORES DE 2016 e 2015</t>
  </si>
  <si>
    <r>
      <rPr>
        <b/>
        <sz val="10"/>
        <rFont val="Arial"/>
        <family val="2"/>
      </rPr>
      <t>Robusta</t>
    </r>
    <r>
      <rPr>
        <sz val="10"/>
        <rFont val="Arial"/>
        <family val="2"/>
      </rPr>
      <t xml:space="preserve"> (sacas/ha)</t>
    </r>
  </si>
  <si>
    <r>
      <rPr>
        <b/>
        <sz val="10"/>
        <rFont val="Arial"/>
        <family val="2"/>
      </rPr>
      <t>Arábica</t>
    </r>
    <r>
      <rPr>
        <sz val="10"/>
        <rFont val="Arial"/>
        <family val="2"/>
      </rPr>
      <t xml:space="preserve"> (sacas/ha)</t>
    </r>
  </si>
  <si>
    <t>*2015</t>
  </si>
  <si>
    <t>Fonte e Elaboração: CONAB (2016 = ponto médio)</t>
  </si>
  <si>
    <t>R. Sul -  474.611 há - 21,60 sacas</t>
  </si>
  <si>
    <t>R. Cerrado    -  170.634 há - 24,80 sacas</t>
  </si>
  <si>
    <t>R. Zona da Mata - 288.336 há - 23,25 sacas</t>
  </si>
  <si>
    <t>Jan/2016</t>
  </si>
  <si>
    <t>Jan/2015</t>
  </si>
  <si>
    <t>(16/15)</t>
  </si>
  <si>
    <t>Acumulado/6 meses</t>
  </si>
  <si>
    <t>Acumulado/12 meses</t>
  </si>
  <si>
    <t xml:space="preserve"> </t>
  </si>
  <si>
    <t>a 2015</t>
  </si>
  <si>
    <t>MALÁSIA</t>
  </si>
  <si>
    <t>SÍRIA</t>
  </si>
  <si>
    <t>PORTUGAL</t>
  </si>
  <si>
    <t>LÍBANO</t>
  </si>
  <si>
    <t>ISRAEL</t>
  </si>
  <si>
    <t>EQUADOR</t>
  </si>
  <si>
    <t>BULGÁRIA</t>
  </si>
  <si>
    <t>DINAMARCA</t>
  </si>
  <si>
    <r>
      <t>50,5</t>
    </r>
    <r>
      <rPr>
        <vertAlign val="superscript"/>
        <sz val="11"/>
        <rFont val="Arial"/>
        <family val="2"/>
      </rPr>
      <t>(1)</t>
    </r>
  </si>
  <si>
    <t>(1) Com base no 1ª Estimativa da Safra de Café da CONAB - Jan/16</t>
  </si>
  <si>
    <t>(2) Mês de Jan/16</t>
  </si>
  <si>
    <r>
      <t>2,75</t>
    </r>
    <r>
      <rPr>
        <vertAlign val="superscript"/>
        <sz val="11"/>
        <rFont val="Arial"/>
        <family val="2"/>
      </rPr>
      <t>(2)</t>
    </r>
  </si>
  <si>
    <r>
      <t>20,5</t>
    </r>
    <r>
      <rPr>
        <vertAlign val="superscript"/>
        <sz val="11"/>
        <rFont val="Arial"/>
        <family val="2"/>
      </rPr>
      <t>(3)</t>
    </r>
  </si>
  <si>
    <t>(3) Estimativa ABIC</t>
  </si>
  <si>
    <r>
      <t>35,2</t>
    </r>
    <r>
      <rPr>
        <vertAlign val="superscript"/>
        <sz val="11"/>
        <rFont val="Arial"/>
        <family val="2"/>
      </rPr>
      <t>(4)</t>
    </r>
  </si>
  <si>
    <t>(4) Produção Mundial estimada em 143,4</t>
  </si>
  <si>
    <r>
      <t>8,1</t>
    </r>
    <r>
      <rPr>
        <vertAlign val="superscript"/>
        <sz val="11"/>
        <rFont val="Arial"/>
        <family val="2"/>
      </rPr>
      <t>(2)</t>
    </r>
  </si>
  <si>
    <r>
      <t>491,31</t>
    </r>
    <r>
      <rPr>
        <vertAlign val="superscript"/>
        <sz val="11"/>
        <rFont val="Arial"/>
        <family val="2"/>
      </rPr>
      <t>(2)</t>
    </r>
  </si>
  <si>
    <t>INFORMES ESTATÍSTICOS DO CAFÉ</t>
  </si>
</sst>
</file>

<file path=xl/styles.xml><?xml version="1.0" encoding="utf-8"?>
<styleSheet xmlns="http://schemas.openxmlformats.org/spreadsheetml/2006/main">
  <numFmts count="17">
    <numFmt numFmtId="43" formatCode="_-* #,##0.00_-;\-* #,##0.00_-;_-* &quot;-&quot;??_-;_-@_-"/>
    <numFmt numFmtId="164" formatCode="_(* #,##0.00_);_(* \(#,##0.00\);_(* &quot;-&quot;??_);_(@_)"/>
    <numFmt numFmtId="165" formatCode="0.0"/>
    <numFmt numFmtId="166" formatCode="_(* #,##0.0_);_(* \(#,##0.0\);_(* &quot;-&quot;??_);_(@_)"/>
    <numFmt numFmtId="167" formatCode="#,##0.0"/>
    <numFmt numFmtId="168" formatCode="_(* #,##0_);_(* \(#,##0\);_(* &quot;-&quot;??_);_(@_)"/>
    <numFmt numFmtId="169" formatCode="dd/mm/yy"/>
    <numFmt numFmtId="170" formatCode="_-* #,##0_-;\-* #,##0_-;_-* &quot;-&quot;??_-;_-@_-"/>
    <numFmt numFmtId="171" formatCode="0.0%"/>
    <numFmt numFmtId="172" formatCode="#,##0;[Red]\-#,##0;_(* &quot;---&quot;_);_(@_)"/>
    <numFmt numFmtId="173" formatCode="_(* #,##0_);_(* \(#,##0\);_(* \-?_);_(@_)"/>
    <numFmt numFmtId="174" formatCode="#,##0.00\ _$;\-#,##0.00\ _$"/>
    <numFmt numFmtId="175" formatCode="_(* #,##0.0_);_(* \(#,##0.0\);_(* \-?_);_(@_)"/>
    <numFmt numFmtId="176" formatCode="_(* #,##0.0_);_(* \(#,##0.0\);_(* &quot;-&quot;_);_(@_)"/>
    <numFmt numFmtId="177" formatCode="d/m/yy"/>
    <numFmt numFmtId="178" formatCode="_(* #,##0_);_(* \(#,##0\);_(* &quot;-&quot;_);_(@_)"/>
    <numFmt numFmtId="179" formatCode="_(* #,##0.000_);_(* \(#,##0.000\);_(* &quot;-&quot;??_);_(@_)"/>
  </numFmts>
  <fonts count="65">
    <font>
      <sz val="10"/>
      <name val="Arial"/>
    </font>
    <font>
      <sz val="10"/>
      <name val="Arial"/>
      <family val="2"/>
    </font>
    <font>
      <sz val="12"/>
      <name val="Times New Roman"/>
      <family val="1"/>
    </font>
    <font>
      <b/>
      <sz val="12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4"/>
      <name val="Times New Roman"/>
      <family val="1"/>
    </font>
    <font>
      <b/>
      <sz val="11"/>
      <name val="Arial"/>
      <family val="2"/>
    </font>
    <font>
      <b/>
      <sz val="10"/>
      <name val="Arial"/>
      <family val="2"/>
    </font>
    <font>
      <sz val="10"/>
      <color indexed="11"/>
      <name val="Arial"/>
      <family val="2"/>
    </font>
    <font>
      <sz val="10"/>
      <name val="Times New Roman"/>
      <family val="1"/>
    </font>
    <font>
      <sz val="12"/>
      <color indexed="12"/>
      <name val="Times New Roman"/>
      <family val="1"/>
    </font>
    <font>
      <sz val="8"/>
      <name val="Arial"/>
      <family val="2"/>
    </font>
    <font>
      <sz val="9"/>
      <name val="Arial"/>
      <family val="2"/>
    </font>
    <font>
      <b/>
      <sz val="10"/>
      <name val="Arial Narrow"/>
      <family val="2"/>
    </font>
    <font>
      <sz val="10"/>
      <name val="Arial Narrow"/>
      <family val="2"/>
    </font>
    <font>
      <sz val="9"/>
      <name val="Arial Narrow"/>
      <family val="2"/>
    </font>
    <font>
      <sz val="10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sz val="7"/>
      <name val="Arial"/>
      <family val="2"/>
    </font>
    <font>
      <sz val="6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i/>
      <sz val="9"/>
      <color indexed="8"/>
      <name val="Arial"/>
      <family val="2"/>
    </font>
    <font>
      <u/>
      <sz val="10"/>
      <color indexed="12"/>
      <name val="Arial"/>
      <family val="2"/>
    </font>
    <font>
      <b/>
      <u/>
      <sz val="12"/>
      <name val="Arial"/>
      <family val="2"/>
    </font>
    <font>
      <b/>
      <u/>
      <sz val="11"/>
      <name val="Arial"/>
      <family val="2"/>
    </font>
    <font>
      <u/>
      <sz val="11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  <font>
      <b/>
      <sz val="10"/>
      <name val="Arial Black"/>
      <family val="2"/>
    </font>
    <font>
      <b/>
      <sz val="7.5"/>
      <name val="Arial"/>
      <family val="2"/>
    </font>
    <font>
      <b/>
      <sz val="10"/>
      <name val="Palatino Linotype"/>
      <family val="1"/>
    </font>
    <font>
      <b/>
      <sz val="9"/>
      <name val="Palatino Linotype"/>
      <family val="1"/>
    </font>
    <font>
      <i/>
      <sz val="10"/>
      <name val="Arial"/>
      <family val="2"/>
    </font>
    <font>
      <b/>
      <sz val="12"/>
      <color indexed="12"/>
      <name val="Arial"/>
      <family val="2"/>
    </font>
    <font>
      <sz val="11"/>
      <color indexed="12"/>
      <name val="Times New Roman"/>
      <family val="1"/>
    </font>
    <font>
      <sz val="9"/>
      <color indexed="12"/>
      <name val="Times New Roman"/>
      <family val="1"/>
    </font>
    <font>
      <sz val="10"/>
      <name val="Arial"/>
      <family val="2"/>
    </font>
    <font>
      <sz val="10"/>
      <name val="Arial"/>
      <family val="2"/>
    </font>
    <font>
      <b/>
      <sz val="14"/>
      <color indexed="10"/>
      <name val="Arial"/>
      <family val="2"/>
    </font>
    <font>
      <u/>
      <sz val="7.5"/>
      <color indexed="12"/>
      <name val="Arial"/>
      <family val="2"/>
    </font>
    <font>
      <b/>
      <u/>
      <sz val="10"/>
      <name val="Arial"/>
      <family val="2"/>
    </font>
    <font>
      <sz val="10"/>
      <color theme="0" tint="-0.14999847407452621"/>
      <name val="Arial"/>
      <family val="2"/>
    </font>
    <font>
      <b/>
      <i/>
      <sz val="11"/>
      <color theme="1"/>
      <name val="Arial"/>
      <family val="2"/>
    </font>
    <font>
      <sz val="11"/>
      <color theme="1"/>
      <name val="Arial"/>
      <family val="2"/>
    </font>
    <font>
      <i/>
      <sz val="10"/>
      <color theme="1"/>
      <name val="Arial"/>
      <family val="2"/>
    </font>
    <font>
      <b/>
      <sz val="12"/>
      <name val="Times New Roman"/>
      <family val="1"/>
    </font>
    <font>
      <sz val="10"/>
      <color indexed="12"/>
      <name val="Arial"/>
      <family val="2"/>
    </font>
    <font>
      <sz val="10"/>
      <color rgb="FFFF0000"/>
      <name val="Arial"/>
      <family val="2"/>
    </font>
    <font>
      <sz val="11"/>
      <color rgb="FFFF0000"/>
      <name val="Arial"/>
      <family val="2"/>
    </font>
    <font>
      <b/>
      <sz val="11"/>
      <color rgb="FFFF0000"/>
      <name val="Arial"/>
      <family val="2"/>
    </font>
    <font>
      <b/>
      <sz val="10"/>
      <color rgb="FFFF0000"/>
      <name val="Arial"/>
      <family val="2"/>
    </font>
    <font>
      <b/>
      <sz val="12"/>
      <color theme="3" tint="0.39997558519241921"/>
      <name val="Arial"/>
      <family val="2"/>
    </font>
    <font>
      <b/>
      <sz val="10"/>
      <color theme="3" tint="0.39997558519241921"/>
      <name val="Arial"/>
      <family val="2"/>
    </font>
    <font>
      <vertAlign val="superscript"/>
      <sz val="11"/>
      <name val="Arial"/>
      <family val="2"/>
    </font>
    <font>
      <b/>
      <sz val="14"/>
      <color rgb="FFFF0000"/>
      <name val="Arial"/>
      <family val="2"/>
    </font>
    <font>
      <b/>
      <i/>
      <sz val="10"/>
      <color indexed="8"/>
      <name val="Arial"/>
      <family val="2"/>
    </font>
    <font>
      <sz val="10"/>
      <color rgb="FF0070C0"/>
      <name val="Arial"/>
      <family val="2"/>
    </font>
    <font>
      <sz val="11"/>
      <color rgb="FF0070C0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lightGray">
        <fgColor indexed="50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59999389629810485"/>
        <bgColor theme="4" tint="0.59999389629810485"/>
      </patternFill>
    </fill>
    <fill>
      <patternFill patternType="solid">
        <fgColor theme="8" tint="0.79998168889431442"/>
        <bgColor theme="4" tint="0.79998168889431442"/>
      </patternFill>
    </fill>
    <fill>
      <patternFill patternType="solid">
        <fgColor theme="8" tint="0.79998168889431442"/>
        <bgColor theme="4" tint="0.59999389629810485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59999389629810485"/>
        <bgColor indexed="64"/>
      </patternFill>
    </fill>
  </fills>
  <borders count="11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hair">
        <color indexed="8"/>
      </bottom>
      <diagonal/>
    </border>
    <border>
      <left style="thin">
        <color indexed="64"/>
      </left>
      <right style="thin">
        <color indexed="64"/>
      </right>
      <top/>
      <bottom style="hair">
        <color indexed="8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/>
      <right style="thin">
        <color indexed="64"/>
      </right>
      <top style="hair">
        <color indexed="8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8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/>
      <top style="hair">
        <color indexed="8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8"/>
      </top>
      <bottom style="hair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8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thin">
        <color indexed="64"/>
      </right>
      <top style="hair">
        <color indexed="8"/>
      </top>
      <bottom/>
      <diagonal/>
    </border>
    <border>
      <left style="medium">
        <color indexed="64"/>
      </left>
      <right style="thin">
        <color indexed="64"/>
      </right>
      <top style="hair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8"/>
      </bottom>
      <diagonal/>
    </border>
    <border>
      <left/>
      <right style="thin">
        <color indexed="64"/>
      </right>
      <top style="hair">
        <color indexed="8"/>
      </top>
      <bottom/>
      <diagonal/>
    </border>
    <border>
      <left/>
      <right style="thin">
        <color indexed="64"/>
      </right>
      <top style="hair">
        <color indexed="8"/>
      </top>
      <bottom style="hair">
        <color indexed="8"/>
      </bottom>
      <diagonal/>
    </border>
    <border>
      <left/>
      <right style="medium">
        <color indexed="64"/>
      </right>
      <top style="hair">
        <color indexed="8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8"/>
      </bottom>
      <diagonal/>
    </border>
    <border>
      <left/>
      <right style="medium">
        <color indexed="64"/>
      </right>
      <top style="hair">
        <color indexed="8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8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8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</borders>
  <cellStyleXfs count="14">
    <xf numFmtId="0" fontId="0" fillId="0" borderId="0"/>
    <xf numFmtId="0" fontId="46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43" fillId="0" borderId="0"/>
    <xf numFmtId="0" fontId="18" fillId="0" borderId="0"/>
    <xf numFmtId="0" fontId="21" fillId="0" borderId="0"/>
    <xf numFmtId="0" fontId="44" fillId="0" borderId="0"/>
    <xf numFmtId="0" fontId="13" fillId="0" borderId="0"/>
    <xf numFmtId="0" fontId="13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6" fillId="0" borderId="0"/>
  </cellStyleXfs>
  <cellXfs count="1344">
    <xf numFmtId="0" fontId="0" fillId="0" borderId="0" xfId="0"/>
    <xf numFmtId="0" fontId="4" fillId="0" borderId="0" xfId="0" applyFont="1"/>
    <xf numFmtId="0" fontId="5" fillId="0" borderId="0" xfId="0" applyFont="1"/>
    <xf numFmtId="0" fontId="6" fillId="0" borderId="0" xfId="0" applyFont="1"/>
    <xf numFmtId="0" fontId="0" fillId="0" borderId="0" xfId="0" applyBorder="1"/>
    <xf numFmtId="0" fontId="0" fillId="2" borderId="0" xfId="0" applyFill="1"/>
    <xf numFmtId="0" fontId="6" fillId="0" borderId="0" xfId="0" applyFont="1" applyBorder="1"/>
    <xf numFmtId="170" fontId="6" fillId="0" borderId="3" xfId="11" applyNumberFormat="1" applyFont="1" applyBorder="1"/>
    <xf numFmtId="170" fontId="6" fillId="0" borderId="4" xfId="11" applyNumberFormat="1" applyFont="1" applyBorder="1"/>
    <xf numFmtId="170" fontId="6" fillId="0" borderId="3" xfId="10" applyNumberFormat="1" applyFont="1" applyBorder="1"/>
    <xf numFmtId="2" fontId="6" fillId="0" borderId="0" xfId="0" applyNumberFormat="1" applyFont="1" applyBorder="1" applyAlignment="1">
      <alignment horizontal="center"/>
    </xf>
    <xf numFmtId="49" fontId="20" fillId="4" borderId="4" xfId="7" applyNumberFormat="1" applyFont="1" applyFill="1" applyBorder="1" applyAlignment="1">
      <alignment horizontal="center" vertical="center" wrapText="1"/>
    </xf>
    <xf numFmtId="49" fontId="20" fillId="4" borderId="3" xfId="7" applyNumberFormat="1" applyFont="1" applyFill="1" applyBorder="1" applyAlignment="1">
      <alignment horizontal="center" vertical="center" wrapText="1"/>
    </xf>
    <xf numFmtId="49" fontId="27" fillId="4" borderId="10" xfId="8" applyNumberFormat="1" applyFont="1" applyFill="1" applyBorder="1" applyAlignment="1">
      <alignment horizontal="left" vertical="center" indent="1"/>
    </xf>
    <xf numFmtId="49" fontId="27" fillId="4" borderId="3" xfId="8" applyNumberFormat="1" applyFont="1" applyFill="1" applyBorder="1" applyAlignment="1">
      <alignment horizontal="left" vertical="center" indent="1"/>
    </xf>
    <xf numFmtId="172" fontId="27" fillId="4" borderId="3" xfId="8" applyNumberFormat="1" applyFont="1" applyFill="1" applyBorder="1" applyAlignment="1">
      <alignment vertical="center"/>
    </xf>
    <xf numFmtId="168" fontId="6" fillId="0" borderId="10" xfId="10" applyNumberFormat="1" applyFont="1" applyBorder="1" applyAlignment="1">
      <alignment horizontal="left" vertical="center"/>
    </xf>
    <xf numFmtId="168" fontId="6" fillId="0" borderId="3" xfId="10" applyNumberFormat="1" applyFont="1" applyBorder="1" applyAlignment="1">
      <alignment horizontal="center" vertical="center"/>
    </xf>
    <xf numFmtId="1" fontId="6" fillId="0" borderId="0" xfId="0" applyNumberFormat="1" applyFont="1"/>
    <xf numFmtId="168" fontId="6" fillId="0" borderId="10" xfId="10" applyNumberFormat="1" applyFont="1" applyBorder="1"/>
    <xf numFmtId="168" fontId="6" fillId="0" borderId="3" xfId="10" applyNumberFormat="1" applyFont="1" applyBorder="1"/>
    <xf numFmtId="164" fontId="6" fillId="2" borderId="3" xfId="10" quotePrefix="1" applyNumberFormat="1" applyFont="1" applyFill="1" applyBorder="1" applyAlignment="1">
      <alignment horizontal="right"/>
    </xf>
    <xf numFmtId="4" fontId="6" fillId="0" borderId="3" xfId="0" applyNumberFormat="1" applyFont="1" applyBorder="1"/>
    <xf numFmtId="4" fontId="6" fillId="0" borderId="4" xfId="0" applyNumberFormat="1" applyFont="1" applyBorder="1"/>
    <xf numFmtId="168" fontId="6" fillId="0" borderId="10" xfId="10" applyNumberFormat="1" applyFont="1" applyBorder="1" applyAlignment="1">
      <alignment horizontal="left"/>
    </xf>
    <xf numFmtId="1" fontId="6" fillId="0" borderId="0" xfId="0" applyNumberFormat="1" applyFont="1" applyBorder="1"/>
    <xf numFmtId="0" fontId="22" fillId="0" borderId="0" xfId="0" applyFont="1" applyBorder="1"/>
    <xf numFmtId="168" fontId="6" fillId="2" borderId="3" xfId="10" quotePrefix="1" applyNumberFormat="1" applyFont="1" applyFill="1" applyBorder="1" applyAlignment="1">
      <alignment horizontal="right"/>
    </xf>
    <xf numFmtId="0" fontId="6" fillId="2" borderId="10" xfId="0" applyFont="1" applyFill="1" applyBorder="1"/>
    <xf numFmtId="168" fontId="6" fillId="2" borderId="3" xfId="10" applyNumberFormat="1" applyFont="1" applyFill="1" applyBorder="1"/>
    <xf numFmtId="0" fontId="6" fillId="0" borderId="0" xfId="0" applyFont="1" applyFill="1" applyBorder="1"/>
    <xf numFmtId="168" fontId="6" fillId="0" borderId="4" xfId="10" applyNumberFormat="1" applyFont="1" applyBorder="1"/>
    <xf numFmtId="0" fontId="6" fillId="0" borderId="0" xfId="0" applyFont="1" applyAlignment="1">
      <alignment vertical="center"/>
    </xf>
    <xf numFmtId="0" fontId="34" fillId="0" borderId="0" xfId="0" applyFont="1" applyFill="1"/>
    <xf numFmtId="0" fontId="6" fillId="0" borderId="0" xfId="0" applyFont="1" applyFill="1"/>
    <xf numFmtId="0" fontId="20" fillId="5" borderId="16" xfId="0" applyFont="1" applyFill="1" applyBorder="1" applyAlignment="1">
      <alignment horizontal="center" vertical="center"/>
    </xf>
    <xf numFmtId="0" fontId="20" fillId="5" borderId="3" xfId="0" applyFont="1" applyFill="1" applyBorder="1" applyAlignment="1">
      <alignment horizontal="center" vertical="center"/>
    </xf>
    <xf numFmtId="0" fontId="20" fillId="5" borderId="4" xfId="0" applyFont="1" applyFill="1" applyBorder="1" applyAlignment="1">
      <alignment horizontal="center" vertical="center"/>
    </xf>
    <xf numFmtId="168" fontId="6" fillId="0" borderId="5" xfId="10" applyNumberFormat="1" applyFont="1" applyFill="1" applyBorder="1"/>
    <xf numFmtId="164" fontId="6" fillId="0" borderId="9" xfId="10" applyNumberFormat="1" applyFont="1" applyFill="1" applyBorder="1"/>
    <xf numFmtId="164" fontId="6" fillId="0" borderId="0" xfId="10" applyNumberFormat="1" applyFont="1" applyFill="1" applyBorder="1"/>
    <xf numFmtId="164" fontId="34" fillId="0" borderId="0" xfId="0" applyNumberFormat="1" applyFont="1" applyFill="1"/>
    <xf numFmtId="168" fontId="6" fillId="0" borderId="8" xfId="10" applyNumberFormat="1" applyFont="1" applyFill="1" applyBorder="1"/>
    <xf numFmtId="168" fontId="6" fillId="0" borderId="12" xfId="10" applyNumberFormat="1" applyFont="1" applyFill="1" applyBorder="1"/>
    <xf numFmtId="164" fontId="6" fillId="0" borderId="13" xfId="10" applyNumberFormat="1" applyFont="1" applyFill="1" applyBorder="1"/>
    <xf numFmtId="164" fontId="6" fillId="0" borderId="11" xfId="10" applyNumberFormat="1" applyFont="1" applyFill="1" applyBorder="1"/>
    <xf numFmtId="0" fontId="23" fillId="0" borderId="0" xfId="0" applyFont="1" applyFill="1" applyBorder="1"/>
    <xf numFmtId="0" fontId="36" fillId="0" borderId="0" xfId="0" applyFont="1" applyFill="1" applyBorder="1" applyAlignment="1">
      <alignment horizontal="left" vertical="center"/>
    </xf>
    <xf numFmtId="0" fontId="20" fillId="5" borderId="5" xfId="0" applyFont="1" applyFill="1" applyBorder="1" applyAlignment="1">
      <alignment horizontal="center" vertical="center"/>
    </xf>
    <xf numFmtId="164" fontId="6" fillId="0" borderId="6" xfId="10" applyNumberFormat="1" applyFont="1" applyFill="1" applyBorder="1"/>
    <xf numFmtId="164" fontId="6" fillId="0" borderId="7" xfId="10" applyNumberFormat="1" applyFont="1" applyFill="1" applyBorder="1"/>
    <xf numFmtId="168" fontId="6" fillId="0" borderId="8" xfId="10" applyNumberFormat="1" applyFont="1" applyFill="1" applyBorder="1" applyAlignment="1">
      <alignment horizontal="center"/>
    </xf>
    <xf numFmtId="0" fontId="23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24" fillId="0" borderId="0" xfId="0" applyFont="1" applyFill="1" applyBorder="1" applyAlignment="1">
      <alignment horizontal="left" vertical="center"/>
    </xf>
    <xf numFmtId="0" fontId="34" fillId="0" borderId="0" xfId="0" applyFont="1" applyFill="1" applyBorder="1"/>
    <xf numFmtId="166" fontId="4" fillId="0" borderId="0" xfId="10" applyNumberFormat="1" applyFont="1" applyFill="1" applyBorder="1"/>
    <xf numFmtId="0" fontId="16" fillId="7" borderId="16" xfId="0" applyFont="1" applyFill="1" applyBorder="1" applyAlignment="1">
      <alignment horizontal="center"/>
    </xf>
    <xf numFmtId="0" fontId="15" fillId="7" borderId="17" xfId="0" applyFont="1" applyFill="1" applyBorder="1"/>
    <xf numFmtId="164" fontId="16" fillId="7" borderId="17" xfId="10" applyFont="1" applyFill="1" applyBorder="1"/>
    <xf numFmtId="0" fontId="15" fillId="7" borderId="16" xfId="0" applyFont="1" applyFill="1" applyBorder="1"/>
    <xf numFmtId="164" fontId="16" fillId="7" borderId="16" xfId="10" applyFont="1" applyFill="1" applyBorder="1"/>
    <xf numFmtId="0" fontId="15" fillId="7" borderId="15" xfId="0" applyFont="1" applyFill="1" applyBorder="1"/>
    <xf numFmtId="164" fontId="16" fillId="7" borderId="15" xfId="10" applyFont="1" applyFill="1" applyBorder="1"/>
    <xf numFmtId="0" fontId="10" fillId="8" borderId="0" xfId="0" applyFont="1" applyFill="1"/>
    <xf numFmtId="0" fontId="0" fillId="8" borderId="0" xfId="0" applyFill="1"/>
    <xf numFmtId="0" fontId="0" fillId="8" borderId="0" xfId="0" applyFill="1" applyBorder="1"/>
    <xf numFmtId="0" fontId="6" fillId="8" borderId="0" xfId="0" applyFont="1" applyFill="1"/>
    <xf numFmtId="0" fontId="0" fillId="8" borderId="9" xfId="0" applyFill="1" applyBorder="1"/>
    <xf numFmtId="0" fontId="17" fillId="8" borderId="0" xfId="0" applyFont="1" applyFill="1"/>
    <xf numFmtId="0" fontId="16" fillId="8" borderId="0" xfId="0" applyFont="1" applyFill="1"/>
    <xf numFmtId="0" fontId="15" fillId="9" borderId="5" xfId="0" applyFont="1" applyFill="1" applyBorder="1"/>
    <xf numFmtId="0" fontId="16" fillId="9" borderId="6" xfId="0" applyFont="1" applyFill="1" applyBorder="1"/>
    <xf numFmtId="0" fontId="16" fillId="9" borderId="12" xfId="0" applyFont="1" applyFill="1" applyBorder="1"/>
    <xf numFmtId="0" fontId="16" fillId="9" borderId="11" xfId="0" applyFont="1" applyFill="1" applyBorder="1"/>
    <xf numFmtId="0" fontId="16" fillId="9" borderId="13" xfId="0" applyFont="1" applyFill="1" applyBorder="1"/>
    <xf numFmtId="0" fontId="16" fillId="9" borderId="6" xfId="0" applyFont="1" applyFill="1" applyBorder="1" applyAlignment="1">
      <alignment horizontal="center"/>
    </xf>
    <xf numFmtId="0" fontId="16" fillId="9" borderId="16" xfId="0" applyFont="1" applyFill="1" applyBorder="1" applyAlignment="1">
      <alignment horizontal="center"/>
    </xf>
    <xf numFmtId="0" fontId="16" fillId="9" borderId="9" xfId="0" applyFont="1" applyFill="1" applyBorder="1" applyAlignment="1">
      <alignment horizontal="center"/>
    </xf>
    <xf numFmtId="0" fontId="16" fillId="9" borderId="15" xfId="0" applyFont="1" applyFill="1" applyBorder="1" applyAlignment="1">
      <alignment horizontal="center"/>
    </xf>
    <xf numFmtId="0" fontId="16" fillId="9" borderId="13" xfId="0" applyFont="1" applyFill="1" applyBorder="1" applyAlignment="1">
      <alignment horizontal="center"/>
    </xf>
    <xf numFmtId="0" fontId="16" fillId="9" borderId="17" xfId="0" applyFont="1" applyFill="1" applyBorder="1"/>
    <xf numFmtId="0" fontId="15" fillId="9" borderId="12" xfId="0" applyFont="1" applyFill="1" applyBorder="1"/>
    <xf numFmtId="0" fontId="6" fillId="9" borderId="16" xfId="0" applyFont="1" applyFill="1" applyBorder="1"/>
    <xf numFmtId="0" fontId="6" fillId="9" borderId="9" xfId="0" applyFont="1" applyFill="1" applyBorder="1"/>
    <xf numFmtId="0" fontId="15" fillId="9" borderId="17" xfId="0" applyFont="1" applyFill="1" applyBorder="1"/>
    <xf numFmtId="0" fontId="16" fillId="9" borderId="17" xfId="0" applyFont="1" applyFill="1" applyBorder="1" applyAlignment="1">
      <alignment horizontal="center"/>
    </xf>
    <xf numFmtId="164" fontId="16" fillId="9" borderId="17" xfId="10" applyFont="1" applyFill="1" applyBorder="1"/>
    <xf numFmtId="164" fontId="16" fillId="9" borderId="17" xfId="10" applyNumberFormat="1" applyFont="1" applyFill="1" applyBorder="1"/>
    <xf numFmtId="164" fontId="16" fillId="9" borderId="17" xfId="10" applyNumberFormat="1" applyFont="1" applyFill="1" applyBorder="1" applyAlignment="1">
      <alignment vertical="center"/>
    </xf>
    <xf numFmtId="164" fontId="15" fillId="9" borderId="9" xfId="10" applyFont="1" applyFill="1" applyBorder="1" applyAlignment="1">
      <alignment vertical="center"/>
    </xf>
    <xf numFmtId="0" fontId="16" fillId="9" borderId="15" xfId="0" applyFont="1" applyFill="1" applyBorder="1"/>
    <xf numFmtId="164" fontId="16" fillId="9" borderId="15" xfId="10" applyNumberFormat="1" applyFont="1" applyFill="1" applyBorder="1"/>
    <xf numFmtId="164" fontId="16" fillId="9" borderId="15" xfId="10" applyNumberFormat="1" applyFont="1" applyFill="1" applyBorder="1" applyAlignment="1">
      <alignment vertical="center"/>
    </xf>
    <xf numFmtId="0" fontId="16" fillId="9" borderId="11" xfId="0" applyFont="1" applyFill="1" applyBorder="1" applyAlignment="1">
      <alignment horizontal="center"/>
    </xf>
    <xf numFmtId="0" fontId="16" fillId="9" borderId="13" xfId="0" applyFont="1" applyFill="1" applyBorder="1" applyAlignment="1">
      <alignment vertical="center"/>
    </xf>
    <xf numFmtId="0" fontId="6" fillId="9" borderId="17" xfId="0" applyFont="1" applyFill="1" applyBorder="1"/>
    <xf numFmtId="0" fontId="15" fillId="9" borderId="17" xfId="0" applyFont="1" applyFill="1" applyBorder="1" applyAlignment="1">
      <alignment horizontal="center"/>
    </xf>
    <xf numFmtId="0" fontId="15" fillId="9" borderId="4" xfId="0" applyFont="1" applyFill="1" applyBorder="1"/>
    <xf numFmtId="0" fontId="16" fillId="9" borderId="14" xfId="0" applyFont="1" applyFill="1" applyBorder="1" applyAlignment="1">
      <alignment horizontal="center"/>
    </xf>
    <xf numFmtId="0" fontId="16" fillId="9" borderId="14" xfId="0" applyFont="1" applyFill="1" applyBorder="1"/>
    <xf numFmtId="0" fontId="16" fillId="9" borderId="10" xfId="0" applyFont="1" applyFill="1" applyBorder="1" applyAlignment="1">
      <alignment vertical="center"/>
    </xf>
    <xf numFmtId="0" fontId="16" fillId="9" borderId="8" xfId="0" applyFont="1" applyFill="1" applyBorder="1"/>
    <xf numFmtId="0" fontId="7" fillId="9" borderId="0" xfId="0" applyFont="1" applyFill="1" applyBorder="1" applyAlignment="1">
      <alignment horizontal="center"/>
    </xf>
    <xf numFmtId="0" fontId="7" fillId="9" borderId="9" xfId="0" applyFont="1" applyFill="1" applyBorder="1" applyAlignment="1">
      <alignment horizontal="center"/>
    </xf>
    <xf numFmtId="0" fontId="7" fillId="9" borderId="8" xfId="0" applyFont="1" applyFill="1" applyBorder="1"/>
    <xf numFmtId="0" fontId="19" fillId="9" borderId="0" xfId="0" applyFont="1" applyFill="1" applyBorder="1"/>
    <xf numFmtId="0" fontId="4" fillId="9" borderId="0" xfId="0" applyFont="1" applyFill="1" applyBorder="1"/>
    <xf numFmtId="0" fontId="2" fillId="9" borderId="9" xfId="0" applyFont="1" applyFill="1" applyBorder="1"/>
    <xf numFmtId="0" fontId="2" fillId="9" borderId="8" xfId="0" applyFont="1" applyFill="1" applyBorder="1"/>
    <xf numFmtId="0" fontId="11" fillId="9" borderId="9" xfId="0" applyFont="1" applyFill="1" applyBorder="1" applyAlignment="1">
      <alignment horizontal="right"/>
    </xf>
    <xf numFmtId="166" fontId="4" fillId="9" borderId="9" xfId="10" applyNumberFormat="1" applyFont="1" applyFill="1" applyBorder="1"/>
    <xf numFmtId="166" fontId="4" fillId="9" borderId="0" xfId="10" applyNumberFormat="1" applyFont="1" applyFill="1" applyBorder="1"/>
    <xf numFmtId="0" fontId="2" fillId="9" borderId="9" xfId="0" applyFont="1" applyFill="1" applyBorder="1" applyAlignment="1">
      <alignment horizontal="center"/>
    </xf>
    <xf numFmtId="0" fontId="4" fillId="9" borderId="9" xfId="0" applyFont="1" applyFill="1" applyBorder="1"/>
    <xf numFmtId="2" fontId="2" fillId="9" borderId="9" xfId="0" applyNumberFormat="1" applyFont="1" applyFill="1" applyBorder="1" applyAlignment="1">
      <alignment horizontal="center"/>
    </xf>
    <xf numFmtId="0" fontId="11" fillId="9" borderId="8" xfId="0" applyFont="1" applyFill="1" applyBorder="1"/>
    <xf numFmtId="0" fontId="11" fillId="9" borderId="9" xfId="0" applyFont="1" applyFill="1" applyBorder="1"/>
    <xf numFmtId="166" fontId="4" fillId="9" borderId="0" xfId="0" applyNumberFormat="1" applyFont="1" applyFill="1" applyBorder="1" applyAlignment="1">
      <alignment horizontal="center" vertical="center"/>
    </xf>
    <xf numFmtId="0" fontId="0" fillId="9" borderId="12" xfId="0" applyFill="1" applyBorder="1"/>
    <xf numFmtId="0" fontId="6" fillId="9" borderId="11" xfId="0" applyFont="1" applyFill="1" applyBorder="1"/>
    <xf numFmtId="0" fontId="0" fillId="9" borderId="11" xfId="0" applyFill="1" applyBorder="1"/>
    <xf numFmtId="0" fontId="48" fillId="0" borderId="0" xfId="0" applyFont="1"/>
    <xf numFmtId="0" fontId="0" fillId="8" borderId="8" xfId="0" applyFill="1" applyBorder="1"/>
    <xf numFmtId="0" fontId="0" fillId="8" borderId="7" xfId="0" applyFill="1" applyBorder="1"/>
    <xf numFmtId="0" fontId="4" fillId="9" borderId="0" xfId="0" applyFont="1" applyFill="1" applyBorder="1" applyAlignment="1">
      <alignment vertical="center"/>
    </xf>
    <xf numFmtId="166" fontId="4" fillId="9" borderId="0" xfId="10" applyNumberFormat="1" applyFont="1" applyFill="1" applyBorder="1" applyAlignment="1">
      <alignment horizontal="center" vertical="center"/>
    </xf>
    <xf numFmtId="0" fontId="16" fillId="7" borderId="3" xfId="0" applyFont="1" applyFill="1" applyBorder="1" applyAlignment="1">
      <alignment horizontal="center"/>
    </xf>
    <xf numFmtId="0" fontId="0" fillId="7" borderId="3" xfId="0" applyFill="1" applyBorder="1"/>
    <xf numFmtId="174" fontId="37" fillId="0" borderId="0" xfId="0" applyNumberFormat="1" applyFont="1" applyBorder="1" applyAlignment="1">
      <alignment horizontal="center"/>
    </xf>
    <xf numFmtId="16" fontId="38" fillId="0" borderId="0" xfId="0" applyNumberFormat="1" applyFont="1" applyBorder="1" applyAlignment="1">
      <alignment horizontal="center"/>
    </xf>
    <xf numFmtId="0" fontId="37" fillId="0" borderId="0" xfId="0" applyNumberFormat="1" applyFont="1" applyBorder="1" applyAlignment="1">
      <alignment horizontal="center"/>
    </xf>
    <xf numFmtId="16" fontId="37" fillId="0" borderId="0" xfId="0" quotePrefix="1" applyNumberFormat="1" applyFont="1" applyBorder="1" applyAlignment="1">
      <alignment horizontal="center"/>
    </xf>
    <xf numFmtId="0" fontId="0" fillId="9" borderId="0" xfId="0" applyFill="1" applyBorder="1"/>
    <xf numFmtId="0" fontId="3" fillId="9" borderId="8" xfId="0" applyFont="1" applyFill="1" applyBorder="1" applyAlignment="1">
      <alignment horizontal="center"/>
    </xf>
    <xf numFmtId="0" fontId="14" fillId="9" borderId="0" xfId="5" applyFont="1" applyFill="1" applyBorder="1"/>
    <xf numFmtId="0" fontId="6" fillId="9" borderId="0" xfId="5" applyFont="1" applyFill="1" applyBorder="1"/>
    <xf numFmtId="166" fontId="4" fillId="9" borderId="9" xfId="0" applyNumberFormat="1" applyFont="1" applyFill="1" applyBorder="1" applyAlignment="1">
      <alignment horizontal="center" vertical="center"/>
    </xf>
    <xf numFmtId="0" fontId="0" fillId="9" borderId="9" xfId="0" applyFill="1" applyBorder="1"/>
    <xf numFmtId="0" fontId="0" fillId="9" borderId="13" xfId="0" applyFill="1" applyBorder="1"/>
    <xf numFmtId="0" fontId="0" fillId="10" borderId="0" xfId="0" applyFill="1"/>
    <xf numFmtId="0" fontId="6" fillId="9" borderId="0" xfId="0" applyFont="1" applyFill="1" applyBorder="1"/>
    <xf numFmtId="2" fontId="6" fillId="9" borderId="0" xfId="0" applyNumberFormat="1" applyFont="1" applyFill="1" applyBorder="1"/>
    <xf numFmtId="0" fontId="22" fillId="9" borderId="0" xfId="0" applyFont="1" applyFill="1" applyBorder="1" applyAlignment="1">
      <alignment horizontal="center"/>
    </xf>
    <xf numFmtId="0" fontId="8" fillId="9" borderId="8" xfId="0" applyFont="1" applyFill="1" applyBorder="1" applyAlignment="1"/>
    <xf numFmtId="0" fontId="8" fillId="9" borderId="0" xfId="0" applyFont="1" applyFill="1" applyBorder="1" applyAlignment="1"/>
    <xf numFmtId="0" fontId="6" fillId="9" borderId="8" xfId="0" applyFont="1" applyFill="1" applyBorder="1"/>
    <xf numFmtId="0" fontId="8" fillId="9" borderId="9" xfId="0" applyFont="1" applyFill="1" applyBorder="1" applyAlignment="1"/>
    <xf numFmtId="0" fontId="5" fillId="9" borderId="8" xfId="0" applyFont="1" applyFill="1" applyBorder="1"/>
    <xf numFmtId="0" fontId="5" fillId="9" borderId="0" xfId="0" applyFont="1" applyFill="1" applyBorder="1"/>
    <xf numFmtId="0" fontId="5" fillId="9" borderId="9" xfId="0" applyFont="1" applyFill="1" applyBorder="1"/>
    <xf numFmtId="0" fontId="5" fillId="9" borderId="0" xfId="0" applyFont="1" applyFill="1" applyBorder="1" applyAlignment="1"/>
    <xf numFmtId="165" fontId="5" fillId="9" borderId="0" xfId="0" applyNumberFormat="1" applyFont="1" applyFill="1" applyBorder="1" applyAlignment="1">
      <alignment horizontal="center" vertical="center"/>
    </xf>
    <xf numFmtId="0" fontId="5" fillId="8" borderId="0" xfId="0" applyFont="1" applyFill="1"/>
    <xf numFmtId="0" fontId="40" fillId="8" borderId="0" xfId="0" applyFont="1" applyFill="1" applyAlignment="1"/>
    <xf numFmtId="0" fontId="8" fillId="9" borderId="3" xfId="0" applyFont="1" applyFill="1" applyBorder="1" applyAlignment="1">
      <alignment horizontal="center" vertical="center"/>
    </xf>
    <xf numFmtId="0" fontId="8" fillId="11" borderId="5" xfId="0" applyFont="1" applyFill="1" applyBorder="1"/>
    <xf numFmtId="0" fontId="8" fillId="11" borderId="7" xfId="0" applyFont="1" applyFill="1" applyBorder="1" applyAlignment="1"/>
    <xf numFmtId="165" fontId="5" fillId="11" borderId="0" xfId="0" applyNumberFormat="1" applyFont="1" applyFill="1" applyBorder="1" applyAlignment="1">
      <alignment horizontal="center"/>
    </xf>
    <xf numFmtId="0" fontId="39" fillId="12" borderId="8" xfId="0" applyFont="1" applyFill="1" applyBorder="1"/>
    <xf numFmtId="165" fontId="5" fillId="12" borderId="0" xfId="0" applyNumberFormat="1" applyFont="1" applyFill="1" applyBorder="1" applyAlignment="1">
      <alignment horizontal="center"/>
    </xf>
    <xf numFmtId="0" fontId="5" fillId="12" borderId="0" xfId="0" applyFont="1" applyFill="1" applyBorder="1" applyAlignment="1">
      <alignment horizontal="center"/>
    </xf>
    <xf numFmtId="165" fontId="5" fillId="13" borderId="0" xfId="0" applyNumberFormat="1" applyFont="1" applyFill="1" applyBorder="1" applyAlignment="1">
      <alignment horizontal="center"/>
    </xf>
    <xf numFmtId="0" fontId="8" fillId="13" borderId="0" xfId="0" applyFont="1" applyFill="1" applyBorder="1" applyAlignment="1"/>
    <xf numFmtId="0" fontId="49" fillId="14" borderId="8" xfId="0" applyFont="1" applyFill="1" applyBorder="1"/>
    <xf numFmtId="165" fontId="50" fillId="14" borderId="0" xfId="0" applyNumberFormat="1" applyFont="1" applyFill="1" applyBorder="1" applyAlignment="1">
      <alignment horizontal="center"/>
    </xf>
    <xf numFmtId="0" fontId="51" fillId="15" borderId="8" xfId="0" applyFont="1" applyFill="1" applyBorder="1"/>
    <xf numFmtId="165" fontId="50" fillId="15" borderId="0" xfId="0" applyNumberFormat="1" applyFont="1" applyFill="1" applyBorder="1" applyAlignment="1">
      <alignment horizontal="center"/>
    </xf>
    <xf numFmtId="0" fontId="51" fillId="16" borderId="8" xfId="0" applyFont="1" applyFill="1" applyBorder="1"/>
    <xf numFmtId="2" fontId="50" fillId="16" borderId="0" xfId="0" applyNumberFormat="1" applyFont="1" applyFill="1" applyBorder="1" applyAlignment="1">
      <alignment horizontal="center"/>
    </xf>
    <xf numFmtId="0" fontId="8" fillId="13" borderId="8" xfId="0" applyFont="1" applyFill="1" applyBorder="1"/>
    <xf numFmtId="3" fontId="5" fillId="12" borderId="0" xfId="0" applyNumberFormat="1" applyFont="1" applyFill="1" applyBorder="1" applyAlignment="1">
      <alignment horizontal="center"/>
    </xf>
    <xf numFmtId="2" fontId="5" fillId="13" borderId="0" xfId="0" applyNumberFormat="1" applyFont="1" applyFill="1" applyBorder="1" applyAlignment="1">
      <alignment horizontal="center"/>
    </xf>
    <xf numFmtId="3" fontId="5" fillId="13" borderId="0" xfId="0" applyNumberFormat="1" applyFont="1" applyFill="1" applyBorder="1" applyAlignment="1">
      <alignment horizontal="center"/>
    </xf>
    <xf numFmtId="165" fontId="5" fillId="13" borderId="0" xfId="0" applyNumberFormat="1" applyFont="1" applyFill="1" applyBorder="1" applyAlignment="1">
      <alignment horizontal="center" vertical="center"/>
    </xf>
    <xf numFmtId="0" fontId="5" fillId="13" borderId="0" xfId="0" applyFont="1" applyFill="1" applyBorder="1"/>
    <xf numFmtId="0" fontId="8" fillId="13" borderId="9" xfId="0" applyFont="1" applyFill="1" applyBorder="1" applyAlignment="1"/>
    <xf numFmtId="0" fontId="5" fillId="13" borderId="9" xfId="0" applyFont="1" applyFill="1" applyBorder="1"/>
    <xf numFmtId="0" fontId="14" fillId="8" borderId="0" xfId="0" applyFont="1" applyFill="1"/>
    <xf numFmtId="0" fontId="8" fillId="11" borderId="6" xfId="0" applyFont="1" applyFill="1" applyBorder="1" applyAlignment="1"/>
    <xf numFmtId="0" fontId="0" fillId="9" borderId="8" xfId="0" applyFill="1" applyBorder="1"/>
    <xf numFmtId="0" fontId="25" fillId="9" borderId="11" xfId="8" applyFont="1" applyFill="1" applyBorder="1"/>
    <xf numFmtId="49" fontId="25" fillId="0" borderId="6" xfId="8" applyNumberFormat="1" applyFont="1" applyFill="1" applyBorder="1" applyAlignment="1">
      <alignment horizontal="left" vertical="center" indent="1"/>
    </xf>
    <xf numFmtId="49" fontId="25" fillId="0" borderId="9" xfId="8" applyNumberFormat="1" applyFont="1" applyFill="1" applyBorder="1" applyAlignment="1">
      <alignment horizontal="left" vertical="center" indent="1"/>
    </xf>
    <xf numFmtId="49" fontId="26" fillId="0" borderId="9" xfId="8" applyNumberFormat="1" applyFont="1" applyFill="1" applyBorder="1" applyAlignment="1">
      <alignment horizontal="left" vertical="center" indent="1"/>
    </xf>
    <xf numFmtId="49" fontId="25" fillId="0" borderId="13" xfId="8" applyNumberFormat="1" applyFont="1" applyFill="1" applyBorder="1" applyAlignment="1">
      <alignment horizontal="left" vertical="center" indent="1"/>
    </xf>
    <xf numFmtId="171" fontId="25" fillId="0" borderId="6" xfId="9" applyNumberFormat="1" applyFont="1" applyFill="1" applyBorder="1" applyAlignment="1">
      <alignment horizontal="right" vertical="center"/>
    </xf>
    <xf numFmtId="171" fontId="25" fillId="0" borderId="9" xfId="9" applyNumberFormat="1" applyFont="1" applyFill="1" applyBorder="1" applyAlignment="1">
      <alignment horizontal="right" vertical="center"/>
    </xf>
    <xf numFmtId="171" fontId="26" fillId="0" borderId="9" xfId="9" applyNumberFormat="1" applyFont="1" applyFill="1" applyBorder="1" applyAlignment="1">
      <alignment horizontal="right" vertical="center"/>
    </xf>
    <xf numFmtId="168" fontId="25" fillId="0" borderId="16" xfId="10" applyNumberFormat="1" applyFont="1" applyBorder="1"/>
    <xf numFmtId="168" fontId="25" fillId="0" borderId="17" xfId="10" applyNumberFormat="1" applyFont="1" applyBorder="1"/>
    <xf numFmtId="172" fontId="14" fillId="0" borderId="15" xfId="8" applyNumberFormat="1" applyFont="1" applyFill="1" applyBorder="1" applyAlignment="1">
      <alignment horizontal="right" vertical="center"/>
    </xf>
    <xf numFmtId="166" fontId="4" fillId="9" borderId="11" xfId="10" applyNumberFormat="1" applyFont="1" applyFill="1" applyBorder="1" applyAlignment="1">
      <alignment horizontal="center" vertical="center"/>
    </xf>
    <xf numFmtId="0" fontId="6" fillId="8" borderId="0" xfId="0" applyFont="1" applyFill="1" applyBorder="1"/>
    <xf numFmtId="2" fontId="6" fillId="0" borderId="11" xfId="0" applyNumberFormat="1" applyFont="1" applyBorder="1" applyAlignment="1">
      <alignment horizontal="center"/>
    </xf>
    <xf numFmtId="0" fontId="4" fillId="9" borderId="12" xfId="0" applyFont="1" applyFill="1" applyBorder="1" applyAlignment="1">
      <alignment vertical="center"/>
    </xf>
    <xf numFmtId="166" fontId="4" fillId="9" borderId="13" xfId="0" applyNumberFormat="1" applyFont="1" applyFill="1" applyBorder="1" applyAlignment="1">
      <alignment horizontal="center" vertical="center"/>
    </xf>
    <xf numFmtId="0" fontId="0" fillId="9" borderId="0" xfId="0" applyFill="1"/>
    <xf numFmtId="0" fontId="0" fillId="9" borderId="1" xfId="0" applyFill="1" applyBorder="1"/>
    <xf numFmtId="0" fontId="6" fillId="9" borderId="0" xfId="0" applyFont="1" applyFill="1"/>
    <xf numFmtId="0" fontId="0" fillId="18" borderId="18" xfId="0" applyFill="1" applyBorder="1" applyAlignment="1">
      <alignment horizontal="center" vertical="center" wrapText="1"/>
    </xf>
    <xf numFmtId="0" fontId="0" fillId="18" borderId="1" xfId="0" applyFill="1" applyBorder="1" applyAlignment="1">
      <alignment horizontal="center" vertical="center" wrapText="1"/>
    </xf>
    <xf numFmtId="0" fontId="0" fillId="18" borderId="25" xfId="0" applyFill="1" applyBorder="1" applyAlignment="1">
      <alignment horizontal="center" vertical="center" wrapText="1"/>
    </xf>
    <xf numFmtId="0" fontId="0" fillId="18" borderId="26" xfId="0" applyFill="1" applyBorder="1" applyAlignment="1">
      <alignment horizontal="center" vertical="center" wrapText="1"/>
    </xf>
    <xf numFmtId="0" fontId="6" fillId="18" borderId="26" xfId="0" applyFont="1" applyFill="1" applyBorder="1" applyAlignment="1">
      <alignment horizontal="center" vertical="center" wrapText="1"/>
    </xf>
    <xf numFmtId="0" fontId="0" fillId="18" borderId="10" xfId="0" applyFill="1" applyBorder="1" applyAlignment="1">
      <alignment horizontal="center" vertical="center" wrapText="1"/>
    </xf>
    <xf numFmtId="0" fontId="0" fillId="18" borderId="3" xfId="0" applyFill="1" applyBorder="1" applyAlignment="1">
      <alignment horizontal="center" vertical="center" wrapText="1"/>
    </xf>
    <xf numFmtId="0" fontId="6" fillId="18" borderId="3" xfId="0" applyFont="1" applyFill="1" applyBorder="1" applyAlignment="1">
      <alignment horizontal="center" vertical="center" wrapText="1"/>
    </xf>
    <xf numFmtId="0" fontId="6" fillId="18" borderId="10" xfId="0" applyFont="1" applyFill="1" applyBorder="1" applyAlignment="1">
      <alignment horizontal="center" vertical="center" wrapText="1"/>
    </xf>
    <xf numFmtId="0" fontId="6" fillId="18" borderId="27" xfId="0" applyFont="1" applyFill="1" applyBorder="1" applyAlignment="1">
      <alignment horizontal="center" vertical="center" wrapText="1"/>
    </xf>
    <xf numFmtId="0" fontId="0" fillId="18" borderId="28" xfId="0" applyFill="1" applyBorder="1" applyAlignment="1">
      <alignment horizontal="center" vertical="center" wrapText="1"/>
    </xf>
    <xf numFmtId="0" fontId="6" fillId="18" borderId="17" xfId="0" applyFont="1" applyFill="1" applyBorder="1" applyAlignment="1">
      <alignment horizontal="center" vertical="center" wrapText="1"/>
    </xf>
    <xf numFmtId="0" fontId="6" fillId="18" borderId="28" xfId="0" applyFont="1" applyFill="1" applyBorder="1" applyAlignment="1">
      <alignment horizontal="center" vertical="center" wrapText="1"/>
    </xf>
    <xf numFmtId="49" fontId="25" fillId="9" borderId="0" xfId="8" applyNumberFormat="1" applyFont="1" applyFill="1" applyBorder="1" applyAlignment="1">
      <alignment horizontal="left" vertical="center" indent="1"/>
    </xf>
    <xf numFmtId="171" fontId="25" fillId="9" borderId="0" xfId="9" applyNumberFormat="1" applyFont="1" applyFill="1" applyBorder="1" applyAlignment="1">
      <alignment horizontal="right" vertical="center"/>
    </xf>
    <xf numFmtId="2" fontId="0" fillId="9" borderId="0" xfId="0" applyNumberFormat="1" applyFill="1" applyBorder="1"/>
    <xf numFmtId="49" fontId="27" fillId="9" borderId="0" xfId="8" applyNumberFormat="1" applyFont="1" applyFill="1" applyBorder="1" applyAlignment="1">
      <alignment horizontal="left" vertical="center" indent="1"/>
    </xf>
    <xf numFmtId="172" fontId="27" fillId="9" borderId="0" xfId="8" applyNumberFormat="1" applyFont="1" applyFill="1" applyBorder="1" applyAlignment="1">
      <alignment vertical="center"/>
    </xf>
    <xf numFmtId="0" fontId="4" fillId="9" borderId="0" xfId="0" applyFont="1" applyFill="1"/>
    <xf numFmtId="0" fontId="5" fillId="7" borderId="9" xfId="0" applyFont="1" applyFill="1" applyBorder="1" applyAlignment="1">
      <alignment horizontal="center"/>
    </xf>
    <xf numFmtId="168" fontId="6" fillId="7" borderId="17" xfId="10" applyNumberFormat="1" applyFont="1" applyFill="1" applyBorder="1"/>
    <xf numFmtId="0" fontId="8" fillId="7" borderId="9" xfId="0" applyFont="1" applyFill="1" applyBorder="1" applyAlignment="1">
      <alignment horizontal="center"/>
    </xf>
    <xf numFmtId="168" fontId="8" fillId="7" borderId="17" xfId="10" applyNumberFormat="1" applyFont="1" applyFill="1" applyBorder="1"/>
    <xf numFmtId="168" fontId="8" fillId="7" borderId="32" xfId="10" applyNumberFormat="1" applyFont="1" applyFill="1" applyBorder="1"/>
    <xf numFmtId="166" fontId="8" fillId="7" borderId="0" xfId="10" applyNumberFormat="1" applyFont="1" applyFill="1" applyBorder="1"/>
    <xf numFmtId="0" fontId="8" fillId="7" borderId="27" xfId="0" applyFont="1" applyFill="1" applyBorder="1" applyAlignment="1">
      <alignment horizontal="center"/>
    </xf>
    <xf numFmtId="168" fontId="8" fillId="7" borderId="28" xfId="10" applyNumberFormat="1" applyFont="1" applyFill="1" applyBorder="1"/>
    <xf numFmtId="0" fontId="8" fillId="13" borderId="27" xfId="0" applyFont="1" applyFill="1" applyBorder="1" applyAlignment="1">
      <alignment horizontal="center"/>
    </xf>
    <xf numFmtId="168" fontId="8" fillId="13" borderId="28" xfId="10" applyNumberFormat="1" applyFont="1" applyFill="1" applyBorder="1"/>
    <xf numFmtId="16" fontId="16" fillId="9" borderId="17" xfId="0" quotePrefix="1" applyNumberFormat="1" applyFont="1" applyFill="1" applyBorder="1" applyAlignment="1">
      <alignment horizontal="center"/>
    </xf>
    <xf numFmtId="166" fontId="8" fillId="7" borderId="9" xfId="10" applyNumberFormat="1" applyFont="1" applyFill="1" applyBorder="1"/>
    <xf numFmtId="166" fontId="8" fillId="7" borderId="27" xfId="10" applyNumberFormat="1" applyFont="1" applyFill="1" applyBorder="1"/>
    <xf numFmtId="166" fontId="5" fillId="7" borderId="9" xfId="10" applyNumberFormat="1" applyFont="1" applyFill="1" applyBorder="1"/>
    <xf numFmtId="166" fontId="5" fillId="7" borderId="27" xfId="10" applyNumberFormat="1" applyFont="1" applyFill="1" applyBorder="1"/>
    <xf numFmtId="166" fontId="8" fillId="13" borderId="2" xfId="10" applyNumberFormat="1" applyFont="1" applyFill="1" applyBorder="1"/>
    <xf numFmtId="166" fontId="5" fillId="7" borderId="8" xfId="10" applyNumberFormat="1" applyFont="1" applyFill="1" applyBorder="1"/>
    <xf numFmtId="166" fontId="8" fillId="13" borderId="19" xfId="10" applyNumberFormat="1" applyFont="1" applyFill="1" applyBorder="1"/>
    <xf numFmtId="166" fontId="5" fillId="7" borderId="0" xfId="10" applyNumberFormat="1" applyFont="1" applyFill="1" applyBorder="1"/>
    <xf numFmtId="168" fontId="5" fillId="7" borderId="17" xfId="10" applyNumberFormat="1" applyFont="1" applyFill="1" applyBorder="1"/>
    <xf numFmtId="168" fontId="5" fillId="7" borderId="28" xfId="10" applyNumberFormat="1" applyFont="1" applyFill="1" applyBorder="1"/>
    <xf numFmtId="168" fontId="8" fillId="13" borderId="18" xfId="10" applyNumberFormat="1" applyFont="1" applyFill="1" applyBorder="1"/>
    <xf numFmtId="169" fontId="41" fillId="9" borderId="11" xfId="0" applyNumberFormat="1" applyFont="1" applyFill="1" applyBorder="1" applyAlignment="1">
      <alignment horizontal="left"/>
    </xf>
    <xf numFmtId="0" fontId="16" fillId="9" borderId="7" xfId="0" applyFont="1" applyFill="1" applyBorder="1"/>
    <xf numFmtId="164" fontId="15" fillId="9" borderId="13" xfId="10" applyFont="1" applyFill="1" applyBorder="1" applyAlignment="1">
      <alignment vertical="center"/>
    </xf>
    <xf numFmtId="164" fontId="6" fillId="0" borderId="0" xfId="10" applyFont="1" applyFill="1" applyBorder="1" applyAlignment="1">
      <alignment horizontal="center"/>
    </xf>
    <xf numFmtId="164" fontId="0" fillId="0" borderId="0" xfId="10" applyFont="1"/>
    <xf numFmtId="164" fontId="0" fillId="0" borderId="11" xfId="10" applyFont="1" applyBorder="1"/>
    <xf numFmtId="1" fontId="9" fillId="19" borderId="3" xfId="0" applyNumberFormat="1" applyFont="1" applyFill="1" applyBorder="1" applyAlignment="1">
      <alignment horizontal="center" vertical="center"/>
    </xf>
    <xf numFmtId="168" fontId="6" fillId="0" borderId="13" xfId="10" applyNumberFormat="1" applyFont="1" applyBorder="1" applyAlignment="1">
      <alignment horizontal="left" vertical="center"/>
    </xf>
    <xf numFmtId="0" fontId="6" fillId="3" borderId="27" xfId="0" applyFont="1" applyFill="1" applyBorder="1" applyAlignment="1">
      <alignment horizontal="center"/>
    </xf>
    <xf numFmtId="2" fontId="9" fillId="19" borderId="29" xfId="0" applyNumberFormat="1" applyFont="1" applyFill="1" applyBorder="1" applyAlignment="1">
      <alignment horizontal="center" vertical="center"/>
    </xf>
    <xf numFmtId="0" fontId="9" fillId="19" borderId="31" xfId="0" applyFont="1" applyFill="1" applyBorder="1" applyAlignment="1">
      <alignment horizontal="center" vertical="center"/>
    </xf>
    <xf numFmtId="168" fontId="6" fillId="0" borderId="30" xfId="10" applyNumberFormat="1" applyFont="1" applyBorder="1" applyAlignment="1">
      <alignment horizontal="left" vertical="center"/>
    </xf>
    <xf numFmtId="168" fontId="9" fillId="4" borderId="3" xfId="10" applyNumberFormat="1" applyFont="1" applyFill="1" applyBorder="1" applyAlignment="1">
      <alignment horizontal="right" vertical="center"/>
    </xf>
    <xf numFmtId="1" fontId="9" fillId="4" borderId="3" xfId="0" applyNumberFormat="1" applyFont="1" applyFill="1" applyBorder="1" applyAlignment="1">
      <alignment horizontal="center"/>
    </xf>
    <xf numFmtId="0" fontId="6" fillId="4" borderId="13" xfId="0" applyFont="1" applyFill="1" applyBorder="1" applyAlignment="1">
      <alignment horizontal="center"/>
    </xf>
    <xf numFmtId="3" fontId="9" fillId="4" borderId="3" xfId="0" applyNumberFormat="1" applyFont="1" applyFill="1" applyBorder="1" applyAlignment="1">
      <alignment horizontal="center"/>
    </xf>
    <xf numFmtId="0" fontId="13" fillId="0" borderId="0" xfId="0" applyFont="1"/>
    <xf numFmtId="2" fontId="9" fillId="4" borderId="3" xfId="0" applyNumberFormat="1" applyFont="1" applyFill="1" applyBorder="1" applyAlignment="1">
      <alignment horizontal="center"/>
    </xf>
    <xf numFmtId="0" fontId="9" fillId="4" borderId="4" xfId="0" applyFont="1" applyFill="1" applyBorder="1" applyAlignment="1">
      <alignment horizontal="center"/>
    </xf>
    <xf numFmtId="0" fontId="9" fillId="4" borderId="10" xfId="0" applyFont="1" applyFill="1" applyBorder="1" applyAlignment="1">
      <alignment horizontal="center" vertical="top" wrapText="1"/>
    </xf>
    <xf numFmtId="3" fontId="9" fillId="4" borderId="3" xfId="0" applyNumberFormat="1" applyFont="1" applyFill="1" applyBorder="1" applyAlignment="1">
      <alignment horizontal="right" vertical="top" wrapText="1"/>
    </xf>
    <xf numFmtId="4" fontId="9" fillId="4" borderId="3" xfId="0" applyNumberFormat="1" applyFont="1" applyFill="1" applyBorder="1"/>
    <xf numFmtId="0" fontId="13" fillId="0" borderId="0" xfId="0" applyFont="1" applyBorder="1"/>
    <xf numFmtId="3" fontId="9" fillId="0" borderId="0" xfId="0" applyNumberFormat="1" applyFont="1" applyBorder="1" applyAlignment="1">
      <alignment horizontal="center"/>
    </xf>
    <xf numFmtId="1" fontId="9" fillId="0" borderId="0" xfId="0" applyNumberFormat="1" applyFont="1" applyBorder="1" applyAlignment="1">
      <alignment horizontal="center"/>
    </xf>
    <xf numFmtId="3" fontId="9" fillId="4" borderId="10" xfId="0" applyNumberFormat="1" applyFont="1" applyFill="1" applyBorder="1" applyAlignment="1">
      <alignment horizontal="center"/>
    </xf>
    <xf numFmtId="0" fontId="9" fillId="4" borderId="13" xfId="0" applyFont="1" applyFill="1" applyBorder="1" applyAlignment="1">
      <alignment horizontal="center"/>
    </xf>
    <xf numFmtId="3" fontId="9" fillId="4" borderId="13" xfId="0" applyNumberFormat="1" applyFont="1" applyFill="1" applyBorder="1" applyAlignment="1">
      <alignment horizontal="center"/>
    </xf>
    <xf numFmtId="3" fontId="9" fillId="4" borderId="15" xfId="0" applyNumberFormat="1" applyFont="1" applyFill="1" applyBorder="1" applyAlignment="1">
      <alignment horizontal="center"/>
    </xf>
    <xf numFmtId="2" fontId="9" fillId="4" borderId="15" xfId="0" applyNumberFormat="1" applyFont="1" applyFill="1" applyBorder="1" applyAlignment="1">
      <alignment horizontal="center"/>
    </xf>
    <xf numFmtId="1" fontId="9" fillId="4" borderId="15" xfId="0" applyNumberFormat="1" applyFont="1" applyFill="1" applyBorder="1" applyAlignment="1">
      <alignment horizontal="center"/>
    </xf>
    <xf numFmtId="0" fontId="9" fillId="4" borderId="12" xfId="0" applyFont="1" applyFill="1" applyBorder="1" applyAlignment="1">
      <alignment horizontal="center"/>
    </xf>
    <xf numFmtId="168" fontId="9" fillId="2" borderId="10" xfId="10" applyNumberFormat="1" applyFont="1" applyFill="1" applyBorder="1"/>
    <xf numFmtId="168" fontId="9" fillId="2" borderId="3" xfId="10" applyNumberFormat="1" applyFont="1" applyFill="1" applyBorder="1"/>
    <xf numFmtId="168" fontId="9" fillId="2" borderId="3" xfId="10" quotePrefix="1" applyNumberFormat="1" applyFont="1" applyFill="1" applyBorder="1" applyAlignment="1">
      <alignment horizontal="right"/>
    </xf>
    <xf numFmtId="4" fontId="9" fillId="0" borderId="3" xfId="0" applyNumberFormat="1" applyFont="1" applyBorder="1"/>
    <xf numFmtId="4" fontId="9" fillId="0" borderId="4" xfId="0" applyNumberFormat="1" applyFont="1" applyBorder="1"/>
    <xf numFmtId="0" fontId="9" fillId="4" borderId="10" xfId="0" applyFont="1" applyFill="1" applyBorder="1" applyAlignment="1">
      <alignment horizontal="center"/>
    </xf>
    <xf numFmtId="168" fontId="9" fillId="4" borderId="10" xfId="10" applyNumberFormat="1" applyFont="1" applyFill="1" applyBorder="1" applyAlignment="1">
      <alignment horizontal="right" vertical="center"/>
    </xf>
    <xf numFmtId="168" fontId="9" fillId="4" borderId="3" xfId="10" quotePrefix="1" applyNumberFormat="1" applyFont="1" applyFill="1" applyBorder="1" applyAlignment="1">
      <alignment horizontal="right"/>
    </xf>
    <xf numFmtId="4" fontId="9" fillId="4" borderId="4" xfId="0" applyNumberFormat="1" applyFont="1" applyFill="1" applyBorder="1"/>
    <xf numFmtId="0" fontId="9" fillId="2" borderId="10" xfId="0" applyFont="1" applyFill="1" applyBorder="1"/>
    <xf numFmtId="3" fontId="9" fillId="0" borderId="0" xfId="0" applyNumberFormat="1" applyFont="1" applyFill="1" applyBorder="1" applyAlignment="1">
      <alignment horizontal="center"/>
    </xf>
    <xf numFmtId="0" fontId="19" fillId="9" borderId="5" xfId="0" applyFont="1" applyFill="1" applyBorder="1" applyAlignment="1">
      <alignment horizontal="center"/>
    </xf>
    <xf numFmtId="0" fontId="19" fillId="9" borderId="7" xfId="0" applyFont="1" applyFill="1" applyBorder="1" applyAlignment="1">
      <alignment horizontal="center"/>
    </xf>
    <xf numFmtId="0" fontId="19" fillId="9" borderId="6" xfId="0" applyFont="1" applyFill="1" applyBorder="1" applyAlignment="1">
      <alignment horizontal="center"/>
    </xf>
    <xf numFmtId="0" fontId="16" fillId="9" borderId="6" xfId="0" applyFont="1" applyFill="1" applyBorder="1" applyAlignment="1">
      <alignment horizontal="center" vertical="center"/>
    </xf>
    <xf numFmtId="164" fontId="16" fillId="9" borderId="13" xfId="10" applyFont="1" applyFill="1" applyBorder="1" applyAlignment="1">
      <alignment horizontal="center" vertical="center"/>
    </xf>
    <xf numFmtId="0" fontId="16" fillId="9" borderId="16" xfId="0" applyFont="1" applyFill="1" applyBorder="1" applyAlignment="1">
      <alignment horizontal="center" vertical="center"/>
    </xf>
    <xf numFmtId="0" fontId="16" fillId="9" borderId="15" xfId="0" applyFont="1" applyFill="1" applyBorder="1" applyAlignment="1">
      <alignment horizontal="center" vertical="center"/>
    </xf>
    <xf numFmtId="0" fontId="15" fillId="9" borderId="8" xfId="0" applyFont="1" applyFill="1" applyBorder="1" applyAlignment="1">
      <alignment vertical="center"/>
    </xf>
    <xf numFmtId="0" fontId="15" fillId="9" borderId="12" xfId="0" applyFont="1" applyFill="1" applyBorder="1" applyAlignment="1">
      <alignment vertical="center"/>
    </xf>
    <xf numFmtId="164" fontId="16" fillId="9" borderId="13" xfId="10" applyFont="1" applyFill="1" applyBorder="1" applyAlignment="1">
      <alignment vertical="center"/>
    </xf>
    <xf numFmtId="164" fontId="16" fillId="9" borderId="11" xfId="10" applyFont="1" applyFill="1" applyBorder="1" applyAlignment="1">
      <alignment horizontal="center" vertical="center"/>
    </xf>
    <xf numFmtId="0" fontId="5" fillId="7" borderId="0" xfId="0" applyFont="1" applyFill="1" applyBorder="1"/>
    <xf numFmtId="166" fontId="5" fillId="7" borderId="17" xfId="10" applyNumberFormat="1" applyFont="1" applyFill="1" applyBorder="1"/>
    <xf numFmtId="0" fontId="5" fillId="7" borderId="9" xfId="0" applyFont="1" applyFill="1" applyBorder="1"/>
    <xf numFmtId="166" fontId="5" fillId="7" borderId="17" xfId="10" applyNumberFormat="1" applyFont="1" applyFill="1" applyBorder="1" applyAlignment="1">
      <alignment horizontal="center"/>
    </xf>
    <xf numFmtId="0" fontId="5" fillId="7" borderId="27" xfId="0" applyFont="1" applyFill="1" applyBorder="1"/>
    <xf numFmtId="166" fontId="5" fillId="7" borderId="28" xfId="10" applyNumberFormat="1" applyFont="1" applyFill="1" applyBorder="1"/>
    <xf numFmtId="168" fontId="5" fillId="7" borderId="9" xfId="10" applyNumberFormat="1" applyFont="1" applyFill="1" applyBorder="1"/>
    <xf numFmtId="168" fontId="5" fillId="7" borderId="0" xfId="10" applyNumberFormat="1" applyFont="1" applyFill="1" applyBorder="1"/>
    <xf numFmtId="168" fontId="5" fillId="7" borderId="27" xfId="10" applyNumberFormat="1" applyFont="1" applyFill="1" applyBorder="1"/>
    <xf numFmtId="168" fontId="5" fillId="7" borderId="1" xfId="10" applyNumberFormat="1" applyFont="1" applyFill="1" applyBorder="1"/>
    <xf numFmtId="0" fontId="5" fillId="9" borderId="0" xfId="0" applyFont="1" applyFill="1" applyBorder="1" applyAlignment="1">
      <alignment horizontal="center"/>
    </xf>
    <xf numFmtId="168" fontId="5" fillId="9" borderId="0" xfId="10" applyNumberFormat="1" applyFont="1" applyFill="1" applyBorder="1"/>
    <xf numFmtId="169" fontId="42" fillId="9" borderId="11" xfId="0" applyNumberFormat="1" applyFont="1" applyFill="1" applyBorder="1" applyAlignment="1">
      <alignment horizontal="left"/>
    </xf>
    <xf numFmtId="168" fontId="5" fillId="0" borderId="0" xfId="10" applyNumberFormat="1" applyFont="1"/>
    <xf numFmtId="0" fontId="10" fillId="8" borderId="0" xfId="0" applyFont="1" applyFill="1" applyBorder="1"/>
    <xf numFmtId="168" fontId="5" fillId="0" borderId="27" xfId="10" applyNumberFormat="1" applyFont="1" applyBorder="1"/>
    <xf numFmtId="0" fontId="0" fillId="20" borderId="0" xfId="0" applyFill="1"/>
    <xf numFmtId="0" fontId="0" fillId="9" borderId="5" xfId="0" applyFill="1" applyBorder="1"/>
    <xf numFmtId="0" fontId="0" fillId="9" borderId="6" xfId="0" applyFill="1" applyBorder="1"/>
    <xf numFmtId="0" fontId="4" fillId="9" borderId="11" xfId="0" applyFont="1" applyFill="1" applyBorder="1"/>
    <xf numFmtId="0" fontId="4" fillId="9" borderId="8" xfId="0" applyFont="1" applyFill="1" applyBorder="1"/>
    <xf numFmtId="0" fontId="4" fillId="9" borderId="12" xfId="0" applyFont="1" applyFill="1" applyBorder="1"/>
    <xf numFmtId="0" fontId="10" fillId="9" borderId="0" xfId="0" applyFont="1" applyFill="1" applyBorder="1"/>
    <xf numFmtId="164" fontId="16" fillId="9" borderId="6" xfId="10" applyFont="1" applyFill="1" applyBorder="1" applyAlignment="1">
      <alignment vertical="center"/>
    </xf>
    <xf numFmtId="0" fontId="16" fillId="9" borderId="7" xfId="0" applyFont="1" applyFill="1" applyBorder="1" applyAlignment="1">
      <alignment horizontal="left" vertical="center"/>
    </xf>
    <xf numFmtId="49" fontId="20" fillId="9" borderId="0" xfId="7" applyNumberFormat="1" applyFont="1" applyFill="1" applyBorder="1" applyAlignment="1">
      <alignment horizontal="center" vertical="center" wrapText="1"/>
    </xf>
    <xf numFmtId="164" fontId="16" fillId="9" borderId="17" xfId="10" applyNumberFormat="1" applyFont="1" applyFill="1" applyBorder="1" applyAlignment="1">
      <alignment horizontal="right"/>
    </xf>
    <xf numFmtId="168" fontId="6" fillId="9" borderId="11" xfId="10" applyNumberFormat="1" applyFont="1" applyFill="1" applyBorder="1"/>
    <xf numFmtId="0" fontId="9" fillId="4" borderId="13" xfId="5" applyFont="1" applyFill="1" applyBorder="1" applyAlignment="1">
      <alignment horizontal="center" vertical="center"/>
    </xf>
    <xf numFmtId="0" fontId="9" fillId="4" borderId="3" xfId="5" applyFont="1" applyFill="1" applyBorder="1" applyAlignment="1">
      <alignment horizontal="center" vertical="center"/>
    </xf>
    <xf numFmtId="0" fontId="9" fillId="4" borderId="10" xfId="5" applyFont="1" applyFill="1" applyBorder="1" applyAlignment="1">
      <alignment horizontal="center"/>
    </xf>
    <xf numFmtId="0" fontId="13" fillId="9" borderId="0" xfId="0" applyFont="1" applyFill="1" applyBorder="1" applyAlignment="1">
      <alignment horizontal="center"/>
    </xf>
    <xf numFmtId="2" fontId="9" fillId="17" borderId="14" xfId="0" applyNumberFormat="1" applyFont="1" applyFill="1" applyBorder="1" applyAlignment="1">
      <alignment horizontal="center"/>
    </xf>
    <xf numFmtId="2" fontId="9" fillId="17" borderId="10" xfId="0" applyNumberFormat="1" applyFont="1" applyFill="1" applyBorder="1" applyAlignment="1">
      <alignment horizontal="center"/>
    </xf>
    <xf numFmtId="2" fontId="13" fillId="9" borderId="0" xfId="0" applyNumberFormat="1" applyFont="1" applyFill="1" applyAlignment="1">
      <alignment horizontal="right"/>
    </xf>
    <xf numFmtId="2" fontId="13" fillId="9" borderId="0" xfId="0" applyNumberFormat="1" applyFont="1" applyFill="1" applyAlignment="1">
      <alignment horizontal="center"/>
    </xf>
    <xf numFmtId="2" fontId="13" fillId="9" borderId="11" xfId="0" applyNumberFormat="1" applyFont="1" applyFill="1" applyBorder="1" applyAlignment="1">
      <alignment horizontal="right"/>
    </xf>
    <xf numFmtId="2" fontId="13" fillId="9" borderId="11" xfId="0" applyNumberFormat="1" applyFont="1" applyFill="1" applyBorder="1" applyAlignment="1">
      <alignment horizontal="center"/>
    </xf>
    <xf numFmtId="0" fontId="9" fillId="12" borderId="0" xfId="0" applyFont="1" applyFill="1" applyBorder="1" applyAlignment="1"/>
    <xf numFmtId="0" fontId="9" fillId="12" borderId="9" xfId="0" applyFont="1" applyFill="1" applyBorder="1" applyAlignment="1"/>
    <xf numFmtId="0" fontId="13" fillId="9" borderId="11" xfId="2" applyFont="1" applyFill="1" applyBorder="1" applyAlignment="1" applyProtection="1">
      <alignment horizontal="left" vertical="center"/>
    </xf>
    <xf numFmtId="0" fontId="6" fillId="9" borderId="1" xfId="0" applyFont="1" applyFill="1" applyBorder="1"/>
    <xf numFmtId="0" fontId="9" fillId="17" borderId="2" xfId="0" applyFont="1" applyFill="1" applyBorder="1" applyAlignment="1">
      <alignment horizontal="center" vertical="center" wrapText="1"/>
    </xf>
    <xf numFmtId="0" fontId="13" fillId="9" borderId="0" xfId="0" applyFont="1" applyFill="1"/>
    <xf numFmtId="1" fontId="9" fillId="3" borderId="3" xfId="0" applyNumberFormat="1" applyFont="1" applyFill="1" applyBorder="1" applyAlignment="1">
      <alignment horizontal="center" vertical="center"/>
    </xf>
    <xf numFmtId="3" fontId="9" fillId="3" borderId="29" xfId="0" applyNumberFormat="1" applyFont="1" applyFill="1" applyBorder="1" applyAlignment="1">
      <alignment horizontal="center" vertical="center"/>
    </xf>
    <xf numFmtId="3" fontId="9" fillId="3" borderId="31" xfId="0" applyNumberFormat="1" applyFont="1" applyFill="1" applyBorder="1" applyAlignment="1">
      <alignment horizontal="center" vertical="center"/>
    </xf>
    <xf numFmtId="0" fontId="9" fillId="4" borderId="27" xfId="0" applyFont="1" applyFill="1" applyBorder="1" applyAlignment="1">
      <alignment horizontal="center" vertical="center" wrapText="1"/>
    </xf>
    <xf numFmtId="164" fontId="6" fillId="18" borderId="26" xfId="10" applyFont="1" applyFill="1" applyBorder="1" applyAlignment="1">
      <alignment horizontal="center" vertical="center" wrapText="1"/>
    </xf>
    <xf numFmtId="164" fontId="6" fillId="18" borderId="24" xfId="10" applyNumberFormat="1" applyFont="1" applyFill="1" applyBorder="1" applyAlignment="1">
      <alignment horizontal="center" vertical="center" wrapText="1"/>
    </xf>
    <xf numFmtId="164" fontId="6" fillId="18" borderId="3" xfId="10" applyFont="1" applyFill="1" applyBorder="1" applyAlignment="1">
      <alignment horizontal="center" vertical="center" wrapText="1"/>
    </xf>
    <xf numFmtId="164" fontId="6" fillId="18" borderId="14" xfId="10" applyNumberFormat="1" applyFont="1" applyFill="1" applyBorder="1" applyAlignment="1">
      <alignment horizontal="center" vertical="center" wrapText="1"/>
    </xf>
    <xf numFmtId="164" fontId="6" fillId="18" borderId="28" xfId="10" applyFont="1" applyFill="1" applyBorder="1" applyAlignment="1">
      <alignment horizontal="center" vertical="center" wrapText="1"/>
    </xf>
    <xf numFmtId="164" fontId="6" fillId="18" borderId="1" xfId="10" applyNumberFormat="1" applyFont="1" applyFill="1" applyBorder="1" applyAlignment="1">
      <alignment horizontal="center" vertical="center" wrapText="1"/>
    </xf>
    <xf numFmtId="172" fontId="26" fillId="0" borderId="0" xfId="8" applyNumberFormat="1" applyFont="1" applyFill="1" applyAlignment="1">
      <alignment horizontal="right" vertical="center"/>
    </xf>
    <xf numFmtId="168" fontId="20" fillId="0" borderId="17" xfId="10" applyNumberFormat="1" applyFont="1" applyBorder="1"/>
    <xf numFmtId="172" fontId="14" fillId="0" borderId="17" xfId="8" applyNumberFormat="1" applyFont="1" applyFill="1" applyBorder="1" applyAlignment="1">
      <alignment horizontal="right" vertical="center"/>
    </xf>
    <xf numFmtId="171" fontId="25" fillId="0" borderId="13" xfId="9" applyNumberFormat="1" applyFont="1" applyFill="1" applyBorder="1" applyAlignment="1">
      <alignment horizontal="right" vertical="center"/>
    </xf>
    <xf numFmtId="164" fontId="15" fillId="9" borderId="17" xfId="10" applyFont="1" applyFill="1" applyBorder="1"/>
    <xf numFmtId="168" fontId="9" fillId="4" borderId="18" xfId="10" applyNumberFormat="1" applyFont="1" applyFill="1" applyBorder="1" applyAlignment="1">
      <alignment horizontal="center" vertical="center"/>
    </xf>
    <xf numFmtId="168" fontId="8" fillId="7" borderId="0" xfId="10" applyNumberFormat="1" applyFont="1" applyFill="1" applyBorder="1"/>
    <xf numFmtId="168" fontId="8" fillId="7" borderId="1" xfId="10" applyNumberFormat="1" applyFont="1" applyFill="1" applyBorder="1"/>
    <xf numFmtId="168" fontId="8" fillId="13" borderId="34" xfId="10" applyNumberFormat="1" applyFont="1" applyFill="1" applyBorder="1"/>
    <xf numFmtId="168" fontId="8" fillId="7" borderId="33" xfId="10" applyNumberFormat="1" applyFont="1" applyFill="1" applyBorder="1"/>
    <xf numFmtId="168" fontId="8" fillId="7" borderId="9" xfId="10" applyNumberFormat="1" applyFont="1" applyFill="1" applyBorder="1"/>
    <xf numFmtId="168" fontId="8" fillId="7" borderId="27" xfId="10" applyNumberFormat="1" applyFont="1" applyFill="1" applyBorder="1"/>
    <xf numFmtId="168" fontId="8" fillId="13" borderId="27" xfId="10" applyNumberFormat="1" applyFont="1" applyFill="1" applyBorder="1"/>
    <xf numFmtId="166" fontId="8" fillId="7" borderId="37" xfId="10" applyNumberFormat="1" applyFont="1" applyFill="1" applyBorder="1"/>
    <xf numFmtId="166" fontId="8" fillId="7" borderId="8" xfId="10" applyNumberFormat="1" applyFont="1" applyFill="1" applyBorder="1"/>
    <xf numFmtId="166" fontId="8" fillId="7" borderId="34" xfId="10" applyNumberFormat="1" applyFont="1" applyFill="1" applyBorder="1"/>
    <xf numFmtId="168" fontId="9" fillId="13" borderId="2" xfId="10" applyNumberFormat="1" applyFont="1" applyFill="1" applyBorder="1"/>
    <xf numFmtId="166" fontId="9" fillId="13" borderId="28" xfId="10" applyNumberFormat="1" applyFont="1" applyFill="1" applyBorder="1"/>
    <xf numFmtId="168" fontId="9" fillId="13" borderId="23" xfId="10" applyNumberFormat="1" applyFont="1" applyFill="1" applyBorder="1"/>
    <xf numFmtId="0" fontId="9" fillId="13" borderId="2" xfId="0" applyFont="1" applyFill="1" applyBorder="1" applyAlignment="1">
      <alignment vertical="center"/>
    </xf>
    <xf numFmtId="166" fontId="9" fillId="13" borderId="18" xfId="10" applyNumberFormat="1" applyFont="1" applyFill="1" applyBorder="1" applyAlignment="1">
      <alignment horizontal="center" vertical="center"/>
    </xf>
    <xf numFmtId="166" fontId="9" fillId="13" borderId="18" xfId="0" applyNumberFormat="1" applyFont="1" applyFill="1" applyBorder="1" applyAlignment="1">
      <alignment horizontal="center" vertical="center"/>
    </xf>
    <xf numFmtId="166" fontId="9" fillId="13" borderId="2" xfId="10" applyNumberFormat="1" applyFont="1" applyFill="1" applyBorder="1" applyAlignment="1">
      <alignment horizontal="center" vertical="center"/>
    </xf>
    <xf numFmtId="168" fontId="9" fillId="13" borderId="18" xfId="10" applyNumberFormat="1" applyFont="1" applyFill="1" applyBorder="1"/>
    <xf numFmtId="168" fontId="9" fillId="13" borderId="28" xfId="10" applyNumberFormat="1" applyFont="1" applyFill="1" applyBorder="1"/>
    <xf numFmtId="0" fontId="9" fillId="0" borderId="7" xfId="0" applyFont="1" applyFill="1" applyBorder="1"/>
    <xf numFmtId="0" fontId="9" fillId="0" borderId="9" xfId="0" applyFont="1" applyFill="1" applyBorder="1"/>
    <xf numFmtId="0" fontId="9" fillId="0" borderId="0" xfId="0" applyFont="1" applyFill="1" applyBorder="1"/>
    <xf numFmtId="0" fontId="9" fillId="4" borderId="10" xfId="0" applyFont="1" applyFill="1" applyBorder="1" applyAlignment="1">
      <alignment horizontal="center" vertical="center"/>
    </xf>
    <xf numFmtId="168" fontId="9" fillId="4" borderId="3" xfId="10" applyNumberFormat="1" applyFont="1" applyFill="1" applyBorder="1" applyAlignment="1">
      <alignment horizontal="center" vertical="center"/>
    </xf>
    <xf numFmtId="164" fontId="9" fillId="4" borderId="3" xfId="0" applyNumberFormat="1" applyFont="1" applyFill="1" applyBorder="1" applyAlignment="1">
      <alignment horizontal="center" vertical="center"/>
    </xf>
    <xf numFmtId="164" fontId="9" fillId="4" borderId="4" xfId="0" applyNumberFormat="1" applyFont="1" applyFill="1" applyBorder="1" applyAlignment="1">
      <alignment horizontal="center" vertical="center"/>
    </xf>
    <xf numFmtId="0" fontId="13" fillId="0" borderId="0" xfId="0" applyFont="1" applyFill="1" applyBorder="1"/>
    <xf numFmtId="0" fontId="9" fillId="0" borderId="6" xfId="0" applyFont="1" applyFill="1" applyBorder="1"/>
    <xf numFmtId="0" fontId="9" fillId="0" borderId="13" xfId="0" applyFont="1" applyFill="1" applyBorder="1"/>
    <xf numFmtId="0" fontId="9" fillId="4" borderId="14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left" vertical="center"/>
    </xf>
    <xf numFmtId="168" fontId="9" fillId="0" borderId="0" xfId="10" applyNumberFormat="1" applyFont="1" applyFill="1" applyBorder="1" applyAlignment="1">
      <alignment horizontal="center" vertical="center"/>
    </xf>
    <xf numFmtId="164" fontId="9" fillId="0" borderId="0" xfId="0" applyNumberFormat="1" applyFont="1" applyFill="1" applyBorder="1" applyAlignment="1">
      <alignment horizontal="center" vertical="center"/>
    </xf>
    <xf numFmtId="168" fontId="9" fillId="4" borderId="10" xfId="10" applyNumberFormat="1" applyFont="1" applyFill="1" applyBorder="1" applyAlignment="1">
      <alignment horizontal="center" vertical="center"/>
    </xf>
    <xf numFmtId="0" fontId="4" fillId="0" borderId="0" xfId="0" applyFont="1" applyFill="1"/>
    <xf numFmtId="0" fontId="6" fillId="8" borderId="0" xfId="0" applyFont="1" applyFill="1" applyAlignment="1">
      <alignment horizontal="right"/>
    </xf>
    <xf numFmtId="169" fontId="41" fillId="21" borderId="0" xfId="0" applyNumberFormat="1" applyFont="1" applyFill="1" applyBorder="1" applyAlignment="1">
      <alignment horizontal="left"/>
    </xf>
    <xf numFmtId="0" fontId="19" fillId="9" borderId="8" xfId="0" applyFont="1" applyFill="1" applyBorder="1" applyAlignment="1">
      <alignment horizontal="center"/>
    </xf>
    <xf numFmtId="0" fontId="19" fillId="9" borderId="0" xfId="0" applyFont="1" applyFill="1" applyBorder="1" applyAlignment="1">
      <alignment horizontal="center"/>
    </xf>
    <xf numFmtId="0" fontId="19" fillId="9" borderId="9" xfId="0" applyFont="1" applyFill="1" applyBorder="1" applyAlignment="1">
      <alignment horizontal="center"/>
    </xf>
    <xf numFmtId="0" fontId="9" fillId="9" borderId="0" xfId="5" applyFont="1" applyFill="1" applyBorder="1" applyAlignment="1">
      <alignment horizontal="center"/>
    </xf>
    <xf numFmtId="17" fontId="20" fillId="13" borderId="18" xfId="0" applyNumberFormat="1" applyFont="1" applyFill="1" applyBorder="1" applyAlignment="1">
      <alignment horizontal="center" vertical="center" wrapText="1"/>
    </xf>
    <xf numFmtId="0" fontId="20" fillId="13" borderId="2" xfId="0" applyFont="1" applyFill="1" applyBorder="1" applyAlignment="1">
      <alignment horizontal="center" vertical="center" wrapText="1"/>
    </xf>
    <xf numFmtId="17" fontId="20" fillId="13" borderId="2" xfId="0" applyNumberFormat="1" applyFont="1" applyFill="1" applyBorder="1" applyAlignment="1">
      <alignment horizontal="center" vertical="center" wrapText="1"/>
    </xf>
    <xf numFmtId="0" fontId="20" fillId="13" borderId="18" xfId="0" applyFont="1" applyFill="1" applyBorder="1" applyAlignment="1">
      <alignment horizontal="center" vertical="center" wrapText="1"/>
    </xf>
    <xf numFmtId="0" fontId="20" fillId="13" borderId="23" xfId="0" applyFont="1" applyFill="1" applyBorder="1" applyAlignment="1">
      <alignment horizontal="center" vertical="center" wrapText="1"/>
    </xf>
    <xf numFmtId="0" fontId="14" fillId="9" borderId="0" xfId="0" applyFont="1" applyFill="1" applyBorder="1" applyAlignment="1">
      <alignment horizontal="center"/>
    </xf>
    <xf numFmtId="0" fontId="20" fillId="13" borderId="1" xfId="0" applyFont="1" applyFill="1" applyBorder="1" applyAlignment="1">
      <alignment horizontal="center" vertical="center" wrapText="1"/>
    </xf>
    <xf numFmtId="0" fontId="19" fillId="9" borderId="16" xfId="0" applyFont="1" applyFill="1" applyBorder="1" applyAlignment="1">
      <alignment horizontal="center"/>
    </xf>
    <xf numFmtId="0" fontId="19" fillId="9" borderId="17" xfId="0" applyFont="1" applyFill="1" applyBorder="1" applyAlignment="1">
      <alignment horizontal="center"/>
    </xf>
    <xf numFmtId="0" fontId="3" fillId="9" borderId="17" xfId="0" applyFont="1" applyFill="1" applyBorder="1" applyAlignment="1">
      <alignment horizontal="center"/>
    </xf>
    <xf numFmtId="0" fontId="7" fillId="9" borderId="17" xfId="0" applyFont="1" applyFill="1" applyBorder="1"/>
    <xf numFmtId="0" fontId="2" fillId="9" borderId="15" xfId="0" applyFont="1" applyFill="1" applyBorder="1"/>
    <xf numFmtId="0" fontId="9" fillId="9" borderId="17" xfId="0" applyFont="1" applyFill="1" applyBorder="1" applyAlignment="1">
      <alignment horizontal="center"/>
    </xf>
    <xf numFmtId="0" fontId="33" fillId="9" borderId="17" xfId="0" applyFont="1" applyFill="1" applyBorder="1" applyAlignment="1">
      <alignment horizontal="center" vertical="center"/>
    </xf>
    <xf numFmtId="0" fontId="33" fillId="9" borderId="17" xfId="6" applyFont="1" applyFill="1" applyBorder="1" applyAlignment="1">
      <alignment horizontal="center" vertical="center"/>
    </xf>
    <xf numFmtId="0" fontId="6" fillId="9" borderId="17" xfId="4" applyFont="1" applyFill="1" applyBorder="1" applyAlignment="1">
      <alignment horizontal="center"/>
    </xf>
    <xf numFmtId="0" fontId="28" fillId="9" borderId="17" xfId="1" applyFont="1" applyFill="1" applyBorder="1" applyAlignment="1" applyProtection="1">
      <alignment horizontal="center"/>
    </xf>
    <xf numFmtId="0" fontId="10" fillId="9" borderId="8" xfId="0" applyFont="1" applyFill="1" applyBorder="1"/>
    <xf numFmtId="0" fontId="10" fillId="9" borderId="9" xfId="0" applyFont="1" applyFill="1" applyBorder="1"/>
    <xf numFmtId="0" fontId="6" fillId="13" borderId="33" xfId="0" applyFont="1" applyFill="1" applyBorder="1" applyAlignment="1">
      <alignment horizontal="center"/>
    </xf>
    <xf numFmtId="0" fontId="6" fillId="13" borderId="32" xfId="0" applyFont="1" applyFill="1" applyBorder="1" applyAlignment="1">
      <alignment horizontal="center"/>
    </xf>
    <xf numFmtId="0" fontId="6" fillId="13" borderId="27" xfId="0" applyFont="1" applyFill="1" applyBorder="1" applyAlignment="1">
      <alignment horizontal="center"/>
    </xf>
    <xf numFmtId="0" fontId="6" fillId="13" borderId="29" xfId="0" applyFont="1" applyFill="1" applyBorder="1" applyAlignment="1">
      <alignment horizontal="center"/>
    </xf>
    <xf numFmtId="0" fontId="6" fillId="13" borderId="35" xfId="0" applyFont="1" applyFill="1" applyBorder="1" applyAlignment="1">
      <alignment horizontal="center"/>
    </xf>
    <xf numFmtId="0" fontId="6" fillId="13" borderId="28" xfId="0" applyFont="1" applyFill="1" applyBorder="1" applyAlignment="1">
      <alignment horizontal="center"/>
    </xf>
    <xf numFmtId="0" fontId="6" fillId="13" borderId="30" xfId="0" applyFont="1" applyFill="1" applyBorder="1" applyAlignment="1">
      <alignment horizontal="center"/>
    </xf>
    <xf numFmtId="0" fontId="6" fillId="13" borderId="34" xfId="0" applyFont="1" applyFill="1" applyBorder="1" applyAlignment="1">
      <alignment horizontal="center"/>
    </xf>
    <xf numFmtId="0" fontId="19" fillId="9" borderId="8" xfId="0" applyFont="1" applyFill="1" applyBorder="1"/>
    <xf numFmtId="49" fontId="25" fillId="0" borderId="0" xfId="8" applyNumberFormat="1" applyFont="1" applyFill="1" applyBorder="1" applyAlignment="1">
      <alignment horizontal="left" vertical="center" indent="1"/>
    </xf>
    <xf numFmtId="49" fontId="26" fillId="0" borderId="0" xfId="8" applyNumberFormat="1" applyFont="1" applyFill="1" applyBorder="1" applyAlignment="1">
      <alignment horizontal="left" vertical="center" indent="1"/>
    </xf>
    <xf numFmtId="0" fontId="4" fillId="9" borderId="8" xfId="0" applyFont="1" applyFill="1" applyBorder="1" applyAlignment="1">
      <alignment vertical="center"/>
    </xf>
    <xf numFmtId="49" fontId="26" fillId="0" borderId="9" xfId="8" applyNumberFormat="1" applyFont="1" applyFill="1" applyBorder="1" applyAlignment="1">
      <alignment vertical="center"/>
    </xf>
    <xf numFmtId="0" fontId="0" fillId="9" borderId="7" xfId="0" applyFill="1" applyBorder="1"/>
    <xf numFmtId="0" fontId="44" fillId="0" borderId="0" xfId="0" applyFont="1"/>
    <xf numFmtId="1" fontId="44" fillId="0" borderId="0" xfId="0" applyNumberFormat="1" applyFont="1"/>
    <xf numFmtId="0" fontId="44" fillId="0" borderId="0" xfId="0" applyFont="1" applyBorder="1"/>
    <xf numFmtId="1" fontId="44" fillId="0" borderId="0" xfId="0" applyNumberFormat="1" applyFont="1" applyBorder="1"/>
    <xf numFmtId="0" fontId="6" fillId="9" borderId="12" xfId="0" applyFont="1" applyFill="1" applyBorder="1" applyAlignment="1">
      <alignment horizontal="center"/>
    </xf>
    <xf numFmtId="0" fontId="6" fillId="9" borderId="11" xfId="0" applyFont="1" applyFill="1" applyBorder="1" applyAlignment="1">
      <alignment horizontal="center"/>
    </xf>
    <xf numFmtId="0" fontId="6" fillId="9" borderId="13" xfId="0" applyFont="1" applyFill="1" applyBorder="1" applyAlignment="1">
      <alignment horizontal="right"/>
    </xf>
    <xf numFmtId="0" fontId="6" fillId="9" borderId="12" xfId="0" applyFont="1" applyFill="1" applyBorder="1" applyAlignment="1">
      <alignment horizontal="right"/>
    </xf>
    <xf numFmtId="0" fontId="6" fillId="9" borderId="11" xfId="0" applyFont="1" applyFill="1" applyBorder="1" applyAlignment="1">
      <alignment horizontal="right"/>
    </xf>
    <xf numFmtId="168" fontId="6" fillId="9" borderId="0" xfId="10" applyNumberFormat="1" applyFont="1" applyFill="1" applyBorder="1" applyAlignment="1">
      <alignment horizontal="right"/>
    </xf>
    <xf numFmtId="168" fontId="6" fillId="9" borderId="11" xfId="10" applyNumberFormat="1" applyFont="1" applyFill="1" applyBorder="1" applyAlignment="1">
      <alignment horizontal="right"/>
    </xf>
    <xf numFmtId="168" fontId="6" fillId="9" borderId="6" xfId="10" applyNumberFormat="1" applyFont="1" applyFill="1" applyBorder="1" applyAlignment="1">
      <alignment horizontal="center"/>
    </xf>
    <xf numFmtId="168" fontId="6" fillId="9" borderId="12" xfId="10" applyNumberFormat="1" applyFont="1" applyFill="1" applyBorder="1" applyAlignment="1">
      <alignment horizontal="right"/>
    </xf>
    <xf numFmtId="168" fontId="6" fillId="9" borderId="13" xfId="10" applyNumberFormat="1" applyFont="1" applyFill="1" applyBorder="1" applyAlignment="1">
      <alignment horizontal="center"/>
    </xf>
    <xf numFmtId="168" fontId="6" fillId="9" borderId="10" xfId="10" applyNumberFormat="1" applyFont="1" applyFill="1" applyBorder="1" applyAlignment="1">
      <alignment horizontal="center"/>
    </xf>
    <xf numFmtId="0" fontId="13" fillId="9" borderId="0" xfId="0" applyFont="1" applyFill="1" applyBorder="1"/>
    <xf numFmtId="0" fontId="5" fillId="20" borderId="0" xfId="0" applyFont="1" applyFill="1"/>
    <xf numFmtId="3" fontId="5" fillId="20" borderId="0" xfId="0" applyNumberFormat="1" applyFont="1" applyFill="1"/>
    <xf numFmtId="0" fontId="6" fillId="20" borderId="0" xfId="0" applyFont="1" applyFill="1"/>
    <xf numFmtId="0" fontId="30" fillId="9" borderId="8" xfId="0" applyFont="1" applyFill="1" applyBorder="1" applyAlignment="1">
      <alignment horizontal="centerContinuous"/>
    </xf>
    <xf numFmtId="0" fontId="5" fillId="9" borderId="0" xfId="0" applyFont="1" applyFill="1" applyBorder="1" applyAlignment="1">
      <alignment horizontal="centerContinuous"/>
    </xf>
    <xf numFmtId="0" fontId="31" fillId="9" borderId="0" xfId="0" applyFont="1" applyFill="1" applyBorder="1" applyAlignment="1">
      <alignment horizontal="centerContinuous"/>
    </xf>
    <xf numFmtId="0" fontId="5" fillId="9" borderId="9" xfId="0" applyFont="1" applyFill="1" applyBorder="1" applyAlignment="1">
      <alignment horizontal="centerContinuous"/>
    </xf>
    <xf numFmtId="0" fontId="6" fillId="9" borderId="16" xfId="0" applyFont="1" applyFill="1" applyBorder="1" applyAlignment="1">
      <alignment horizontal="centerContinuous"/>
    </xf>
    <xf numFmtId="0" fontId="6" fillId="9" borderId="12" xfId="0" applyFont="1" applyFill="1" applyBorder="1" applyAlignment="1">
      <alignment horizontal="centerContinuous"/>
    </xf>
    <xf numFmtId="0" fontId="6" fillId="9" borderId="13" xfId="0" applyFont="1" applyFill="1" applyBorder="1" applyAlignment="1">
      <alignment horizontal="center"/>
    </xf>
    <xf numFmtId="168" fontId="44" fillId="9" borderId="0" xfId="10" applyNumberFormat="1" applyFont="1" applyFill="1" applyBorder="1"/>
    <xf numFmtId="168" fontId="6" fillId="9" borderId="9" xfId="10" applyNumberFormat="1" applyFont="1" applyFill="1" applyBorder="1" applyAlignment="1">
      <alignment horizontal="right"/>
    </xf>
    <xf numFmtId="168" fontId="6" fillId="9" borderId="13" xfId="10" applyNumberFormat="1" applyFont="1" applyFill="1" applyBorder="1" applyAlignment="1">
      <alignment horizontal="right"/>
    </xf>
    <xf numFmtId="0" fontId="6" fillId="9" borderId="3" xfId="0" applyFont="1" applyFill="1" applyBorder="1"/>
    <xf numFmtId="168" fontId="6" fillId="9" borderId="13" xfId="10" applyNumberFormat="1" applyFont="1" applyFill="1" applyBorder="1"/>
    <xf numFmtId="0" fontId="13" fillId="9" borderId="8" xfId="0" applyFont="1" applyFill="1" applyBorder="1"/>
    <xf numFmtId="0" fontId="23" fillId="9" borderId="0" xfId="0" applyFont="1" applyFill="1" applyBorder="1"/>
    <xf numFmtId="3" fontId="6" fillId="9" borderId="0" xfId="0" applyNumberFormat="1" applyFont="1" applyFill="1" applyBorder="1"/>
    <xf numFmtId="0" fontId="23" fillId="9" borderId="8" xfId="0" applyFont="1" applyFill="1" applyBorder="1"/>
    <xf numFmtId="0" fontId="6" fillId="9" borderId="12" xfId="0" applyFont="1" applyFill="1" applyBorder="1"/>
    <xf numFmtId="0" fontId="6" fillId="9" borderId="13" xfId="0" applyFont="1" applyFill="1" applyBorder="1"/>
    <xf numFmtId="168" fontId="6" fillId="9" borderId="9" xfId="10" applyNumberFormat="1" applyFont="1" applyFill="1" applyBorder="1" applyAlignment="1">
      <alignment horizontal="center"/>
    </xf>
    <xf numFmtId="0" fontId="20" fillId="9" borderId="0" xfId="5" applyFont="1" applyFill="1" applyBorder="1"/>
    <xf numFmtId="16" fontId="16" fillId="9" borderId="9" xfId="0" applyNumberFormat="1" applyFont="1" applyFill="1" applyBorder="1" applyAlignment="1">
      <alignment horizontal="center"/>
    </xf>
    <xf numFmtId="168" fontId="6" fillId="0" borderId="15" xfId="10" applyNumberFormat="1" applyFont="1" applyBorder="1" applyAlignment="1">
      <alignment horizontal="center" vertical="center"/>
    </xf>
    <xf numFmtId="1" fontId="9" fillId="3" borderId="4" xfId="0" applyNumberFormat="1" applyFont="1" applyFill="1" applyBorder="1" applyAlignment="1">
      <alignment horizontal="center" vertical="center"/>
    </xf>
    <xf numFmtId="168" fontId="9" fillId="17" borderId="18" xfId="10" applyNumberFormat="1" applyFont="1" applyFill="1" applyBorder="1" applyAlignment="1">
      <alignment horizontal="right" vertical="center"/>
    </xf>
    <xf numFmtId="168" fontId="9" fillId="17" borderId="19" xfId="10" applyNumberFormat="1" applyFont="1" applyFill="1" applyBorder="1" applyAlignment="1">
      <alignment horizontal="right" vertical="center"/>
    </xf>
    <xf numFmtId="0" fontId="13" fillId="9" borderId="11" xfId="0" applyFont="1" applyFill="1" applyBorder="1"/>
    <xf numFmtId="49" fontId="27" fillId="9" borderId="11" xfId="8" applyNumberFormat="1" applyFont="1" applyFill="1" applyBorder="1" applyAlignment="1">
      <alignment horizontal="left" vertical="center" indent="1"/>
    </xf>
    <xf numFmtId="171" fontId="25" fillId="9" borderId="11" xfId="9" applyNumberFormat="1" applyFont="1" applyFill="1" applyBorder="1" applyAlignment="1">
      <alignment horizontal="right" vertical="center"/>
    </xf>
    <xf numFmtId="2" fontId="0" fillId="9" borderId="11" xfId="0" applyNumberFormat="1" applyFill="1" applyBorder="1"/>
    <xf numFmtId="175" fontId="9" fillId="0" borderId="4" xfId="10" applyNumberFormat="1" applyFont="1" applyFill="1" applyBorder="1" applyAlignment="1" applyProtection="1">
      <alignment horizontal="center" vertical="center"/>
    </xf>
    <xf numFmtId="0" fontId="33" fillId="0" borderId="45" xfId="13" applyFont="1" applyBorder="1" applyAlignment="1">
      <alignment horizontal="left" vertical="center" wrapText="1"/>
    </xf>
    <xf numFmtId="0" fontId="32" fillId="0" borderId="1" xfId="13" applyFont="1" applyBorder="1" applyAlignment="1">
      <alignment horizontal="left" vertical="center"/>
    </xf>
    <xf numFmtId="175" fontId="9" fillId="0" borderId="12" xfId="10" applyNumberFormat="1" applyFont="1" applyFill="1" applyBorder="1" applyAlignment="1" applyProtection="1">
      <alignment horizontal="center" vertical="center"/>
    </xf>
    <xf numFmtId="0" fontId="4" fillId="8" borderId="0" xfId="0" applyFont="1" applyFill="1"/>
    <xf numFmtId="0" fontId="6" fillId="8" borderId="0" xfId="0" applyFont="1" applyFill="1" applyAlignment="1">
      <alignment vertical="center"/>
    </xf>
    <xf numFmtId="0" fontId="6" fillId="9" borderId="0" xfId="0" applyFont="1" applyFill="1" applyAlignment="1">
      <alignment vertical="center"/>
    </xf>
    <xf numFmtId="0" fontId="9" fillId="9" borderId="8" xfId="0" applyFont="1" applyFill="1" applyBorder="1" applyAlignment="1">
      <alignment horizontal="center"/>
    </xf>
    <xf numFmtId="0" fontId="40" fillId="9" borderId="8" xfId="4" applyFont="1" applyFill="1" applyBorder="1" applyAlignment="1">
      <alignment horizontal="center" vertical="center"/>
    </xf>
    <xf numFmtId="0" fontId="33" fillId="9" borderId="8" xfId="0" applyFont="1" applyFill="1" applyBorder="1" applyAlignment="1">
      <alignment vertical="center"/>
    </xf>
    <xf numFmtId="49" fontId="6" fillId="9" borderId="8" xfId="0" applyNumberFormat="1" applyFont="1" applyFill="1" applyBorder="1" applyAlignment="1">
      <alignment vertical="center"/>
    </xf>
    <xf numFmtId="0" fontId="6" fillId="9" borderId="8" xfId="4" applyFont="1" applyFill="1" applyBorder="1"/>
    <xf numFmtId="0" fontId="6" fillId="9" borderId="8" xfId="4" applyFont="1" applyFill="1" applyBorder="1" applyAlignment="1">
      <alignment horizontal="center"/>
    </xf>
    <xf numFmtId="0" fontId="40" fillId="9" borderId="0" xfId="4" applyFont="1" applyFill="1" applyBorder="1" applyAlignment="1">
      <alignment horizontal="center" vertical="center"/>
    </xf>
    <xf numFmtId="0" fontId="33" fillId="9" borderId="0" xfId="0" applyFont="1" applyFill="1" applyBorder="1" applyAlignment="1">
      <alignment vertical="center"/>
    </xf>
    <xf numFmtId="0" fontId="6" fillId="9" borderId="12" xfId="4" applyFont="1" applyFill="1" applyBorder="1" applyAlignment="1">
      <alignment horizontal="center"/>
    </xf>
    <xf numFmtId="0" fontId="10" fillId="20" borderId="0" xfId="0" applyFont="1" applyFill="1"/>
    <xf numFmtId="0" fontId="10" fillId="20" borderId="0" xfId="0" applyFont="1" applyFill="1" applyBorder="1"/>
    <xf numFmtId="0" fontId="0" fillId="20" borderId="0" xfId="0" applyFill="1" applyBorder="1"/>
    <xf numFmtId="0" fontId="0" fillId="0" borderId="1" xfId="0" applyBorder="1"/>
    <xf numFmtId="0" fontId="9" fillId="0" borderId="0" xfId="0" applyFont="1"/>
    <xf numFmtId="0" fontId="9" fillId="0" borderId="18" xfId="0" applyFont="1" applyFill="1" applyBorder="1" applyAlignment="1">
      <alignment horizontal="center" vertical="center"/>
    </xf>
    <xf numFmtId="0" fontId="9" fillId="0" borderId="19" xfId="0" applyFont="1" applyFill="1" applyBorder="1" applyAlignment="1">
      <alignment horizontal="center" vertical="center"/>
    </xf>
    <xf numFmtId="0" fontId="9" fillId="0" borderId="18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Fill="1" applyBorder="1" applyAlignment="1">
      <alignment horizontal="left" vertical="center"/>
    </xf>
    <xf numFmtId="167" fontId="9" fillId="0" borderId="18" xfId="10" applyNumberFormat="1" applyFont="1" applyFill="1" applyBorder="1" applyAlignment="1">
      <alignment vertical="center"/>
    </xf>
    <xf numFmtId="167" fontId="32" fillId="0" borderId="18" xfId="10" applyNumberFormat="1" applyFont="1" applyFill="1" applyBorder="1" applyAlignment="1">
      <alignment vertical="center"/>
    </xf>
    <xf numFmtId="167" fontId="9" fillId="0" borderId="18" xfId="0" applyNumberFormat="1" applyFont="1" applyFill="1" applyBorder="1" applyAlignment="1">
      <alignment horizontal="right" vertical="center"/>
    </xf>
    <xf numFmtId="176" fontId="9" fillId="0" borderId="18" xfId="0" applyNumberFormat="1" applyFont="1" applyFill="1" applyBorder="1" applyAlignment="1">
      <alignment vertical="center"/>
    </xf>
    <xf numFmtId="176" fontId="9" fillId="0" borderId="19" xfId="0" applyNumberFormat="1" applyFont="1" applyFill="1" applyBorder="1" applyAlignment="1">
      <alignment vertical="center"/>
    </xf>
    <xf numFmtId="0" fontId="9" fillId="0" borderId="2" xfId="0" applyFont="1" applyBorder="1"/>
    <xf numFmtId="167" fontId="9" fillId="0" borderId="18" xfId="0" applyNumberFormat="1" applyFont="1" applyBorder="1"/>
    <xf numFmtId="176" fontId="9" fillId="0" borderId="18" xfId="0" applyNumberFormat="1" applyFont="1" applyBorder="1"/>
    <xf numFmtId="0" fontId="2" fillId="9" borderId="0" xfId="0" applyFont="1" applyFill="1" applyBorder="1"/>
    <xf numFmtId="0" fontId="4" fillId="9" borderId="0" xfId="0" applyFont="1" applyFill="1" applyBorder="1" applyAlignment="1">
      <alignment horizontal="center"/>
    </xf>
    <xf numFmtId="168" fontId="4" fillId="9" borderId="0" xfId="10" applyNumberFormat="1" applyFont="1" applyFill="1" applyBorder="1"/>
    <xf numFmtId="0" fontId="2" fillId="9" borderId="0" xfId="0" applyFont="1" applyFill="1" applyBorder="1" applyAlignment="1">
      <alignment horizontal="center"/>
    </xf>
    <xf numFmtId="166" fontId="4" fillId="9" borderId="0" xfId="10" applyNumberFormat="1" applyFont="1" applyFill="1" applyBorder="1" applyAlignment="1">
      <alignment horizontal="center"/>
    </xf>
    <xf numFmtId="2" fontId="2" fillId="9" borderId="0" xfId="0" applyNumberFormat="1" applyFont="1" applyFill="1" applyBorder="1" applyAlignment="1">
      <alignment horizontal="center"/>
    </xf>
    <xf numFmtId="0" fontId="52" fillId="9" borderId="0" xfId="0" applyFont="1" applyFill="1" applyBorder="1"/>
    <xf numFmtId="177" fontId="52" fillId="9" borderId="0" xfId="0" applyNumberFormat="1" applyFont="1" applyFill="1" applyBorder="1"/>
    <xf numFmtId="0" fontId="11" fillId="9" borderId="0" xfId="0" applyFont="1" applyFill="1" applyBorder="1"/>
    <xf numFmtId="22" fontId="2" fillId="9" borderId="0" xfId="0" applyNumberFormat="1" applyFont="1" applyFill="1" applyBorder="1"/>
    <xf numFmtId="169" fontId="53" fillId="9" borderId="13" xfId="0" applyNumberFormat="1" applyFont="1" applyFill="1" applyBorder="1" applyAlignment="1">
      <alignment horizontal="left"/>
    </xf>
    <xf numFmtId="2" fontId="6" fillId="0" borderId="0" xfId="0" applyNumberFormat="1" applyFont="1" applyAlignment="1">
      <alignment horizontal="center"/>
    </xf>
    <xf numFmtId="175" fontId="6" fillId="0" borderId="12" xfId="10" applyNumberFormat="1" applyFont="1" applyFill="1" applyBorder="1" applyAlignment="1" applyProtection="1">
      <alignment horizontal="center" vertical="center"/>
    </xf>
    <xf numFmtId="175" fontId="6" fillId="0" borderId="22" xfId="10" applyNumberFormat="1" applyFont="1" applyFill="1" applyBorder="1" applyAlignment="1" applyProtection="1">
      <alignment horizontal="center" vertical="center"/>
    </xf>
    <xf numFmtId="0" fontId="9" fillId="13" borderId="34" xfId="0" applyFont="1" applyFill="1" applyBorder="1" applyAlignment="1">
      <alignment horizontal="center" vertical="center"/>
    </xf>
    <xf numFmtId="175" fontId="9" fillId="13" borderId="19" xfId="10" applyNumberFormat="1" applyFont="1" applyFill="1" applyBorder="1" applyAlignment="1" applyProtection="1">
      <alignment horizontal="center" vertical="center"/>
    </xf>
    <xf numFmtId="173" fontId="6" fillId="0" borderId="15" xfId="10" applyNumberFormat="1" applyFont="1" applyBorder="1" applyAlignment="1">
      <alignment horizontal="right" vertical="center"/>
    </xf>
    <xf numFmtId="173" fontId="6" fillId="0" borderId="0" xfId="10" applyNumberFormat="1" applyFont="1" applyFill="1" applyBorder="1" applyAlignment="1" applyProtection="1">
      <alignment vertical="center"/>
    </xf>
    <xf numFmtId="173" fontId="9" fillId="0" borderId="14" xfId="10" applyNumberFormat="1" applyFont="1" applyFill="1" applyBorder="1" applyAlignment="1" applyProtection="1">
      <alignment horizontal="center" vertical="center"/>
    </xf>
    <xf numFmtId="173" fontId="6" fillId="0" borderId="40" xfId="10" applyNumberFormat="1" applyFont="1" applyFill="1" applyBorder="1" applyAlignment="1" applyProtection="1">
      <alignment vertical="center"/>
      <protection locked="0"/>
    </xf>
    <xf numFmtId="173" fontId="6" fillId="0" borderId="21" xfId="10" applyNumberFormat="1" applyFont="1" applyBorder="1" applyAlignment="1">
      <alignment horizontal="right" vertical="center"/>
    </xf>
    <xf numFmtId="173" fontId="6" fillId="0" borderId="52" xfId="10" applyNumberFormat="1" applyFont="1" applyFill="1" applyBorder="1" applyAlignment="1" applyProtection="1">
      <alignment vertical="center"/>
    </xf>
    <xf numFmtId="173" fontId="6" fillId="0" borderId="46" xfId="10" applyNumberFormat="1" applyFont="1" applyFill="1" applyBorder="1" applyAlignment="1" applyProtection="1">
      <alignment vertical="center"/>
      <protection locked="0"/>
    </xf>
    <xf numFmtId="173" fontId="6" fillId="0" borderId="44" xfId="10" applyNumberFormat="1" applyFont="1" applyFill="1" applyBorder="1" applyAlignment="1" applyProtection="1">
      <alignment vertical="center"/>
      <protection locked="0"/>
    </xf>
    <xf numFmtId="173" fontId="6" fillId="0" borderId="48" xfId="10" applyNumberFormat="1" applyFont="1" applyBorder="1" applyAlignment="1">
      <alignment horizontal="right" vertical="center"/>
    </xf>
    <xf numFmtId="173" fontId="6" fillId="0" borderId="22" xfId="10" applyNumberFormat="1" applyFont="1" applyBorder="1" applyAlignment="1">
      <alignment horizontal="right" vertical="center"/>
    </xf>
    <xf numFmtId="173" fontId="6" fillId="0" borderId="49" xfId="10" applyNumberFormat="1" applyFont="1" applyFill="1" applyBorder="1" applyAlignment="1" applyProtection="1">
      <alignment vertical="center"/>
      <protection locked="0"/>
    </xf>
    <xf numFmtId="173" fontId="6" fillId="0" borderId="57" xfId="10" applyNumberFormat="1" applyFont="1" applyFill="1" applyBorder="1" applyAlignment="1" applyProtection="1">
      <alignment vertical="center"/>
    </xf>
    <xf numFmtId="173" fontId="6" fillId="0" borderId="55" xfId="10" applyNumberFormat="1" applyFont="1" applyFill="1" applyBorder="1" applyAlignment="1" applyProtection="1">
      <alignment vertical="center"/>
      <protection locked="0"/>
    </xf>
    <xf numFmtId="173" fontId="6" fillId="0" borderId="58" xfId="10" applyNumberFormat="1" applyFont="1" applyFill="1" applyBorder="1" applyAlignment="1" applyProtection="1">
      <alignment vertical="center"/>
    </xf>
    <xf numFmtId="173" fontId="6" fillId="0" borderId="47" xfId="10" applyNumberFormat="1" applyFont="1" applyFill="1" applyBorder="1" applyAlignment="1" applyProtection="1">
      <alignment vertical="center"/>
      <protection locked="0"/>
    </xf>
    <xf numFmtId="173" fontId="6" fillId="0" borderId="47" xfId="10" applyNumberFormat="1" applyFont="1" applyBorder="1" applyAlignment="1">
      <alignment horizontal="right" vertical="center"/>
    </xf>
    <xf numFmtId="0" fontId="4" fillId="0" borderId="0" xfId="0" applyFont="1" applyBorder="1"/>
    <xf numFmtId="175" fontId="6" fillId="0" borderId="56" xfId="10" applyNumberFormat="1" applyFont="1" applyFill="1" applyBorder="1" applyAlignment="1" applyProtection="1">
      <alignment horizontal="center" vertical="center"/>
    </xf>
    <xf numFmtId="175" fontId="6" fillId="0" borderId="48" xfId="10" applyNumberFormat="1" applyFont="1" applyFill="1" applyBorder="1" applyAlignment="1" applyProtection="1">
      <alignment horizontal="center" vertical="center"/>
    </xf>
    <xf numFmtId="0" fontId="4" fillId="9" borderId="0" xfId="0" applyFont="1" applyFill="1" applyBorder="1" applyAlignment="1">
      <alignment horizontal="center"/>
    </xf>
    <xf numFmtId="0" fontId="20" fillId="17" borderId="0" xfId="0" applyFont="1" applyFill="1" applyBorder="1" applyAlignment="1">
      <alignment horizontal="centerContinuous"/>
    </xf>
    <xf numFmtId="1" fontId="20" fillId="17" borderId="5" xfId="0" applyNumberFormat="1" applyFont="1" applyFill="1" applyBorder="1" applyAlignment="1">
      <alignment horizontal="center"/>
    </xf>
    <xf numFmtId="1" fontId="20" fillId="17" borderId="7" xfId="0" applyNumberFormat="1" applyFont="1" applyFill="1" applyBorder="1" applyAlignment="1">
      <alignment horizontal="center"/>
    </xf>
    <xf numFmtId="1" fontId="20" fillId="17" borderId="6" xfId="0" applyNumberFormat="1" applyFont="1" applyFill="1" applyBorder="1" applyAlignment="1">
      <alignment horizontal="center"/>
    </xf>
    <xf numFmtId="2" fontId="20" fillId="17" borderId="0" xfId="0" applyNumberFormat="1" applyFont="1" applyFill="1" applyBorder="1" applyAlignment="1">
      <alignment horizontal="centerContinuous"/>
    </xf>
    <xf numFmtId="2" fontId="20" fillId="17" borderId="8" xfId="0" applyNumberFormat="1" applyFont="1" applyFill="1" applyBorder="1" applyAlignment="1">
      <alignment horizontal="centerContinuous"/>
    </xf>
    <xf numFmtId="2" fontId="20" fillId="17" borderId="9" xfId="0" applyNumberFormat="1" applyFont="1" applyFill="1" applyBorder="1" applyAlignment="1">
      <alignment horizontal="centerContinuous"/>
    </xf>
    <xf numFmtId="0" fontId="20" fillId="17" borderId="8" xfId="0" applyFont="1" applyFill="1" applyBorder="1" applyAlignment="1">
      <alignment horizontal="centerContinuous"/>
    </xf>
    <xf numFmtId="0" fontId="20" fillId="17" borderId="9" xfId="0" applyFont="1" applyFill="1" applyBorder="1" applyAlignment="1">
      <alignment horizontal="centerContinuous"/>
    </xf>
    <xf numFmtId="0" fontId="6" fillId="17" borderId="6" xfId="0" applyFont="1" applyFill="1" applyBorder="1" applyAlignment="1">
      <alignment horizontal="left"/>
    </xf>
    <xf numFmtId="0" fontId="6" fillId="17" borderId="9" xfId="0" applyFont="1" applyFill="1" applyBorder="1" applyAlignment="1">
      <alignment horizontal="left"/>
    </xf>
    <xf numFmtId="0" fontId="9" fillId="17" borderId="10" xfId="0" applyFont="1" applyFill="1" applyBorder="1" applyAlignment="1">
      <alignment horizontal="center"/>
    </xf>
    <xf numFmtId="2" fontId="20" fillId="17" borderId="0" xfId="0" applyNumberFormat="1" applyFont="1" applyFill="1" applyBorder="1" applyAlignment="1">
      <alignment horizontal="center"/>
    </xf>
    <xf numFmtId="0" fontId="54" fillId="0" borderId="0" xfId="0" applyFont="1"/>
    <xf numFmtId="165" fontId="0" fillId="0" borderId="0" xfId="0" applyNumberFormat="1" applyBorder="1"/>
    <xf numFmtId="0" fontId="5" fillId="9" borderId="0" xfId="0" applyFont="1" applyFill="1"/>
    <xf numFmtId="168" fontId="1" fillId="0" borderId="3" xfId="10" applyNumberFormat="1" applyFont="1" applyBorder="1"/>
    <xf numFmtId="168" fontId="26" fillId="0" borderId="17" xfId="10" applyNumberFormat="1" applyFont="1" applyFill="1" applyBorder="1" applyAlignment="1">
      <alignment horizontal="right" vertical="center"/>
    </xf>
    <xf numFmtId="0" fontId="5" fillId="0" borderId="0" xfId="0" applyFont="1" applyBorder="1"/>
    <xf numFmtId="0" fontId="19" fillId="9" borderId="8" xfId="0" applyFont="1" applyFill="1" applyBorder="1" applyAlignment="1">
      <alignment horizontal="center"/>
    </xf>
    <xf numFmtId="0" fontId="19" fillId="9" borderId="0" xfId="0" applyFont="1" applyFill="1" applyBorder="1" applyAlignment="1">
      <alignment horizontal="center"/>
    </xf>
    <xf numFmtId="0" fontId="19" fillId="9" borderId="9" xfId="0" applyFont="1" applyFill="1" applyBorder="1" applyAlignment="1">
      <alignment horizontal="center"/>
    </xf>
    <xf numFmtId="0" fontId="3" fillId="9" borderId="0" xfId="0" applyFont="1" applyFill="1" applyBorder="1" applyAlignment="1">
      <alignment horizontal="center"/>
    </xf>
    <xf numFmtId="0" fontId="3" fillId="9" borderId="9" xfId="0" applyFont="1" applyFill="1" applyBorder="1" applyAlignment="1">
      <alignment horizontal="center"/>
    </xf>
    <xf numFmtId="0" fontId="12" fillId="9" borderId="9" xfId="0" applyFont="1" applyFill="1" applyBorder="1" applyAlignment="1">
      <alignment horizontal="center"/>
    </xf>
    <xf numFmtId="168" fontId="1" fillId="9" borderId="0" xfId="10" applyNumberFormat="1" applyFont="1" applyFill="1" applyBorder="1"/>
    <xf numFmtId="0" fontId="1" fillId="9" borderId="11" xfId="0" applyFont="1" applyFill="1" applyBorder="1"/>
    <xf numFmtId="168" fontId="1" fillId="9" borderId="24" xfId="10" applyNumberFormat="1" applyFont="1" applyFill="1" applyBorder="1"/>
    <xf numFmtId="168" fontId="1" fillId="9" borderId="11" xfId="10" applyNumberFormat="1" applyFont="1" applyFill="1" applyBorder="1"/>
    <xf numFmtId="0" fontId="19" fillId="0" borderId="0" xfId="0" applyFont="1"/>
    <xf numFmtId="0" fontId="5" fillId="0" borderId="0" xfId="0" quotePrefix="1" applyFont="1"/>
    <xf numFmtId="0" fontId="6" fillId="9" borderId="16" xfId="0" applyFont="1" applyFill="1" applyBorder="1" applyAlignment="1"/>
    <xf numFmtId="0" fontId="1" fillId="9" borderId="16" xfId="0" applyFont="1" applyFill="1" applyBorder="1" applyAlignment="1">
      <alignment horizontal="center"/>
    </xf>
    <xf numFmtId="0" fontId="30" fillId="9" borderId="34" xfId="0" applyFont="1" applyFill="1" applyBorder="1" applyAlignment="1">
      <alignment horizontal="centerContinuous"/>
    </xf>
    <xf numFmtId="0" fontId="5" fillId="9" borderId="1" xfId="0" applyFont="1" applyFill="1" applyBorder="1" applyAlignment="1">
      <alignment horizontal="centerContinuous"/>
    </xf>
    <xf numFmtId="0" fontId="31" fillId="9" borderId="1" xfId="0" applyFont="1" applyFill="1" applyBorder="1" applyAlignment="1">
      <alignment horizontal="centerContinuous"/>
    </xf>
    <xf numFmtId="0" fontId="31" fillId="9" borderId="27" xfId="0" applyFont="1" applyFill="1" applyBorder="1" applyAlignment="1">
      <alignment horizontal="centerContinuous"/>
    </xf>
    <xf numFmtId="0" fontId="1" fillId="9" borderId="28" xfId="0" applyFont="1" applyFill="1" applyBorder="1" applyAlignment="1">
      <alignment horizontal="center"/>
    </xf>
    <xf numFmtId="0" fontId="1" fillId="9" borderId="27" xfId="0" applyFont="1" applyFill="1" applyBorder="1" applyAlignment="1">
      <alignment horizontal="center"/>
    </xf>
    <xf numFmtId="0" fontId="1" fillId="9" borderId="29" xfId="0" applyFont="1" applyFill="1" applyBorder="1" applyAlignment="1">
      <alignment horizontal="center"/>
    </xf>
    <xf numFmtId="0" fontId="1" fillId="9" borderId="28" xfId="0" applyFont="1" applyFill="1" applyBorder="1" applyAlignment="1"/>
    <xf numFmtId="0" fontId="47" fillId="9" borderId="25" xfId="0" applyFont="1" applyFill="1" applyBorder="1" applyAlignment="1">
      <alignment horizontal="center"/>
    </xf>
    <xf numFmtId="0" fontId="56" fillId="9" borderId="9" xfId="0" applyFont="1" applyFill="1" applyBorder="1" applyAlignment="1"/>
    <xf numFmtId="0" fontId="55" fillId="9" borderId="9" xfId="0" applyFont="1" applyFill="1" applyBorder="1" applyAlignment="1">
      <alignment horizontal="center"/>
    </xf>
    <xf numFmtId="0" fontId="54" fillId="9" borderId="9" xfId="0" applyFont="1" applyFill="1" applyBorder="1" applyAlignment="1">
      <alignment horizontal="center" vertical="center" wrapText="1"/>
    </xf>
    <xf numFmtId="164" fontId="1" fillId="0" borderId="0" xfId="10" applyFont="1"/>
    <xf numFmtId="0" fontId="5" fillId="20" borderId="8" xfId="0" applyFont="1" applyFill="1" applyBorder="1"/>
    <xf numFmtId="3" fontId="5" fillId="20" borderId="8" xfId="0" applyNumberFormat="1" applyFont="1" applyFill="1" applyBorder="1"/>
    <xf numFmtId="168" fontId="1" fillId="0" borderId="3" xfId="10" applyNumberFormat="1" applyFont="1" applyBorder="1" applyAlignment="1">
      <alignment horizontal="center" vertical="center"/>
    </xf>
    <xf numFmtId="164" fontId="1" fillId="2" borderId="3" xfId="10" quotePrefix="1" applyNumberFormat="1" applyFont="1" applyFill="1" applyBorder="1" applyAlignment="1">
      <alignment horizontal="center" vertical="center"/>
    </xf>
    <xf numFmtId="164" fontId="1" fillId="2" borderId="3" xfId="10" quotePrefix="1" applyFont="1" applyFill="1" applyBorder="1" applyAlignment="1">
      <alignment horizontal="center" vertical="center"/>
    </xf>
    <xf numFmtId="4" fontId="1" fillId="0" borderId="3" xfId="0" applyNumberFormat="1" applyFont="1" applyBorder="1" applyAlignment="1">
      <alignment horizontal="center" vertical="center"/>
    </xf>
    <xf numFmtId="4" fontId="1" fillId="0" borderId="4" xfId="0" applyNumberFormat="1" applyFont="1" applyBorder="1" applyAlignment="1">
      <alignment horizontal="center" vertical="center"/>
    </xf>
    <xf numFmtId="168" fontId="1" fillId="0" borderId="29" xfId="10" applyNumberFormat="1" applyFont="1" applyBorder="1" applyAlignment="1">
      <alignment horizontal="center" vertical="center"/>
    </xf>
    <xf numFmtId="164" fontId="1" fillId="2" borderId="29" xfId="10" quotePrefix="1" applyNumberFormat="1" applyFont="1" applyFill="1" applyBorder="1" applyAlignment="1">
      <alignment horizontal="center" vertical="center"/>
    </xf>
    <xf numFmtId="164" fontId="1" fillId="2" borderId="29" xfId="10" quotePrefix="1" applyFont="1" applyFill="1" applyBorder="1" applyAlignment="1">
      <alignment horizontal="center" vertical="center"/>
    </xf>
    <xf numFmtId="3" fontId="9" fillId="4" borderId="18" xfId="0" applyNumberFormat="1" applyFont="1" applyFill="1" applyBorder="1" applyAlignment="1">
      <alignment horizontal="center" vertical="center" wrapText="1"/>
    </xf>
    <xf numFmtId="164" fontId="9" fillId="4" borderId="18" xfId="10" quotePrefix="1" applyNumberFormat="1" applyFont="1" applyFill="1" applyBorder="1" applyAlignment="1">
      <alignment horizontal="center" vertical="center"/>
    </xf>
    <xf numFmtId="164" fontId="9" fillId="4" borderId="18" xfId="10" quotePrefix="1" applyFont="1" applyFill="1" applyBorder="1" applyAlignment="1">
      <alignment horizontal="center" vertical="center"/>
    </xf>
    <xf numFmtId="4" fontId="9" fillId="4" borderId="18" xfId="0" applyNumberFormat="1" applyFont="1" applyFill="1" applyBorder="1" applyAlignment="1">
      <alignment horizontal="center" vertical="center"/>
    </xf>
    <xf numFmtId="4" fontId="9" fillId="4" borderId="19" xfId="10" quotePrefix="1" applyNumberFormat="1" applyFont="1" applyFill="1" applyBorder="1" applyAlignment="1">
      <alignment horizontal="center" vertical="center"/>
    </xf>
    <xf numFmtId="0" fontId="1" fillId="8" borderId="0" xfId="0" applyFont="1" applyFill="1"/>
    <xf numFmtId="168" fontId="1" fillId="0" borderId="10" xfId="10" applyNumberFormat="1" applyFont="1" applyBorder="1"/>
    <xf numFmtId="168" fontId="1" fillId="0" borderId="10" xfId="10" applyNumberFormat="1" applyFont="1" applyBorder="1" applyAlignment="1">
      <alignment horizontal="left" vertical="center"/>
    </xf>
    <xf numFmtId="168" fontId="1" fillId="0" borderId="3" xfId="10" applyNumberFormat="1" applyFont="1" applyBorder="1" applyAlignment="1">
      <alignment horizontal="right" vertical="center"/>
    </xf>
    <xf numFmtId="168" fontId="1" fillId="0" borderId="4" xfId="10" applyNumberFormat="1" applyFont="1" applyBorder="1" applyAlignment="1">
      <alignment horizontal="center" vertical="center"/>
    </xf>
    <xf numFmtId="168" fontId="1" fillId="7" borderId="3" xfId="10" applyNumberFormat="1" applyFont="1" applyFill="1" applyBorder="1" applyAlignment="1">
      <alignment horizontal="right" vertical="center"/>
    </xf>
    <xf numFmtId="168" fontId="1" fillId="7" borderId="4" xfId="10" applyNumberFormat="1" applyFont="1" applyFill="1" applyBorder="1" applyAlignment="1">
      <alignment horizontal="center" vertical="center"/>
    </xf>
    <xf numFmtId="168" fontId="1" fillId="0" borderId="13" xfId="10" applyNumberFormat="1" applyFont="1" applyBorder="1" applyAlignment="1">
      <alignment horizontal="left" vertical="center"/>
    </xf>
    <xf numFmtId="168" fontId="1" fillId="0" borderId="15" xfId="10" applyNumberFormat="1" applyFont="1" applyBorder="1" applyAlignment="1">
      <alignment horizontal="center" vertical="center"/>
    </xf>
    <xf numFmtId="168" fontId="1" fillId="0" borderId="15" xfId="10" applyNumberFormat="1" applyFont="1" applyBorder="1" applyAlignment="1">
      <alignment horizontal="right" vertical="center"/>
    </xf>
    <xf numFmtId="168" fontId="1" fillId="0" borderId="12" xfId="10" applyNumberFormat="1" applyFont="1" applyBorder="1" applyAlignment="1">
      <alignment horizontal="center" vertical="center"/>
    </xf>
    <xf numFmtId="168" fontId="14" fillId="0" borderId="16" xfId="10" applyNumberFormat="1" applyFont="1" applyBorder="1"/>
    <xf numFmtId="168" fontId="14" fillId="0" borderId="17" xfId="10" applyNumberFormat="1" applyFont="1" applyBorder="1"/>
    <xf numFmtId="168" fontId="20" fillId="0" borderId="17" xfId="10" applyNumberFormat="1" applyFont="1" applyFill="1" applyBorder="1" applyAlignment="1">
      <alignment horizontal="right" vertical="center"/>
    </xf>
    <xf numFmtId="168" fontId="1" fillId="0" borderId="17" xfId="10" applyNumberFormat="1" applyFont="1" applyBorder="1"/>
    <xf numFmtId="168" fontId="1" fillId="0" borderId="29" xfId="10" applyNumberFormat="1" applyFont="1" applyBorder="1" applyAlignment="1">
      <alignment horizontal="right" vertical="center"/>
    </xf>
    <xf numFmtId="168" fontId="1" fillId="0" borderId="31" xfId="10" applyNumberFormat="1" applyFont="1" applyBorder="1" applyAlignment="1">
      <alignment horizontal="center" vertical="center"/>
    </xf>
    <xf numFmtId="168" fontId="9" fillId="4" borderId="28" xfId="10" applyNumberFormat="1" applyFont="1" applyFill="1" applyBorder="1" applyAlignment="1">
      <alignment horizontal="center" vertical="center"/>
    </xf>
    <xf numFmtId="168" fontId="9" fillId="17" borderId="28" xfId="10" applyNumberFormat="1" applyFont="1" applyFill="1" applyBorder="1" applyAlignment="1">
      <alignment horizontal="right" vertical="center"/>
    </xf>
    <xf numFmtId="168" fontId="9" fillId="17" borderId="34" xfId="10" applyNumberFormat="1" applyFont="1" applyFill="1" applyBorder="1" applyAlignment="1">
      <alignment horizontal="center" vertical="center"/>
    </xf>
    <xf numFmtId="0" fontId="0" fillId="0" borderId="33" xfId="0" applyBorder="1"/>
    <xf numFmtId="0" fontId="0" fillId="0" borderId="9" xfId="0" applyBorder="1"/>
    <xf numFmtId="168" fontId="9" fillId="21" borderId="18" xfId="10" applyNumberFormat="1" applyFont="1" applyFill="1" applyBorder="1"/>
    <xf numFmtId="168" fontId="1" fillId="7" borderId="27" xfId="10" applyNumberFormat="1" applyFont="1" applyFill="1" applyBorder="1" applyAlignment="1">
      <alignment horizontal="left"/>
    </xf>
    <xf numFmtId="0" fontId="1" fillId="0" borderId="0" xfId="0" applyFont="1"/>
    <xf numFmtId="168" fontId="57" fillId="0" borderId="18" xfId="10" applyNumberFormat="1" applyFont="1" applyBorder="1"/>
    <xf numFmtId="166" fontId="9" fillId="0" borderId="18" xfId="10" applyNumberFormat="1" applyFont="1" applyBorder="1"/>
    <xf numFmtId="168" fontId="1" fillId="9" borderId="9" xfId="10" applyNumberFormat="1" applyFont="1" applyFill="1" applyBorder="1"/>
    <xf numFmtId="164" fontId="1" fillId="9" borderId="32" xfId="10" applyNumberFormat="1" applyFont="1" applyFill="1" applyBorder="1"/>
    <xf numFmtId="164" fontId="1" fillId="9" borderId="17" xfId="10" applyNumberFormat="1" applyFont="1" applyFill="1" applyBorder="1"/>
    <xf numFmtId="166" fontId="1" fillId="9" borderId="0" xfId="10" applyNumberFormat="1" applyFont="1" applyFill="1" applyBorder="1" applyAlignment="1">
      <alignment horizontal="center" vertical="center"/>
    </xf>
    <xf numFmtId="166" fontId="1" fillId="9" borderId="17" xfId="10" applyNumberFormat="1" applyFont="1" applyFill="1" applyBorder="1"/>
    <xf numFmtId="168" fontId="1" fillId="9" borderId="15" xfId="10" applyNumberFormat="1" applyFont="1" applyFill="1" applyBorder="1"/>
    <xf numFmtId="164" fontId="1" fillId="9" borderId="15" xfId="10" applyNumberFormat="1" applyFont="1" applyFill="1" applyBorder="1"/>
    <xf numFmtId="166" fontId="1" fillId="9" borderId="15" xfId="10" applyNumberFormat="1" applyFont="1" applyFill="1" applyBorder="1"/>
    <xf numFmtId="166" fontId="1" fillId="9" borderId="11" xfId="10" applyNumberFormat="1" applyFont="1" applyFill="1" applyBorder="1" applyAlignment="1">
      <alignment horizontal="center" vertical="center"/>
    </xf>
    <xf numFmtId="168" fontId="1" fillId="9" borderId="13" xfId="10" applyNumberFormat="1" applyFont="1" applyFill="1" applyBorder="1"/>
    <xf numFmtId="0" fontId="54" fillId="0" borderId="0" xfId="0" applyFont="1" applyBorder="1"/>
    <xf numFmtId="0" fontId="1" fillId="9" borderId="13" xfId="0" applyFont="1" applyFill="1" applyBorder="1" applyAlignment="1">
      <alignment vertical="center" wrapText="1"/>
    </xf>
    <xf numFmtId="164" fontId="9" fillId="7" borderId="29" xfId="10" applyFont="1" applyFill="1" applyBorder="1"/>
    <xf numFmtId="164" fontId="9" fillId="7" borderId="31" xfId="10" applyFont="1" applyFill="1" applyBorder="1"/>
    <xf numFmtId="39" fontId="9" fillId="0" borderId="0" xfId="0" applyNumberFormat="1" applyFont="1" applyBorder="1" applyAlignment="1" applyProtection="1">
      <alignment vertical="center"/>
    </xf>
    <xf numFmtId="168" fontId="0" fillId="0" borderId="0" xfId="0" applyNumberFormat="1"/>
    <xf numFmtId="166" fontId="0" fillId="0" borderId="0" xfId="0" applyNumberFormat="1"/>
    <xf numFmtId="164" fontId="0" fillId="0" borderId="0" xfId="0" applyNumberFormat="1"/>
    <xf numFmtId="164" fontId="9" fillId="0" borderId="0" xfId="10" applyFont="1" applyBorder="1" applyAlignment="1" applyProtection="1">
      <alignment vertical="center"/>
    </xf>
    <xf numFmtId="0" fontId="58" fillId="7" borderId="2" xfId="0" applyFont="1" applyFill="1" applyBorder="1" applyAlignment="1">
      <alignment horizontal="center"/>
    </xf>
    <xf numFmtId="164" fontId="59" fillId="0" borderId="18" xfId="10" applyNumberFormat="1" applyFont="1" applyBorder="1"/>
    <xf numFmtId="168" fontId="59" fillId="0" borderId="18" xfId="10" applyNumberFormat="1" applyFont="1" applyBorder="1"/>
    <xf numFmtId="166" fontId="59" fillId="0" borderId="28" xfId="10" applyNumberFormat="1" applyFont="1" applyBorder="1"/>
    <xf numFmtId="166" fontId="59" fillId="0" borderId="18" xfId="10" applyNumberFormat="1" applyFont="1" applyBorder="1"/>
    <xf numFmtId="0" fontId="58" fillId="0" borderId="2" xfId="0" applyFont="1" applyBorder="1" applyAlignment="1">
      <alignment horizontal="center" vertical="center" wrapText="1"/>
    </xf>
    <xf numFmtId="164" fontId="59" fillId="0" borderId="18" xfId="10" applyFont="1" applyBorder="1"/>
    <xf numFmtId="164" fontId="59" fillId="0" borderId="18" xfId="10" applyNumberFormat="1" applyFont="1" applyBorder="1" applyAlignment="1">
      <alignment vertical="center"/>
    </xf>
    <xf numFmtId="0" fontId="1" fillId="9" borderId="9" xfId="0" applyFont="1" applyFill="1" applyBorder="1" applyAlignment="1">
      <alignment vertical="center" wrapText="1"/>
    </xf>
    <xf numFmtId="164" fontId="0" fillId="0" borderId="0" xfId="10" applyNumberFormat="1" applyFont="1" applyFill="1" applyBorder="1"/>
    <xf numFmtId="164" fontId="9" fillId="7" borderId="32" xfId="10" applyFont="1" applyFill="1" applyBorder="1"/>
    <xf numFmtId="164" fontId="9" fillId="7" borderId="19" xfId="10" applyFont="1" applyFill="1" applyBorder="1"/>
    <xf numFmtId="0" fontId="9" fillId="22" borderId="10" xfId="0" applyFont="1" applyFill="1" applyBorder="1" applyAlignment="1">
      <alignment horizontal="left" vertical="center" wrapText="1"/>
    </xf>
    <xf numFmtId="164" fontId="9" fillId="22" borderId="3" xfId="10" applyFont="1" applyFill="1" applyBorder="1" applyAlignment="1" applyProtection="1">
      <alignment vertical="center"/>
    </xf>
    <xf numFmtId="168" fontId="9" fillId="22" borderId="3" xfId="10" applyNumberFormat="1" applyFont="1" applyFill="1" applyBorder="1" applyAlignment="1" applyProtection="1">
      <alignment vertical="center"/>
    </xf>
    <xf numFmtId="166" fontId="9" fillId="22" borderId="3" xfId="10" applyNumberFormat="1" applyFont="1" applyFill="1" applyBorder="1"/>
    <xf numFmtId="164" fontId="9" fillId="22" borderId="3" xfId="10" applyNumberFormat="1" applyFont="1" applyFill="1" applyBorder="1"/>
    <xf numFmtId="164" fontId="9" fillId="22" borderId="3" xfId="10" applyFont="1" applyFill="1" applyBorder="1"/>
    <xf numFmtId="164" fontId="9" fillId="22" borderId="4" xfId="10" applyFont="1" applyFill="1" applyBorder="1"/>
    <xf numFmtId="0" fontId="1" fillId="22" borderId="9" xfId="0" applyFont="1" applyFill="1" applyBorder="1" applyAlignment="1">
      <alignment horizontal="left" vertical="center" wrapText="1"/>
    </xf>
    <xf numFmtId="164" fontId="1" fillId="22" borderId="17" xfId="10" applyFont="1" applyFill="1" applyBorder="1" applyAlignment="1" applyProtection="1">
      <alignment vertical="center"/>
    </xf>
    <xf numFmtId="164" fontId="1" fillId="22" borderId="9" xfId="10" applyFont="1" applyFill="1" applyBorder="1" applyAlignment="1" applyProtection="1">
      <alignment vertical="center"/>
    </xf>
    <xf numFmtId="168" fontId="1" fillId="22" borderId="9" xfId="10" applyNumberFormat="1" applyFont="1" applyFill="1" applyBorder="1" applyAlignment="1">
      <alignment horizontal="center" vertical="center"/>
    </xf>
    <xf numFmtId="168" fontId="1" fillId="22" borderId="17" xfId="10" applyNumberFormat="1" applyFont="1" applyFill="1" applyBorder="1" applyAlignment="1" applyProtection="1">
      <alignment horizontal="center" vertical="center"/>
    </xf>
    <xf numFmtId="164" fontId="1" fillId="22" borderId="17" xfId="10" applyFont="1" applyFill="1" applyBorder="1" applyAlignment="1">
      <alignment horizontal="center" vertical="center"/>
    </xf>
    <xf numFmtId="166" fontId="1" fillId="22" borderId="17" xfId="10" applyNumberFormat="1" applyFont="1" applyFill="1" applyBorder="1" applyAlignment="1">
      <alignment horizontal="center" vertical="center"/>
    </xf>
    <xf numFmtId="164" fontId="1" fillId="22" borderId="9" xfId="10" applyFont="1" applyFill="1" applyBorder="1" applyAlignment="1">
      <alignment horizontal="center" vertical="center"/>
    </xf>
    <xf numFmtId="166" fontId="1" fillId="22" borderId="0" xfId="10" applyNumberFormat="1" applyFont="1" applyFill="1" applyBorder="1" applyAlignment="1">
      <alignment horizontal="center" vertical="center"/>
    </xf>
    <xf numFmtId="0" fontId="1" fillId="22" borderId="9" xfId="0" applyFont="1" applyFill="1" applyBorder="1" applyAlignment="1">
      <alignment vertical="center" wrapText="1"/>
    </xf>
    <xf numFmtId="168" fontId="1" fillId="22" borderId="17" xfId="10" applyNumberFormat="1" applyFont="1" applyFill="1" applyBorder="1" applyAlignment="1">
      <alignment vertical="center"/>
    </xf>
    <xf numFmtId="168" fontId="1" fillId="22" borderId="17" xfId="10" applyNumberFormat="1" applyFont="1" applyFill="1" applyBorder="1" applyAlignment="1" applyProtection="1">
      <alignment vertical="center"/>
    </xf>
    <xf numFmtId="164" fontId="1" fillId="22" borderId="17" xfId="10" applyFont="1" applyFill="1" applyBorder="1" applyAlignment="1">
      <alignment vertical="center"/>
    </xf>
    <xf numFmtId="164" fontId="1" fillId="22" borderId="9" xfId="10" applyNumberFormat="1" applyFont="1" applyFill="1" applyBorder="1" applyAlignment="1">
      <alignment horizontal="center" vertical="center"/>
    </xf>
    <xf numFmtId="164" fontId="1" fillId="22" borderId="17" xfId="10" applyNumberFormat="1" applyFont="1" applyFill="1" applyBorder="1" applyAlignment="1">
      <alignment horizontal="center" vertical="center"/>
    </xf>
    <xf numFmtId="168" fontId="1" fillId="22" borderId="9" xfId="10" applyNumberFormat="1" applyFont="1" applyFill="1" applyBorder="1"/>
    <xf numFmtId="168" fontId="1" fillId="22" borderId="17" xfId="10" applyNumberFormat="1" applyFont="1" applyFill="1" applyBorder="1"/>
    <xf numFmtId="164" fontId="1" fillId="22" borderId="17" xfId="10" applyNumberFormat="1" applyFont="1" applyFill="1" applyBorder="1"/>
    <xf numFmtId="166" fontId="1" fillId="22" borderId="9" xfId="10" applyNumberFormat="1" applyFont="1" applyFill="1" applyBorder="1"/>
    <xf numFmtId="166" fontId="1" fillId="22" borderId="17" xfId="10" applyNumberFormat="1" applyFont="1" applyFill="1" applyBorder="1"/>
    <xf numFmtId="164" fontId="1" fillId="22" borderId="9" xfId="10" applyNumberFormat="1" applyFont="1" applyFill="1" applyBorder="1"/>
    <xf numFmtId="0" fontId="1" fillId="22" borderId="13" xfId="0" applyFont="1" applyFill="1" applyBorder="1" applyAlignment="1">
      <alignment horizontal="left" vertical="center" wrapText="1"/>
    </xf>
    <xf numFmtId="164" fontId="1" fillId="22" borderId="15" xfId="10" applyFont="1" applyFill="1" applyBorder="1" applyAlignment="1" applyProtection="1">
      <alignment vertical="center"/>
    </xf>
    <xf numFmtId="168" fontId="1" fillId="22" borderId="15" xfId="10" applyNumberFormat="1" applyFont="1" applyFill="1" applyBorder="1"/>
    <xf numFmtId="164" fontId="1" fillId="22" borderId="15" xfId="10" applyNumberFormat="1" applyFont="1" applyFill="1" applyBorder="1"/>
    <xf numFmtId="166" fontId="1" fillId="22" borderId="15" xfId="10" applyNumberFormat="1" applyFont="1" applyFill="1" applyBorder="1"/>
    <xf numFmtId="166" fontId="1" fillId="22" borderId="11" xfId="10" applyNumberFormat="1" applyFont="1" applyFill="1" applyBorder="1" applyAlignment="1">
      <alignment horizontal="center" vertical="center"/>
    </xf>
    <xf numFmtId="164" fontId="9" fillId="22" borderId="3" xfId="10" applyNumberFormat="1" applyFont="1" applyFill="1" applyBorder="1" applyAlignment="1">
      <alignment vertical="center"/>
    </xf>
    <xf numFmtId="0" fontId="1" fillId="22" borderId="10" xfId="0" applyFont="1" applyFill="1" applyBorder="1" applyAlignment="1">
      <alignment horizontal="left" vertical="center" wrapText="1"/>
    </xf>
    <xf numFmtId="164" fontId="1" fillId="22" borderId="3" xfId="10" applyFont="1" applyFill="1" applyBorder="1" applyAlignment="1" applyProtection="1">
      <alignment vertical="center"/>
    </xf>
    <xf numFmtId="164" fontId="1" fillId="22" borderId="10" xfId="10" applyFont="1" applyFill="1" applyBorder="1" applyAlignment="1" applyProtection="1">
      <alignment vertical="center"/>
    </xf>
    <xf numFmtId="168" fontId="1" fillId="22" borderId="10" xfId="10" applyNumberFormat="1" applyFont="1" applyFill="1" applyBorder="1"/>
    <xf numFmtId="168" fontId="1" fillId="22" borderId="3" xfId="10" applyNumberFormat="1" applyFont="1" applyFill="1" applyBorder="1"/>
    <xf numFmtId="164" fontId="1" fillId="22" borderId="3" xfId="10" applyFont="1" applyFill="1" applyBorder="1"/>
    <xf numFmtId="166" fontId="1" fillId="22" borderId="3" xfId="10" applyNumberFormat="1" applyFont="1" applyFill="1" applyBorder="1"/>
    <xf numFmtId="164" fontId="1" fillId="22" borderId="3" xfId="10" applyNumberFormat="1" applyFont="1" applyFill="1" applyBorder="1"/>
    <xf numFmtId="166" fontId="1" fillId="22" borderId="14" xfId="10" applyNumberFormat="1" applyFont="1" applyFill="1" applyBorder="1" applyAlignment="1">
      <alignment horizontal="center" vertical="center"/>
    </xf>
    <xf numFmtId="164" fontId="1" fillId="22" borderId="13" xfId="10" applyFont="1" applyFill="1" applyBorder="1" applyAlignment="1" applyProtection="1">
      <alignment vertical="center"/>
    </xf>
    <xf numFmtId="168" fontId="1" fillId="22" borderId="13" xfId="10" applyNumberFormat="1" applyFont="1" applyFill="1" applyBorder="1"/>
    <xf numFmtId="0" fontId="9" fillId="22" borderId="27" xfId="0" applyFont="1" applyFill="1" applyBorder="1" applyAlignment="1">
      <alignment horizontal="left" vertical="center" wrapText="1"/>
    </xf>
    <xf numFmtId="164" fontId="9" fillId="22" borderId="28" xfId="10" applyFont="1" applyFill="1" applyBorder="1" applyAlignment="1" applyProtection="1">
      <alignment vertical="center"/>
    </xf>
    <xf numFmtId="168" fontId="9" fillId="22" borderId="28" xfId="10" applyNumberFormat="1" applyFont="1" applyFill="1" applyBorder="1" applyAlignment="1" applyProtection="1">
      <alignment vertical="center"/>
    </xf>
    <xf numFmtId="166" fontId="9" fillId="22" borderId="15" xfId="10" applyNumberFormat="1" applyFont="1" applyFill="1" applyBorder="1"/>
    <xf numFmtId="165" fontId="9" fillId="22" borderId="28" xfId="10" applyNumberFormat="1" applyFont="1" applyFill="1" applyBorder="1"/>
    <xf numFmtId="164" fontId="9" fillId="22" borderId="15" xfId="10" applyNumberFormat="1" applyFont="1" applyFill="1" applyBorder="1" applyAlignment="1">
      <alignment vertical="center"/>
    </xf>
    <xf numFmtId="164" fontId="9" fillId="22" borderId="28" xfId="10" applyFont="1" applyFill="1" applyBorder="1"/>
    <xf numFmtId="164" fontId="9" fillId="22" borderId="34" xfId="10" applyFont="1" applyFill="1" applyBorder="1"/>
    <xf numFmtId="0" fontId="1" fillId="22" borderId="25" xfId="0" applyFont="1" applyFill="1" applyBorder="1" applyAlignment="1">
      <alignment vertical="center" wrapText="1"/>
    </xf>
    <xf numFmtId="164" fontId="1" fillId="22" borderId="26" xfId="10" applyNumberFormat="1" applyFont="1" applyFill="1" applyBorder="1" applyAlignment="1" applyProtection="1">
      <alignment vertical="center"/>
    </xf>
    <xf numFmtId="168" fontId="1" fillId="22" borderId="26" xfId="10" applyNumberFormat="1" applyFont="1" applyFill="1" applyBorder="1" applyAlignment="1" applyProtection="1">
      <alignment vertical="center"/>
    </xf>
    <xf numFmtId="166" fontId="1" fillId="22" borderId="26" xfId="10" applyNumberFormat="1" applyFont="1" applyFill="1" applyBorder="1"/>
    <xf numFmtId="164" fontId="1" fillId="22" borderId="26" xfId="10" applyNumberFormat="1" applyFont="1" applyFill="1" applyBorder="1"/>
    <xf numFmtId="166" fontId="1" fillId="22" borderId="24" xfId="10" applyNumberFormat="1" applyFont="1" applyFill="1" applyBorder="1" applyAlignment="1">
      <alignment horizontal="center" vertical="center"/>
    </xf>
    <xf numFmtId="164" fontId="9" fillId="22" borderId="28" xfId="10" applyNumberFormat="1" applyFont="1" applyFill="1" applyBorder="1" applyAlignment="1" applyProtection="1">
      <alignment vertical="center"/>
    </xf>
    <xf numFmtId="166" fontId="9" fillId="22" borderId="28" xfId="10" applyNumberFormat="1" applyFont="1" applyFill="1" applyBorder="1"/>
    <xf numFmtId="166" fontId="9" fillId="22" borderId="29" xfId="10" applyNumberFormat="1" applyFont="1" applyFill="1" applyBorder="1"/>
    <xf numFmtId="164" fontId="9" fillId="22" borderId="28" xfId="10" applyNumberFormat="1" applyFont="1" applyFill="1" applyBorder="1"/>
    <xf numFmtId="164" fontId="9" fillId="22" borderId="29" xfId="10" applyFont="1" applyFill="1" applyBorder="1"/>
    <xf numFmtId="164" fontId="9" fillId="22" borderId="31" xfId="10" applyFont="1" applyFill="1" applyBorder="1"/>
    <xf numFmtId="164" fontId="1" fillId="22" borderId="32" xfId="10" applyFont="1" applyFill="1" applyBorder="1" applyAlignment="1" applyProtection="1">
      <alignment vertical="center"/>
    </xf>
    <xf numFmtId="168" fontId="1" fillId="22" borderId="32" xfId="0" applyNumberFormat="1" applyFont="1" applyFill="1" applyBorder="1"/>
    <xf numFmtId="166" fontId="1" fillId="22" borderId="32" xfId="10" applyNumberFormat="1" applyFont="1" applyFill="1" applyBorder="1"/>
    <xf numFmtId="164" fontId="1" fillId="22" borderId="32" xfId="10" applyFont="1" applyFill="1" applyBorder="1"/>
    <xf numFmtId="164" fontId="1" fillId="22" borderId="0" xfId="10" applyFont="1" applyFill="1" applyBorder="1"/>
    <xf numFmtId="0" fontId="14" fillId="22" borderId="9" xfId="0" applyFont="1" applyFill="1" applyBorder="1" applyAlignment="1">
      <alignment horizontal="left" vertical="center" wrapText="1" indent="2"/>
    </xf>
    <xf numFmtId="166" fontId="54" fillId="22" borderId="17" xfId="10" applyNumberFormat="1" applyFont="1" applyFill="1" applyBorder="1"/>
    <xf numFmtId="164" fontId="1" fillId="22" borderId="17" xfId="10" applyFont="1" applyFill="1" applyBorder="1"/>
    <xf numFmtId="0" fontId="9" fillId="22" borderId="30" xfId="0" applyFont="1" applyFill="1" applyBorder="1" applyAlignment="1">
      <alignment horizontal="left" vertical="center" wrapText="1"/>
    </xf>
    <xf numFmtId="164" fontId="9" fillId="22" borderId="29" xfId="0" applyNumberFormat="1" applyFont="1" applyFill="1" applyBorder="1"/>
    <xf numFmtId="168" fontId="9" fillId="22" borderId="29" xfId="0" applyNumberFormat="1" applyFont="1" applyFill="1" applyBorder="1"/>
    <xf numFmtId="168" fontId="1" fillId="22" borderId="26" xfId="10" applyNumberFormat="1" applyFont="1" applyFill="1" applyBorder="1"/>
    <xf numFmtId="0" fontId="1" fillId="9" borderId="25" xfId="0" applyFont="1" applyFill="1" applyBorder="1" applyAlignment="1">
      <alignment horizontal="left" vertical="center" wrapText="1"/>
    </xf>
    <xf numFmtId="164" fontId="1" fillId="9" borderId="25" xfId="10" applyFont="1" applyFill="1" applyBorder="1" applyAlignment="1" applyProtection="1">
      <alignment vertical="center"/>
    </xf>
    <xf numFmtId="164" fontId="1" fillId="9" borderId="26" xfId="10" applyFont="1" applyFill="1" applyBorder="1" applyAlignment="1" applyProtection="1">
      <alignment vertical="center"/>
    </xf>
    <xf numFmtId="168" fontId="1" fillId="9" borderId="26" xfId="10" applyNumberFormat="1" applyFont="1" applyFill="1" applyBorder="1"/>
    <xf numFmtId="166" fontId="1" fillId="9" borderId="26" xfId="10" applyNumberFormat="1" applyFont="1" applyFill="1" applyBorder="1"/>
    <xf numFmtId="164" fontId="1" fillId="9" borderId="26" xfId="10" applyFont="1" applyFill="1" applyBorder="1"/>
    <xf numFmtId="166" fontId="1" fillId="9" borderId="24" xfId="10" applyNumberFormat="1" applyFont="1" applyFill="1" applyBorder="1" applyAlignment="1">
      <alignment horizontal="center" vertical="center"/>
    </xf>
    <xf numFmtId="0" fontId="9" fillId="9" borderId="27" xfId="0" applyFont="1" applyFill="1" applyBorder="1" applyAlignment="1">
      <alignment horizontal="left" vertical="center" wrapText="1"/>
    </xf>
    <xf numFmtId="164" fontId="9" fillId="9" borderId="28" xfId="10" applyFont="1" applyFill="1" applyBorder="1" applyAlignment="1" applyProtection="1">
      <alignment vertical="center"/>
    </xf>
    <xf numFmtId="168" fontId="9" fillId="9" borderId="28" xfId="10" applyNumberFormat="1" applyFont="1" applyFill="1" applyBorder="1" applyAlignment="1" applyProtection="1">
      <alignment vertical="center"/>
    </xf>
    <xf numFmtId="166" fontId="9" fillId="9" borderId="28" xfId="10" applyNumberFormat="1" applyFont="1" applyFill="1" applyBorder="1"/>
    <xf numFmtId="166" fontId="9" fillId="9" borderId="29" xfId="10" applyNumberFormat="1" applyFont="1" applyFill="1" applyBorder="1"/>
    <xf numFmtId="164" fontId="9" fillId="9" borderId="28" xfId="10" applyNumberFormat="1" applyFont="1" applyFill="1" applyBorder="1"/>
    <xf numFmtId="164" fontId="9" fillId="9" borderId="29" xfId="10" applyFont="1" applyFill="1" applyBorder="1"/>
    <xf numFmtId="164" fontId="9" fillId="9" borderId="31" xfId="10" applyFont="1" applyFill="1" applyBorder="1"/>
    <xf numFmtId="0" fontId="1" fillId="9" borderId="25" xfId="0" applyFont="1" applyFill="1" applyBorder="1" applyAlignment="1">
      <alignment vertical="center" wrapText="1"/>
    </xf>
    <xf numFmtId="164" fontId="1" fillId="9" borderId="26" xfId="10" applyNumberFormat="1" applyFont="1" applyFill="1" applyBorder="1" applyAlignment="1" applyProtection="1">
      <alignment vertical="center"/>
    </xf>
    <xf numFmtId="164" fontId="1" fillId="9" borderId="25" xfId="10" applyNumberFormat="1" applyFont="1" applyFill="1" applyBorder="1" applyAlignment="1" applyProtection="1">
      <alignment vertical="center"/>
    </xf>
    <xf numFmtId="168" fontId="1" fillId="9" borderId="25" xfId="10" applyNumberFormat="1" applyFont="1" applyFill="1" applyBorder="1"/>
    <xf numFmtId="164" fontId="1" fillId="9" borderId="26" xfId="10" applyNumberFormat="1" applyFont="1" applyFill="1" applyBorder="1"/>
    <xf numFmtId="164" fontId="9" fillId="9" borderId="28" xfId="10" applyNumberFormat="1" applyFont="1" applyFill="1" applyBorder="1" applyAlignment="1" applyProtection="1">
      <alignment vertical="center"/>
    </xf>
    <xf numFmtId="168" fontId="1" fillId="22" borderId="25" xfId="10" applyNumberFormat="1" applyFont="1" applyFill="1" applyBorder="1"/>
    <xf numFmtId="164" fontId="1" fillId="9" borderId="17" xfId="10" applyNumberFormat="1" applyFont="1" applyFill="1" applyBorder="1" applyAlignment="1" applyProtection="1">
      <alignment vertical="center"/>
    </xf>
    <xf numFmtId="164" fontId="1" fillId="9" borderId="9" xfId="10" applyNumberFormat="1" applyFont="1" applyFill="1" applyBorder="1" applyAlignment="1" applyProtection="1">
      <alignment vertical="center"/>
    </xf>
    <xf numFmtId="166" fontId="54" fillId="9" borderId="17" xfId="10" applyNumberFormat="1" applyFont="1" applyFill="1" applyBorder="1"/>
    <xf numFmtId="166" fontId="1" fillId="9" borderId="36" xfId="10" applyNumberFormat="1" applyFont="1" applyFill="1" applyBorder="1" applyAlignment="1">
      <alignment horizontal="center" vertical="center"/>
    </xf>
    <xf numFmtId="164" fontId="1" fillId="9" borderId="15" xfId="10" applyNumberFormat="1" applyFont="1" applyFill="1" applyBorder="1" applyAlignment="1" applyProtection="1">
      <alignment vertical="center"/>
    </xf>
    <xf numFmtId="164" fontId="1" fillId="9" borderId="15" xfId="10" applyNumberFormat="1" applyFont="1" applyFill="1" applyBorder="1" applyAlignment="1">
      <alignment vertical="center"/>
    </xf>
    <xf numFmtId="164" fontId="1" fillId="9" borderId="13" xfId="10" applyNumberFormat="1" applyFont="1" applyFill="1" applyBorder="1" applyAlignment="1">
      <alignment vertical="center"/>
    </xf>
    <xf numFmtId="166" fontId="54" fillId="9" borderId="15" xfId="10" applyNumberFormat="1" applyFont="1" applyFill="1" applyBorder="1"/>
    <xf numFmtId="168" fontId="9" fillId="9" borderId="28" xfId="10" applyNumberFormat="1" applyFont="1" applyFill="1" applyBorder="1"/>
    <xf numFmtId="168" fontId="9" fillId="22" borderId="28" xfId="10" applyNumberFormat="1" applyFont="1" applyFill="1" applyBorder="1"/>
    <xf numFmtId="168" fontId="9" fillId="22" borderId="27" xfId="10" applyNumberFormat="1" applyFont="1" applyFill="1" applyBorder="1"/>
    <xf numFmtId="0" fontId="1" fillId="22" borderId="32" xfId="0" applyFont="1" applyFill="1" applyBorder="1" applyAlignment="1">
      <alignment horizontal="center" vertical="center"/>
    </xf>
    <xf numFmtId="0" fontId="9" fillId="13" borderId="27" xfId="0" applyFont="1" applyFill="1" applyBorder="1" applyAlignment="1">
      <alignment horizontal="center" vertical="center"/>
    </xf>
    <xf numFmtId="173" fontId="6" fillId="0" borderId="14" xfId="10" applyNumberFormat="1" applyFont="1" applyFill="1" applyBorder="1" applyAlignment="1" applyProtection="1">
      <alignment vertical="center"/>
    </xf>
    <xf numFmtId="173" fontId="9" fillId="0" borderId="3" xfId="10" applyNumberFormat="1" applyFont="1" applyFill="1" applyBorder="1" applyAlignment="1" applyProtection="1">
      <alignment vertical="center"/>
      <protection locked="0"/>
    </xf>
    <xf numFmtId="0" fontId="9" fillId="13" borderId="23" xfId="0" applyFont="1" applyFill="1" applyBorder="1" applyAlignment="1">
      <alignment horizontal="left" vertical="center"/>
    </xf>
    <xf numFmtId="173" fontId="9" fillId="13" borderId="1" xfId="10" applyNumberFormat="1" applyFont="1" applyFill="1" applyBorder="1" applyAlignment="1" applyProtection="1">
      <alignment horizontal="center" vertical="center"/>
    </xf>
    <xf numFmtId="0" fontId="32" fillId="0" borderId="0" xfId="13" applyFont="1" applyBorder="1" applyAlignment="1">
      <alignment horizontal="left" vertical="center"/>
    </xf>
    <xf numFmtId="0" fontId="9" fillId="9" borderId="0" xfId="0" applyFont="1" applyFill="1" applyBorder="1" applyAlignment="1">
      <alignment horizontal="center" vertical="center"/>
    </xf>
    <xf numFmtId="173" fontId="1" fillId="0" borderId="1" xfId="10" applyNumberFormat="1" applyFont="1" applyFill="1" applyBorder="1" applyAlignment="1" applyProtection="1">
      <alignment vertical="center"/>
      <protection locked="0"/>
    </xf>
    <xf numFmtId="173" fontId="9" fillId="0" borderId="3" xfId="10" applyNumberFormat="1" applyFont="1" applyFill="1" applyBorder="1" applyAlignment="1" applyProtection="1">
      <alignment horizontal="center" vertical="center"/>
    </xf>
    <xf numFmtId="0" fontId="4" fillId="0" borderId="0" xfId="0" quotePrefix="1" applyFont="1"/>
    <xf numFmtId="173" fontId="6" fillId="0" borderId="59" xfId="10" applyNumberFormat="1" applyFont="1" applyFill="1" applyBorder="1" applyAlignment="1" applyProtection="1">
      <alignment vertical="center"/>
      <protection locked="0"/>
    </xf>
    <xf numFmtId="173" fontId="9" fillId="0" borderId="15" xfId="10" applyNumberFormat="1" applyFont="1" applyFill="1" applyBorder="1" applyAlignment="1" applyProtection="1">
      <alignment vertical="center"/>
      <protection locked="0"/>
    </xf>
    <xf numFmtId="173" fontId="9" fillId="0" borderId="12" xfId="10" applyNumberFormat="1" applyFont="1" applyBorder="1" applyAlignment="1">
      <alignment horizontal="right" vertical="center"/>
    </xf>
    <xf numFmtId="173" fontId="9" fillId="0" borderId="11" xfId="10" applyNumberFormat="1" applyFont="1" applyBorder="1" applyAlignment="1">
      <alignment horizontal="right" vertical="center"/>
    </xf>
    <xf numFmtId="173" fontId="6" fillId="0" borderId="56" xfId="10" applyNumberFormat="1" applyFont="1" applyBorder="1" applyAlignment="1">
      <alignment horizontal="right" vertical="center"/>
    </xf>
    <xf numFmtId="173" fontId="6" fillId="0" borderId="62" xfId="10" applyNumberFormat="1" applyFont="1" applyFill="1" applyBorder="1" applyAlignment="1" applyProtection="1">
      <alignment vertical="center"/>
      <protection locked="0"/>
    </xf>
    <xf numFmtId="173" fontId="1" fillId="0" borderId="43" xfId="10" applyNumberFormat="1" applyFont="1" applyFill="1" applyBorder="1" applyAlignment="1" applyProtection="1">
      <alignment vertical="center"/>
      <protection locked="0"/>
    </xf>
    <xf numFmtId="173" fontId="1" fillId="0" borderId="42" xfId="10" applyNumberFormat="1" applyFont="1" applyBorder="1" applyAlignment="1">
      <alignment horizontal="right" vertical="center"/>
    </xf>
    <xf numFmtId="175" fontId="1" fillId="0" borderId="43" xfId="10" applyNumberFormat="1" applyFont="1" applyFill="1" applyBorder="1" applyAlignment="1" applyProtection="1">
      <alignment horizontal="center" vertical="center"/>
    </xf>
    <xf numFmtId="167" fontId="14" fillId="0" borderId="65" xfId="10" quotePrefix="1" applyNumberFormat="1" applyFont="1" applyFill="1" applyBorder="1" applyAlignment="1" applyProtection="1">
      <alignment horizontal="left" vertical="center"/>
    </xf>
    <xf numFmtId="0" fontId="6" fillId="0" borderId="66" xfId="0" applyFont="1" applyBorder="1" applyAlignment="1">
      <alignment vertical="center"/>
    </xf>
    <xf numFmtId="0" fontId="33" fillId="0" borderId="67" xfId="13" applyFont="1" applyBorder="1" applyAlignment="1">
      <alignment horizontal="left" vertical="center" wrapText="1"/>
    </xf>
    <xf numFmtId="167" fontId="14" fillId="13" borderId="68" xfId="10" quotePrefix="1" applyNumberFormat="1" applyFont="1" applyFill="1" applyBorder="1" applyAlignment="1" applyProtection="1">
      <alignment horizontal="left" vertical="center"/>
    </xf>
    <xf numFmtId="173" fontId="1" fillId="0" borderId="41" xfId="10" applyNumberFormat="1" applyFont="1" applyBorder="1" applyAlignment="1">
      <alignment horizontal="right" vertical="center"/>
    </xf>
    <xf numFmtId="173" fontId="9" fillId="13" borderId="2" xfId="10" applyNumberFormat="1" applyFont="1" applyFill="1" applyBorder="1" applyAlignment="1" applyProtection="1">
      <alignment horizontal="center" vertical="center"/>
    </xf>
    <xf numFmtId="0" fontId="9" fillId="13" borderId="70" xfId="0" applyFont="1" applyFill="1" applyBorder="1" applyAlignment="1">
      <alignment horizontal="center" vertical="center"/>
    </xf>
    <xf numFmtId="0" fontId="9" fillId="13" borderId="71" xfId="0" applyFont="1" applyFill="1" applyBorder="1" applyAlignment="1">
      <alignment horizontal="center" vertical="center"/>
    </xf>
    <xf numFmtId="175" fontId="9" fillId="0" borderId="73" xfId="10" applyNumberFormat="1" applyFont="1" applyFill="1" applyBorder="1" applyAlignment="1" applyProtection="1">
      <alignment horizontal="center" vertical="center"/>
    </xf>
    <xf numFmtId="173" fontId="6" fillId="0" borderId="76" xfId="10" applyNumberFormat="1" applyFont="1" applyFill="1" applyBorder="1" applyAlignment="1" applyProtection="1">
      <alignment vertical="center"/>
      <protection locked="0"/>
    </xf>
    <xf numFmtId="175" fontId="6" fillId="0" borderId="73" xfId="10" applyNumberFormat="1" applyFont="1" applyFill="1" applyBorder="1" applyAlignment="1" applyProtection="1">
      <alignment horizontal="center" vertical="center"/>
    </xf>
    <xf numFmtId="173" fontId="9" fillId="0" borderId="77" xfId="10" applyNumberFormat="1" applyFont="1" applyFill="1" applyBorder="1" applyAlignment="1" applyProtection="1">
      <alignment horizontal="center" vertical="center"/>
    </xf>
    <xf numFmtId="173" fontId="6" fillId="0" borderId="79" xfId="10" applyNumberFormat="1" applyFont="1" applyFill="1" applyBorder="1" applyAlignment="1" applyProtection="1">
      <alignment vertical="center"/>
      <protection locked="0"/>
    </xf>
    <xf numFmtId="175" fontId="6" fillId="0" borderId="80" xfId="10" applyNumberFormat="1" applyFont="1" applyFill="1" applyBorder="1" applyAlignment="1" applyProtection="1">
      <alignment horizontal="center" vertical="center"/>
    </xf>
    <xf numFmtId="173" fontId="6" fillId="0" borderId="81" xfId="10" applyNumberFormat="1" applyFont="1" applyFill="1" applyBorder="1" applyAlignment="1" applyProtection="1">
      <alignment vertical="center"/>
      <protection locked="0"/>
    </xf>
    <xf numFmtId="173" fontId="6" fillId="0" borderId="82" xfId="10" applyNumberFormat="1" applyFont="1" applyFill="1" applyBorder="1" applyAlignment="1" applyProtection="1">
      <alignment vertical="center"/>
      <protection locked="0"/>
    </xf>
    <xf numFmtId="173" fontId="6" fillId="0" borderId="83" xfId="10" applyNumberFormat="1" applyFont="1" applyFill="1" applyBorder="1" applyAlignment="1" applyProtection="1">
      <alignment vertical="center"/>
      <protection locked="0"/>
    </xf>
    <xf numFmtId="175" fontId="6" fillId="0" borderId="84" xfId="10" applyNumberFormat="1" applyFont="1" applyFill="1" applyBorder="1" applyAlignment="1" applyProtection="1">
      <alignment horizontal="center" vertical="center"/>
    </xf>
    <xf numFmtId="173" fontId="9" fillId="0" borderId="85" xfId="10" applyNumberFormat="1" applyFont="1" applyFill="1" applyBorder="1" applyAlignment="1" applyProtection="1">
      <alignment vertical="center"/>
      <protection locked="0"/>
    </xf>
    <xf numFmtId="175" fontId="6" fillId="0" borderId="86" xfId="10" applyNumberFormat="1" applyFont="1" applyFill="1" applyBorder="1" applyAlignment="1" applyProtection="1">
      <alignment horizontal="center" vertical="center"/>
    </xf>
    <xf numFmtId="173" fontId="6" fillId="0" borderId="87" xfId="10" applyNumberFormat="1" applyFont="1" applyFill="1" applyBorder="1" applyAlignment="1" applyProtection="1">
      <alignment vertical="center"/>
      <protection locked="0"/>
    </xf>
    <xf numFmtId="173" fontId="9" fillId="0" borderId="87" xfId="10" applyNumberFormat="1" applyFont="1" applyFill="1" applyBorder="1" applyAlignment="1" applyProtection="1">
      <alignment vertical="center"/>
      <protection locked="0"/>
    </xf>
    <xf numFmtId="175" fontId="9" fillId="0" borderId="88" xfId="10" applyNumberFormat="1" applyFont="1" applyFill="1" applyBorder="1" applyAlignment="1" applyProtection="1">
      <alignment horizontal="center" vertical="center"/>
    </xf>
    <xf numFmtId="173" fontId="1" fillId="0" borderId="78" xfId="10" applyNumberFormat="1" applyFont="1" applyFill="1" applyBorder="1" applyAlignment="1" applyProtection="1">
      <alignment vertical="center"/>
      <protection locked="0"/>
    </xf>
    <xf numFmtId="175" fontId="1" fillId="0" borderId="75" xfId="10" applyNumberFormat="1" applyFont="1" applyFill="1" applyBorder="1" applyAlignment="1" applyProtection="1">
      <alignment horizontal="center" vertical="center"/>
    </xf>
    <xf numFmtId="173" fontId="1" fillId="0" borderId="70" xfId="10" applyNumberFormat="1" applyFont="1" applyFill="1" applyBorder="1" applyAlignment="1" applyProtection="1">
      <alignment vertical="center"/>
      <protection locked="0"/>
    </xf>
    <xf numFmtId="175" fontId="9" fillId="13" borderId="90" xfId="10" applyNumberFormat="1" applyFont="1" applyFill="1" applyBorder="1" applyAlignment="1" applyProtection="1">
      <alignment horizontal="center" vertical="center"/>
    </xf>
    <xf numFmtId="173" fontId="9" fillId="0" borderId="10" xfId="10" applyNumberFormat="1" applyFont="1" applyFill="1" applyBorder="1" applyAlignment="1" applyProtection="1">
      <alignment horizontal="center" vertical="center"/>
    </xf>
    <xf numFmtId="173" fontId="1" fillId="0" borderId="27" xfId="10" applyNumberFormat="1" applyFont="1" applyFill="1" applyBorder="1" applyAlignment="1" applyProtection="1">
      <alignment horizontal="center" vertical="center"/>
    </xf>
    <xf numFmtId="173" fontId="9" fillId="0" borderId="87" xfId="10" applyNumberFormat="1" applyFont="1" applyBorder="1" applyAlignment="1">
      <alignment horizontal="right" vertical="center"/>
    </xf>
    <xf numFmtId="173" fontId="1" fillId="0" borderId="74" xfId="10" applyNumberFormat="1" applyFont="1" applyBorder="1" applyAlignment="1">
      <alignment horizontal="right" vertical="center"/>
    </xf>
    <xf numFmtId="173" fontId="9" fillId="13" borderId="93" xfId="10" applyNumberFormat="1" applyFont="1" applyFill="1" applyBorder="1" applyAlignment="1" applyProtection="1">
      <alignment horizontal="center" vertical="center"/>
    </xf>
    <xf numFmtId="173" fontId="9" fillId="0" borderId="87" xfId="10" applyNumberFormat="1" applyFont="1" applyFill="1" applyBorder="1" applyAlignment="1" applyProtection="1">
      <alignment horizontal="center" vertical="center"/>
    </xf>
    <xf numFmtId="173" fontId="6" fillId="0" borderId="92" xfId="10" applyNumberFormat="1" applyFont="1" applyFill="1" applyBorder="1" applyAlignment="1" applyProtection="1">
      <alignment vertical="center"/>
    </xf>
    <xf numFmtId="173" fontId="6" fillId="0" borderId="94" xfId="10" applyNumberFormat="1" applyFont="1" applyFill="1" applyBorder="1" applyAlignment="1" applyProtection="1">
      <alignment vertical="center"/>
    </xf>
    <xf numFmtId="173" fontId="6" fillId="0" borderId="76" xfId="10" applyNumberFormat="1" applyFont="1" applyFill="1" applyBorder="1" applyAlignment="1" applyProtection="1">
      <alignment vertical="center"/>
    </xf>
    <xf numFmtId="173" fontId="6" fillId="0" borderId="91" xfId="10" applyNumberFormat="1" applyFont="1" applyFill="1" applyBorder="1" applyAlignment="1" applyProtection="1">
      <alignment vertical="center"/>
    </xf>
    <xf numFmtId="173" fontId="9" fillId="0" borderId="85" xfId="10" applyNumberFormat="1" applyFont="1" applyBorder="1" applyAlignment="1">
      <alignment horizontal="right" vertical="center"/>
    </xf>
    <xf numFmtId="173" fontId="1" fillId="0" borderId="70" xfId="10" applyNumberFormat="1" applyFont="1" applyFill="1" applyBorder="1" applyAlignment="1" applyProtection="1">
      <alignment horizontal="center" vertical="center"/>
    </xf>
    <xf numFmtId="175" fontId="1" fillId="0" borderId="71" xfId="10" applyNumberFormat="1" applyFont="1" applyFill="1" applyBorder="1" applyAlignment="1" applyProtection="1">
      <alignment horizontal="center" vertical="center"/>
    </xf>
    <xf numFmtId="173" fontId="9" fillId="0" borderId="77" xfId="10" applyNumberFormat="1" applyFont="1" applyFill="1" applyBorder="1" applyAlignment="1" applyProtection="1">
      <alignment vertical="center"/>
    </xf>
    <xf numFmtId="173" fontId="9" fillId="0" borderId="4" xfId="10" applyNumberFormat="1" applyFont="1" applyFill="1" applyBorder="1" applyAlignment="1" applyProtection="1">
      <alignment vertical="center"/>
    </xf>
    <xf numFmtId="173" fontId="9" fillId="0" borderId="87" xfId="10" applyNumberFormat="1" applyFont="1" applyFill="1" applyBorder="1" applyAlignment="1" applyProtection="1">
      <alignment vertical="center"/>
    </xf>
    <xf numFmtId="173" fontId="9" fillId="0" borderId="14" xfId="10" applyNumberFormat="1" applyFont="1" applyFill="1" applyBorder="1" applyAlignment="1" applyProtection="1">
      <alignment vertical="center"/>
    </xf>
    <xf numFmtId="0" fontId="1" fillId="0" borderId="54" xfId="0" quotePrefix="1" applyFont="1" applyBorder="1" applyAlignment="1">
      <alignment vertical="center"/>
    </xf>
    <xf numFmtId="0" fontId="1" fillId="0" borderId="58" xfId="0" quotePrefix="1" applyFont="1" applyBorder="1" applyAlignment="1">
      <alignment vertical="center"/>
    </xf>
    <xf numFmtId="0" fontId="33" fillId="0" borderId="61" xfId="13" applyFont="1" applyBorder="1" applyAlignment="1">
      <alignment horizontal="left" vertical="center" wrapText="1"/>
    </xf>
    <xf numFmtId="0" fontId="6" fillId="0" borderId="14" xfId="0" applyFont="1" applyBorder="1" applyAlignment="1">
      <alignment vertical="center"/>
    </xf>
    <xf numFmtId="167" fontId="14" fillId="0" borderId="58" xfId="10" quotePrefix="1" applyNumberFormat="1" applyFont="1" applyFill="1" applyBorder="1" applyAlignment="1" applyProtection="1">
      <alignment horizontal="left" vertical="center"/>
    </xf>
    <xf numFmtId="0" fontId="9" fillId="0" borderId="14" xfId="0" applyFont="1" applyBorder="1" applyAlignment="1">
      <alignment vertical="center"/>
    </xf>
    <xf numFmtId="167" fontId="14" fillId="0" borderId="39" xfId="10" applyNumberFormat="1" applyFont="1" applyFill="1" applyBorder="1" applyAlignment="1" applyProtection="1">
      <alignment horizontal="left" vertical="center"/>
    </xf>
    <xf numFmtId="167" fontId="14" fillId="0" borderId="45" xfId="10" applyNumberFormat="1" applyFont="1" applyFill="1" applyBorder="1" applyAlignment="1" applyProtection="1">
      <alignment horizontal="left" vertical="center" wrapText="1"/>
    </xf>
    <xf numFmtId="167" fontId="14" fillId="0" borderId="45" xfId="10" applyNumberFormat="1" applyFont="1" applyFill="1" applyBorder="1" applyAlignment="1" applyProtection="1">
      <alignment horizontal="left" vertical="center"/>
    </xf>
    <xf numFmtId="167" fontId="14" fillId="0" borderId="53" xfId="10" applyNumberFormat="1" applyFont="1" applyFill="1" applyBorder="1" applyAlignment="1" applyProtection="1">
      <alignment horizontal="left" vertical="center"/>
    </xf>
    <xf numFmtId="167" fontId="14" fillId="0" borderId="61" xfId="10" applyNumberFormat="1" applyFont="1" applyFill="1" applyBorder="1" applyAlignment="1" applyProtection="1">
      <alignment horizontal="left" vertical="center"/>
    </xf>
    <xf numFmtId="167" fontId="20" fillId="0" borderId="11" xfId="10" applyNumberFormat="1" applyFont="1" applyFill="1" applyBorder="1" applyAlignment="1" applyProtection="1">
      <alignment horizontal="left" vertical="center"/>
    </xf>
    <xf numFmtId="167" fontId="14" fillId="0" borderId="11" xfId="10" quotePrefix="1" applyNumberFormat="1" applyFont="1" applyFill="1" applyBorder="1" applyAlignment="1" applyProtection="1">
      <alignment horizontal="left" vertical="center"/>
    </xf>
    <xf numFmtId="0" fontId="1" fillId="0" borderId="14" xfId="0" quotePrefix="1" applyFont="1" applyBorder="1" applyAlignment="1">
      <alignment vertical="center"/>
    </xf>
    <xf numFmtId="167" fontId="14" fillId="0" borderId="1" xfId="10" quotePrefix="1" applyNumberFormat="1" applyFont="1" applyFill="1" applyBorder="1" applyAlignment="1" applyProtection="1">
      <alignment horizontal="left" vertical="center"/>
    </xf>
    <xf numFmtId="173" fontId="6" fillId="0" borderId="94" xfId="10" applyNumberFormat="1" applyFont="1" applyFill="1" applyBorder="1" applyAlignment="1" applyProtection="1">
      <alignment vertical="center"/>
      <protection locked="0"/>
    </xf>
    <xf numFmtId="173" fontId="6" fillId="0" borderId="91" xfId="10" applyNumberFormat="1" applyFont="1" applyFill="1" applyBorder="1" applyAlignment="1" applyProtection="1">
      <alignment vertical="center"/>
      <protection locked="0"/>
    </xf>
    <xf numFmtId="0" fontId="9" fillId="13" borderId="28" xfId="0" applyFont="1" applyFill="1" applyBorder="1" applyAlignment="1">
      <alignment horizontal="center" vertical="center"/>
    </xf>
    <xf numFmtId="173" fontId="6" fillId="0" borderId="96" xfId="10" applyNumberFormat="1" applyFont="1" applyFill="1" applyBorder="1" applyAlignment="1" applyProtection="1">
      <alignment vertical="center"/>
      <protection locked="0"/>
    </xf>
    <xf numFmtId="173" fontId="6" fillId="0" borderId="97" xfId="10" applyNumberFormat="1" applyFont="1" applyFill="1" applyBorder="1" applyAlignment="1" applyProtection="1">
      <alignment vertical="center"/>
      <protection locked="0"/>
    </xf>
    <xf numFmtId="173" fontId="6" fillId="0" borderId="98" xfId="10" applyNumberFormat="1" applyFont="1" applyFill="1" applyBorder="1" applyAlignment="1" applyProtection="1">
      <alignment vertical="center"/>
      <protection locked="0"/>
    </xf>
    <xf numFmtId="173" fontId="6" fillId="0" borderId="51" xfId="10" applyNumberFormat="1" applyFont="1" applyFill="1" applyBorder="1" applyAlignment="1" applyProtection="1">
      <alignment vertical="center"/>
      <protection locked="0"/>
    </xf>
    <xf numFmtId="173" fontId="9" fillId="0" borderId="13" xfId="10" applyNumberFormat="1" applyFont="1" applyFill="1" applyBorder="1" applyAlignment="1" applyProtection="1">
      <alignment vertical="center"/>
      <protection locked="0"/>
    </xf>
    <xf numFmtId="173" fontId="9" fillId="0" borderId="10" xfId="10" applyNumberFormat="1" applyFont="1" applyFill="1" applyBorder="1" applyAlignment="1" applyProtection="1">
      <alignment vertical="center"/>
      <protection locked="0"/>
    </xf>
    <xf numFmtId="173" fontId="1" fillId="0" borderId="54" xfId="10" applyNumberFormat="1" applyFont="1" applyFill="1" applyBorder="1" applyAlignment="1" applyProtection="1">
      <alignment vertical="center"/>
      <protection locked="0"/>
    </xf>
    <xf numFmtId="173" fontId="1" fillId="0" borderId="27" xfId="10" applyNumberFormat="1" applyFont="1" applyFill="1" applyBorder="1" applyAlignment="1" applyProtection="1">
      <alignment vertical="center"/>
      <protection locked="0"/>
    </xf>
    <xf numFmtId="173" fontId="1" fillId="0" borderId="74" xfId="10" applyNumberFormat="1" applyFont="1" applyFill="1" applyBorder="1" applyAlignment="1" applyProtection="1">
      <alignment vertical="center"/>
      <protection locked="0"/>
    </xf>
    <xf numFmtId="173" fontId="9" fillId="0" borderId="10" xfId="10" applyNumberFormat="1" applyFont="1" applyFill="1" applyBorder="1" applyAlignment="1" applyProtection="1">
      <alignment vertical="center"/>
    </xf>
    <xf numFmtId="173" fontId="6" fillId="0" borderId="70" xfId="10" applyNumberFormat="1" applyFont="1" applyFill="1" applyBorder="1" applyAlignment="1" applyProtection="1">
      <alignment vertical="center"/>
    </xf>
    <xf numFmtId="0" fontId="9" fillId="0" borderId="54" xfId="0" quotePrefix="1" applyFont="1" applyBorder="1" applyAlignment="1">
      <alignment vertical="center"/>
    </xf>
    <xf numFmtId="0" fontId="33" fillId="0" borderId="99" xfId="13" applyFont="1" applyBorder="1" applyAlignment="1">
      <alignment horizontal="left" vertical="center" wrapText="1"/>
    </xf>
    <xf numFmtId="0" fontId="1" fillId="0" borderId="65" xfId="0" quotePrefix="1" applyFont="1" applyBorder="1" applyAlignment="1">
      <alignment vertical="center"/>
    </xf>
    <xf numFmtId="0" fontId="1" fillId="0" borderId="100" xfId="0" quotePrefix="1" applyFont="1" applyBorder="1" applyAlignment="1">
      <alignment vertical="center"/>
    </xf>
    <xf numFmtId="0" fontId="9" fillId="0" borderId="66" xfId="0" applyFont="1" applyBorder="1" applyAlignment="1">
      <alignment vertical="center"/>
    </xf>
    <xf numFmtId="167" fontId="14" fillId="0" borderId="101" xfId="10" applyNumberFormat="1" applyFont="1" applyFill="1" applyBorder="1" applyAlignment="1" applyProtection="1">
      <alignment horizontal="left" vertical="center"/>
    </xf>
    <xf numFmtId="167" fontId="14" fillId="0" borderId="67" xfId="10" applyNumberFormat="1" applyFont="1" applyFill="1" applyBorder="1" applyAlignment="1" applyProtection="1">
      <alignment horizontal="left" vertical="center" wrapText="1"/>
    </xf>
    <xf numFmtId="167" fontId="14" fillId="0" borderId="67" xfId="10" applyNumberFormat="1" applyFont="1" applyFill="1" applyBorder="1" applyAlignment="1" applyProtection="1">
      <alignment horizontal="left" vertical="center"/>
    </xf>
    <xf numFmtId="167" fontId="14" fillId="0" borderId="102" xfId="10" applyNumberFormat="1" applyFont="1" applyFill="1" applyBorder="1" applyAlignment="1" applyProtection="1">
      <alignment horizontal="left" vertical="center"/>
    </xf>
    <xf numFmtId="167" fontId="14" fillId="0" borderId="99" xfId="10" applyNumberFormat="1" applyFont="1" applyFill="1" applyBorder="1" applyAlignment="1" applyProtection="1">
      <alignment horizontal="left" vertical="center"/>
    </xf>
    <xf numFmtId="167" fontId="20" fillId="0" borderId="64" xfId="10" applyNumberFormat="1" applyFont="1" applyFill="1" applyBorder="1" applyAlignment="1" applyProtection="1">
      <alignment horizontal="left" vertical="center"/>
    </xf>
    <xf numFmtId="167" fontId="14" fillId="0" borderId="64" xfId="10" quotePrefix="1" applyNumberFormat="1" applyFont="1" applyFill="1" applyBorder="1" applyAlignment="1" applyProtection="1">
      <alignment horizontal="left" vertical="center"/>
    </xf>
    <xf numFmtId="0" fontId="1" fillId="0" borderId="66" xfId="0" quotePrefix="1" applyFont="1" applyBorder="1" applyAlignment="1">
      <alignment vertical="center"/>
    </xf>
    <xf numFmtId="167" fontId="14" fillId="0" borderId="63" xfId="10" quotePrefix="1" applyNumberFormat="1" applyFont="1" applyFill="1" applyBorder="1" applyAlignment="1" applyProtection="1">
      <alignment horizontal="left" vertical="center"/>
    </xf>
    <xf numFmtId="178" fontId="1" fillId="0" borderId="92" xfId="10" applyNumberFormat="1" applyFont="1" applyFill="1" applyBorder="1" applyAlignment="1">
      <alignment vertical="center"/>
    </xf>
    <xf numFmtId="178" fontId="1" fillId="0" borderId="87" xfId="10" applyNumberFormat="1" applyFont="1" applyFill="1" applyBorder="1" applyAlignment="1">
      <alignment vertical="center"/>
    </xf>
    <xf numFmtId="178" fontId="1" fillId="0" borderId="74" xfId="10" applyNumberFormat="1" applyFont="1" applyFill="1" applyBorder="1" applyAlignment="1">
      <alignment vertical="center"/>
    </xf>
    <xf numFmtId="175" fontId="1" fillId="0" borderId="48" xfId="10" applyNumberFormat="1" applyFont="1" applyFill="1" applyBorder="1" applyAlignment="1" applyProtection="1">
      <alignment horizontal="center" vertical="center"/>
    </xf>
    <xf numFmtId="178" fontId="1" fillId="13" borderId="93" xfId="10" applyNumberFormat="1" applyFont="1" applyFill="1" applyBorder="1" applyAlignment="1">
      <alignment vertical="center"/>
    </xf>
    <xf numFmtId="178" fontId="1" fillId="0" borderId="94" xfId="10" applyNumberFormat="1" applyFont="1" applyFill="1" applyBorder="1" applyAlignment="1">
      <alignment vertical="center"/>
    </xf>
    <xf numFmtId="178" fontId="9" fillId="13" borderId="93" xfId="10" applyNumberFormat="1" applyFont="1" applyFill="1" applyBorder="1" applyAlignment="1">
      <alignment vertical="center"/>
    </xf>
    <xf numFmtId="0" fontId="33" fillId="0" borderId="101" xfId="13" applyFont="1" applyBorder="1" applyAlignment="1">
      <alignment horizontal="left" vertical="center" wrapText="1"/>
    </xf>
    <xf numFmtId="173" fontId="1" fillId="0" borderId="20" xfId="10" applyNumberFormat="1" applyFont="1" applyFill="1" applyBorder="1" applyAlignment="1" applyProtection="1">
      <alignment vertical="center"/>
    </xf>
    <xf numFmtId="178" fontId="9" fillId="0" borderId="95" xfId="10" applyNumberFormat="1" applyFont="1" applyFill="1" applyBorder="1" applyAlignment="1">
      <alignment vertical="center"/>
    </xf>
    <xf numFmtId="178" fontId="9" fillId="0" borderId="87" xfId="10" applyNumberFormat="1" applyFont="1" applyFill="1" applyBorder="1" applyAlignment="1">
      <alignment vertical="center"/>
    </xf>
    <xf numFmtId="178" fontId="9" fillId="0" borderId="10" xfId="10" applyNumberFormat="1" applyFont="1" applyFill="1" applyBorder="1" applyAlignment="1">
      <alignment vertical="center"/>
    </xf>
    <xf numFmtId="173" fontId="9" fillId="0" borderId="3" xfId="10" applyNumberFormat="1" applyFont="1" applyFill="1" applyBorder="1" applyAlignment="1" applyProtection="1">
      <alignment vertical="center"/>
    </xf>
    <xf numFmtId="173" fontId="1" fillId="0" borderId="75" xfId="10" applyNumberFormat="1" applyFont="1" applyFill="1" applyBorder="1" applyAlignment="1" applyProtection="1">
      <alignment vertical="center"/>
    </xf>
    <xf numFmtId="173" fontId="9" fillId="0" borderId="88" xfId="10" applyNumberFormat="1" applyFont="1" applyFill="1" applyBorder="1" applyAlignment="1" applyProtection="1">
      <alignment vertical="center"/>
    </xf>
    <xf numFmtId="173" fontId="6" fillId="0" borderId="86" xfId="10" applyNumberFormat="1" applyFont="1" applyFill="1" applyBorder="1" applyAlignment="1" applyProtection="1">
      <alignment vertical="center"/>
    </xf>
    <xf numFmtId="173" fontId="6" fillId="0" borderId="84" xfId="10" applyNumberFormat="1" applyFont="1" applyFill="1" applyBorder="1" applyAlignment="1" applyProtection="1">
      <alignment vertical="center"/>
    </xf>
    <xf numFmtId="173" fontId="6" fillId="0" borderId="80" xfId="10" applyNumberFormat="1" applyFont="1" applyFill="1" applyBorder="1" applyAlignment="1" applyProtection="1">
      <alignment vertical="center"/>
    </xf>
    <xf numFmtId="173" fontId="9" fillId="0" borderId="73" xfId="10" applyNumberFormat="1" applyFont="1" applyFill="1" applyBorder="1" applyAlignment="1" applyProtection="1">
      <alignment vertical="center"/>
    </xf>
    <xf numFmtId="173" fontId="1" fillId="0" borderId="71" xfId="10" applyNumberFormat="1" applyFont="1" applyFill="1" applyBorder="1" applyAlignment="1" applyProtection="1">
      <alignment vertical="center"/>
    </xf>
    <xf numFmtId="0" fontId="32" fillId="0" borderId="0" xfId="13" applyFont="1" applyBorder="1" applyAlignment="1">
      <alignment horizontal="center" vertical="center" wrapText="1"/>
    </xf>
    <xf numFmtId="0" fontId="32" fillId="0" borderId="14" xfId="13" applyFont="1" applyBorder="1" applyAlignment="1">
      <alignment horizontal="center" vertical="center" wrapText="1"/>
    </xf>
    <xf numFmtId="0" fontId="4" fillId="0" borderId="58" xfId="0" applyFont="1" applyBorder="1" applyAlignment="1">
      <alignment horizontal="center"/>
    </xf>
    <xf numFmtId="0" fontId="4" fillId="0" borderId="52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33" fillId="0" borderId="11" xfId="13" applyFont="1" applyBorder="1" applyAlignment="1">
      <alignment horizontal="center" vertical="center" wrapText="1"/>
    </xf>
    <xf numFmtId="167" fontId="9" fillId="0" borderId="14" xfId="10" applyNumberFormat="1" applyFont="1" applyFill="1" applyBorder="1" applyAlignment="1" applyProtection="1">
      <alignment horizontal="center" vertical="center"/>
    </xf>
    <xf numFmtId="0" fontId="4" fillId="0" borderId="7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167" fontId="9" fillId="0" borderId="11" xfId="10" applyNumberFormat="1" applyFont="1" applyFill="1" applyBorder="1" applyAlignment="1" applyProtection="1">
      <alignment horizontal="center" vertical="center"/>
    </xf>
    <xf numFmtId="167" fontId="6" fillId="0" borderId="0" xfId="10" applyNumberFormat="1" applyFont="1" applyFill="1" applyBorder="1" applyAlignment="1" applyProtection="1">
      <alignment horizontal="center" vertical="center"/>
    </xf>
    <xf numFmtId="167" fontId="6" fillId="0" borderId="11" xfId="10" applyNumberFormat="1" applyFont="1" applyFill="1" applyBorder="1" applyAlignment="1" applyProtection="1">
      <alignment horizontal="center" vertical="center"/>
    </xf>
    <xf numFmtId="0" fontId="32" fillId="0" borderId="14" xfId="13" applyFont="1" applyBorder="1" applyAlignment="1">
      <alignment horizontal="center" vertical="center"/>
    </xf>
    <xf numFmtId="0" fontId="32" fillId="0" borderId="24" xfId="13" applyFont="1" applyBorder="1" applyAlignment="1">
      <alignment horizontal="center" vertical="center"/>
    </xf>
    <xf numFmtId="167" fontId="14" fillId="0" borderId="69" xfId="10" quotePrefix="1" applyNumberFormat="1" applyFont="1" applyFill="1" applyBorder="1" applyAlignment="1" applyProtection="1">
      <alignment horizontal="left" vertical="center"/>
    </xf>
    <xf numFmtId="173" fontId="9" fillId="0" borderId="25" xfId="10" applyNumberFormat="1" applyFont="1" applyFill="1" applyBorder="1" applyAlignment="1" applyProtection="1">
      <alignment vertical="center"/>
      <protection locked="0"/>
    </xf>
    <xf numFmtId="173" fontId="9" fillId="0" borderId="105" xfId="10" applyNumberFormat="1" applyFont="1" applyFill="1" applyBorder="1" applyAlignment="1" applyProtection="1">
      <alignment vertical="center"/>
    </xf>
    <xf numFmtId="173" fontId="9" fillId="0" borderId="95" xfId="10" applyNumberFormat="1" applyFont="1" applyBorder="1" applyAlignment="1">
      <alignment horizontal="right" vertical="center"/>
    </xf>
    <xf numFmtId="173" fontId="9" fillId="0" borderId="26" xfId="10" applyNumberFormat="1" applyFont="1" applyFill="1" applyBorder="1" applyAlignment="1" applyProtection="1">
      <alignment horizontal="center" vertical="center"/>
    </xf>
    <xf numFmtId="173" fontId="9" fillId="0" borderId="95" xfId="10" applyNumberFormat="1" applyFont="1" applyFill="1" applyBorder="1" applyAlignment="1" applyProtection="1">
      <alignment vertical="center"/>
    </xf>
    <xf numFmtId="173" fontId="9" fillId="0" borderId="24" xfId="10" applyNumberFormat="1" applyFont="1" applyFill="1" applyBorder="1" applyAlignment="1" applyProtection="1">
      <alignment vertical="center"/>
    </xf>
    <xf numFmtId="175" fontId="9" fillId="0" borderId="38" xfId="10" applyNumberFormat="1" applyFont="1" applyFill="1" applyBorder="1" applyAlignment="1" applyProtection="1">
      <alignment horizontal="center" vertical="center"/>
    </xf>
    <xf numFmtId="173" fontId="9" fillId="0" borderId="9" xfId="10" applyNumberFormat="1" applyFont="1" applyFill="1" applyBorder="1" applyAlignment="1" applyProtection="1">
      <alignment vertical="center"/>
      <protection locked="0"/>
    </xf>
    <xf numFmtId="173" fontId="9" fillId="0" borderId="85" xfId="10" applyNumberFormat="1" applyFont="1" applyFill="1" applyBorder="1" applyAlignment="1" applyProtection="1">
      <alignment vertical="center"/>
    </xf>
    <xf numFmtId="173" fontId="9" fillId="0" borderId="11" xfId="10" applyNumberFormat="1" applyFont="1" applyFill="1" applyBorder="1" applyAlignment="1" applyProtection="1">
      <alignment vertical="center"/>
    </xf>
    <xf numFmtId="0" fontId="32" fillId="0" borderId="0" xfId="13" applyFont="1" applyBorder="1" applyAlignment="1">
      <alignment horizontal="center" vertical="center"/>
    </xf>
    <xf numFmtId="0" fontId="32" fillId="0" borderId="1" xfId="13" applyFont="1" applyBorder="1" applyAlignment="1">
      <alignment horizontal="center" vertical="center"/>
    </xf>
    <xf numFmtId="173" fontId="9" fillId="0" borderId="15" xfId="10" applyNumberFormat="1" applyFont="1" applyFill="1" applyBorder="1" applyAlignment="1" applyProtection="1">
      <alignment horizontal="center" vertical="center"/>
    </xf>
    <xf numFmtId="173" fontId="9" fillId="13" borderId="2" xfId="10" applyNumberFormat="1" applyFont="1" applyFill="1" applyBorder="1" applyAlignment="1" applyProtection="1">
      <alignment vertical="center"/>
    </xf>
    <xf numFmtId="167" fontId="14" fillId="0" borderId="66" xfId="10" quotePrefix="1" applyNumberFormat="1" applyFont="1" applyFill="1" applyBorder="1" applyAlignment="1" applyProtection="1">
      <alignment horizontal="left" vertical="center"/>
    </xf>
    <xf numFmtId="173" fontId="1" fillId="0" borderId="94" xfId="10" applyNumberFormat="1" applyFont="1" applyFill="1" applyBorder="1" applyAlignment="1" applyProtection="1">
      <alignment vertical="center"/>
    </xf>
    <xf numFmtId="0" fontId="9" fillId="0" borderId="14" xfId="0" quotePrefix="1" applyFont="1" applyBorder="1" applyAlignment="1">
      <alignment vertical="center"/>
    </xf>
    <xf numFmtId="173" fontId="9" fillId="0" borderId="76" xfId="10" applyNumberFormat="1" applyFont="1" applyFill="1" applyBorder="1" applyAlignment="1" applyProtection="1">
      <alignment vertical="center"/>
      <protection locked="0"/>
    </xf>
    <xf numFmtId="173" fontId="9" fillId="0" borderId="0" xfId="10" applyNumberFormat="1" applyFont="1" applyFill="1" applyBorder="1" applyAlignment="1" applyProtection="1">
      <alignment vertical="center"/>
    </xf>
    <xf numFmtId="173" fontId="9" fillId="0" borderId="95" xfId="10" applyNumberFormat="1" applyFont="1" applyFill="1" applyBorder="1" applyAlignment="1" applyProtection="1">
      <alignment vertical="center"/>
      <protection locked="0"/>
    </xf>
    <xf numFmtId="173" fontId="9" fillId="0" borderId="26" xfId="10" applyNumberFormat="1" applyFont="1" applyFill="1" applyBorder="1" applyAlignment="1" applyProtection="1">
      <alignment vertical="center"/>
      <protection locked="0"/>
    </xf>
    <xf numFmtId="175" fontId="9" fillId="0" borderId="105" xfId="10" applyNumberFormat="1" applyFont="1" applyFill="1" applyBorder="1" applyAlignment="1" applyProtection="1">
      <alignment horizontal="center" vertical="center"/>
    </xf>
    <xf numFmtId="173" fontId="9" fillId="0" borderId="26" xfId="10" applyNumberFormat="1" applyFont="1" applyBorder="1" applyAlignment="1">
      <alignment horizontal="right" vertical="center"/>
    </xf>
    <xf numFmtId="173" fontId="9" fillId="0" borderId="3" xfId="10" applyNumberFormat="1" applyFont="1" applyBorder="1" applyAlignment="1">
      <alignment horizontal="right" vertical="center"/>
    </xf>
    <xf numFmtId="173" fontId="1" fillId="0" borderId="95" xfId="10" applyNumberFormat="1" applyFont="1" applyBorder="1" applyAlignment="1">
      <alignment horizontal="right" vertical="center"/>
    </xf>
    <xf numFmtId="173" fontId="1" fillId="0" borderId="26" xfId="10" applyNumberFormat="1" applyFont="1" applyBorder="1" applyAlignment="1">
      <alignment horizontal="right" vertical="center"/>
    </xf>
    <xf numFmtId="175" fontId="1" fillId="0" borderId="105" xfId="10" applyNumberFormat="1" applyFont="1" applyFill="1" applyBorder="1" applyAlignment="1" applyProtection="1">
      <alignment horizontal="center" vertical="center"/>
    </xf>
    <xf numFmtId="178" fontId="1" fillId="0" borderId="95" xfId="10" applyNumberFormat="1" applyFont="1" applyFill="1" applyBorder="1" applyAlignment="1">
      <alignment vertical="center"/>
    </xf>
    <xf numFmtId="173" fontId="1" fillId="0" borderId="26" xfId="10" applyNumberFormat="1" applyFont="1" applyFill="1" applyBorder="1" applyAlignment="1" applyProtection="1">
      <alignment horizontal="center" vertical="center"/>
    </xf>
    <xf numFmtId="173" fontId="1" fillId="0" borderId="87" xfId="10" applyNumberFormat="1" applyFont="1" applyBorder="1" applyAlignment="1">
      <alignment horizontal="right" vertical="center"/>
    </xf>
    <xf numFmtId="173" fontId="1" fillId="0" borderId="3" xfId="10" applyNumberFormat="1" applyFont="1" applyBorder="1" applyAlignment="1">
      <alignment horizontal="right" vertical="center"/>
    </xf>
    <xf numFmtId="175" fontId="1" fillId="0" borderId="88" xfId="10" applyNumberFormat="1" applyFont="1" applyFill="1" applyBorder="1" applyAlignment="1" applyProtection="1">
      <alignment horizontal="center" vertical="center"/>
    </xf>
    <xf numFmtId="173" fontId="1" fillId="0" borderId="14" xfId="10" applyNumberFormat="1" applyFont="1" applyFill="1" applyBorder="1" applyAlignment="1" applyProtection="1">
      <alignment vertical="center"/>
    </xf>
    <xf numFmtId="178" fontId="1" fillId="0" borderId="85" xfId="10" applyNumberFormat="1" applyFont="1" applyFill="1" applyBorder="1" applyAlignment="1">
      <alignment vertical="center"/>
    </xf>
    <xf numFmtId="175" fontId="1" fillId="0" borderId="86" xfId="10" applyNumberFormat="1" applyFont="1" applyFill="1" applyBorder="1" applyAlignment="1" applyProtection="1">
      <alignment horizontal="center" vertical="center"/>
    </xf>
    <xf numFmtId="173" fontId="1" fillId="0" borderId="59" xfId="10" applyNumberFormat="1" applyFont="1" applyFill="1" applyBorder="1" applyAlignment="1" applyProtection="1">
      <alignment vertical="center"/>
      <protection locked="0"/>
    </xf>
    <xf numFmtId="175" fontId="1" fillId="0" borderId="80" xfId="10" applyNumberFormat="1" applyFont="1" applyFill="1" applyBorder="1" applyAlignment="1" applyProtection="1">
      <alignment horizontal="center" vertical="center"/>
    </xf>
    <xf numFmtId="173" fontId="1" fillId="0" borderId="85" xfId="10" applyNumberFormat="1" applyFont="1" applyBorder="1" applyAlignment="1">
      <alignment horizontal="right" vertical="center"/>
    </xf>
    <xf numFmtId="173" fontId="1" fillId="0" borderId="15" xfId="10" applyNumberFormat="1" applyFont="1" applyBorder="1" applyAlignment="1">
      <alignment horizontal="right" vertical="center"/>
    </xf>
    <xf numFmtId="175" fontId="1" fillId="0" borderId="73" xfId="10" applyNumberFormat="1" applyFont="1" applyFill="1" applyBorder="1" applyAlignment="1" applyProtection="1">
      <alignment horizontal="center" vertical="center"/>
    </xf>
    <xf numFmtId="175" fontId="1" fillId="0" borderId="84" xfId="10" applyNumberFormat="1" applyFont="1" applyFill="1" applyBorder="1" applyAlignment="1" applyProtection="1">
      <alignment horizontal="center" vertical="center"/>
    </xf>
    <xf numFmtId="173" fontId="1" fillId="0" borderId="76" xfId="10" applyNumberFormat="1" applyFont="1" applyFill="1" applyBorder="1" applyAlignment="1" applyProtection="1">
      <alignment vertical="center"/>
    </xf>
    <xf numFmtId="173" fontId="1" fillId="0" borderId="92" xfId="10" applyNumberFormat="1" applyFont="1" applyFill="1" applyBorder="1" applyAlignment="1" applyProtection="1">
      <alignment vertical="center"/>
    </xf>
    <xf numFmtId="173" fontId="1" fillId="0" borderId="20" xfId="10" applyNumberFormat="1" applyFont="1" applyFill="1" applyBorder="1" applyAlignment="1" applyProtection="1">
      <alignment vertical="center"/>
      <protection locked="0"/>
    </xf>
    <xf numFmtId="173" fontId="1" fillId="0" borderId="12" xfId="10" applyNumberFormat="1" applyFont="1" applyBorder="1" applyAlignment="1">
      <alignment horizontal="right" vertical="center"/>
    </xf>
    <xf numFmtId="173" fontId="1" fillId="0" borderId="87" xfId="10" applyNumberFormat="1" applyFont="1" applyFill="1" applyBorder="1" applyAlignment="1" applyProtection="1">
      <alignment vertical="center"/>
    </xf>
    <xf numFmtId="173" fontId="1" fillId="0" borderId="10" xfId="10" applyNumberFormat="1" applyFont="1" applyFill="1" applyBorder="1" applyAlignment="1" applyProtection="1">
      <alignment vertical="center"/>
      <protection locked="0"/>
    </xf>
    <xf numFmtId="173" fontId="1" fillId="0" borderId="74" xfId="10" applyNumberFormat="1" applyFont="1" applyFill="1" applyBorder="1" applyAlignment="1" applyProtection="1">
      <alignment horizontal="center" vertical="center"/>
    </xf>
    <xf numFmtId="173" fontId="1" fillId="0" borderId="89" xfId="10" applyNumberFormat="1" applyFont="1" applyBorder="1" applyAlignment="1">
      <alignment horizontal="right" vertical="center"/>
    </xf>
    <xf numFmtId="173" fontId="1" fillId="0" borderId="34" xfId="10" applyNumberFormat="1" applyFont="1" applyBorder="1" applyAlignment="1">
      <alignment horizontal="right" vertical="center"/>
    </xf>
    <xf numFmtId="173" fontId="1" fillId="0" borderId="15" xfId="10" applyNumberFormat="1" applyFont="1" applyFill="1" applyBorder="1" applyAlignment="1" applyProtection="1">
      <alignment horizontal="center" vertical="center"/>
    </xf>
    <xf numFmtId="178" fontId="1" fillId="0" borderId="10" xfId="10" applyNumberFormat="1" applyFont="1" applyFill="1" applyBorder="1" applyAlignment="1">
      <alignment vertical="center"/>
    </xf>
    <xf numFmtId="173" fontId="1" fillId="0" borderId="11" xfId="10" applyNumberFormat="1" applyFont="1" applyBorder="1" applyAlignment="1">
      <alignment horizontal="right" vertical="center"/>
    </xf>
    <xf numFmtId="173" fontId="1" fillId="0" borderId="54" xfId="10" applyNumberFormat="1" applyFont="1" applyFill="1" applyBorder="1" applyAlignment="1" applyProtection="1">
      <alignment vertical="center"/>
    </xf>
    <xf numFmtId="173" fontId="1" fillId="0" borderId="41" xfId="10" applyNumberFormat="1" applyFont="1" applyFill="1" applyBorder="1" applyAlignment="1" applyProtection="1">
      <alignment vertical="center"/>
      <protection locked="0"/>
    </xf>
    <xf numFmtId="173" fontId="1" fillId="0" borderId="41" xfId="10" applyNumberFormat="1" applyFont="1" applyFill="1" applyBorder="1" applyAlignment="1" applyProtection="1">
      <alignment vertical="center"/>
    </xf>
    <xf numFmtId="173" fontId="1" fillId="0" borderId="52" xfId="10" applyNumberFormat="1" applyFont="1" applyFill="1" applyBorder="1" applyAlignment="1" applyProtection="1">
      <alignment vertical="center"/>
    </xf>
    <xf numFmtId="173" fontId="1" fillId="0" borderId="21" xfId="10" applyNumberFormat="1" applyFont="1" applyFill="1" applyBorder="1" applyAlignment="1" applyProtection="1">
      <alignment vertical="center"/>
      <protection locked="0"/>
    </xf>
    <xf numFmtId="173" fontId="1" fillId="0" borderId="74" xfId="10" applyNumberFormat="1" applyFont="1" applyFill="1" applyBorder="1" applyAlignment="1" applyProtection="1">
      <alignment vertical="center"/>
    </xf>
    <xf numFmtId="173" fontId="1" fillId="0" borderId="42" xfId="10" applyNumberFormat="1" applyFont="1" applyFill="1" applyBorder="1" applyAlignment="1" applyProtection="1">
      <alignment vertical="center"/>
      <protection locked="0"/>
    </xf>
    <xf numFmtId="173" fontId="1" fillId="0" borderId="72" xfId="10" applyNumberFormat="1" applyFont="1" applyBorder="1" applyAlignment="1">
      <alignment horizontal="right" vertical="center"/>
    </xf>
    <xf numFmtId="173" fontId="1" fillId="0" borderId="58" xfId="10" applyNumberFormat="1" applyFont="1" applyBorder="1" applyAlignment="1">
      <alignment horizontal="right" vertical="center"/>
    </xf>
    <xf numFmtId="173" fontId="1" fillId="0" borderId="92" xfId="10" applyNumberFormat="1" applyFont="1" applyBorder="1" applyAlignment="1">
      <alignment horizontal="right" vertical="center"/>
    </xf>
    <xf numFmtId="173" fontId="1" fillId="0" borderId="13" xfId="10" applyNumberFormat="1" applyFont="1" applyFill="1" applyBorder="1" applyAlignment="1" applyProtection="1">
      <alignment horizontal="center" vertical="center"/>
    </xf>
    <xf numFmtId="173" fontId="1" fillId="0" borderId="107" xfId="10" applyNumberFormat="1" applyFont="1" applyFill="1" applyBorder="1" applyAlignment="1" applyProtection="1">
      <alignment horizontal="center" vertical="center"/>
    </xf>
    <xf numFmtId="173" fontId="1" fillId="0" borderId="52" xfId="10" applyNumberFormat="1" applyFont="1" applyBorder="1" applyAlignment="1">
      <alignment horizontal="right" vertical="center"/>
    </xf>
    <xf numFmtId="173" fontId="1" fillId="0" borderId="20" xfId="10" applyNumberFormat="1" applyFont="1" applyFill="1" applyBorder="1" applyAlignment="1" applyProtection="1">
      <alignment horizontal="center" vertical="center"/>
    </xf>
    <xf numFmtId="173" fontId="1" fillId="0" borderId="13" xfId="10" applyNumberFormat="1" applyFont="1" applyBorder="1" applyAlignment="1">
      <alignment horizontal="right" vertical="center"/>
    </xf>
    <xf numFmtId="173" fontId="1" fillId="0" borderId="58" xfId="10" applyNumberFormat="1" applyFont="1" applyFill="1" applyBorder="1" applyAlignment="1" applyProtection="1">
      <alignment vertical="center"/>
    </xf>
    <xf numFmtId="173" fontId="1" fillId="0" borderId="59" xfId="10" applyNumberFormat="1" applyFont="1" applyFill="1" applyBorder="1" applyAlignment="1" applyProtection="1">
      <alignment horizontal="center" vertical="center"/>
    </xf>
    <xf numFmtId="173" fontId="1" fillId="0" borderId="94" xfId="10" applyNumberFormat="1" applyFont="1" applyBorder="1" applyAlignment="1">
      <alignment horizontal="right" vertical="center"/>
    </xf>
    <xf numFmtId="3" fontId="5" fillId="20" borderId="0" xfId="0" applyNumberFormat="1" applyFont="1" applyFill="1" applyBorder="1"/>
    <xf numFmtId="168" fontId="1" fillId="2" borderId="3" xfId="10" quotePrefix="1" applyNumberFormat="1" applyFont="1" applyFill="1" applyBorder="1" applyAlignment="1">
      <alignment horizontal="right"/>
    </xf>
    <xf numFmtId="4" fontId="1" fillId="0" borderId="3" xfId="0" applyNumberFormat="1" applyFont="1" applyBorder="1"/>
    <xf numFmtId="4" fontId="1" fillId="0" borderId="4" xfId="0" applyNumberFormat="1" applyFont="1" applyBorder="1"/>
    <xf numFmtId="168" fontId="1" fillId="0" borderId="17" xfId="10" applyNumberFormat="1" applyFont="1" applyFill="1" applyBorder="1"/>
    <xf numFmtId="168" fontId="1" fillId="0" borderId="9" xfId="10" applyNumberFormat="1" applyFont="1" applyFill="1" applyBorder="1"/>
    <xf numFmtId="0" fontId="0" fillId="0" borderId="0" xfId="0" quotePrefix="1"/>
    <xf numFmtId="168" fontId="1" fillId="2" borderId="3" xfId="10" applyNumberFormat="1" applyFont="1" applyFill="1" applyBorder="1"/>
    <xf numFmtId="0" fontId="1" fillId="9" borderId="16" xfId="0" applyFont="1" applyFill="1" applyBorder="1"/>
    <xf numFmtId="168" fontId="1" fillId="9" borderId="0" xfId="10" applyNumberFormat="1" applyFont="1" applyFill="1" applyBorder="1" applyAlignment="1">
      <alignment horizontal="right"/>
    </xf>
    <xf numFmtId="168" fontId="1" fillId="9" borderId="6" xfId="10" applyNumberFormat="1" applyFont="1" applyFill="1" applyBorder="1" applyAlignment="1">
      <alignment horizontal="center"/>
    </xf>
    <xf numFmtId="0" fontId="1" fillId="9" borderId="17" xfId="0" applyFont="1" applyFill="1" applyBorder="1"/>
    <xf numFmtId="168" fontId="1" fillId="9" borderId="9" xfId="10" applyNumberFormat="1" applyFont="1" applyFill="1" applyBorder="1" applyAlignment="1">
      <alignment horizontal="center"/>
    </xf>
    <xf numFmtId="168" fontId="1" fillId="9" borderId="9" xfId="10" applyNumberFormat="1" applyFont="1" applyFill="1" applyBorder="1" applyAlignment="1">
      <alignment horizontal="right"/>
    </xf>
    <xf numFmtId="168" fontId="1" fillId="9" borderId="0" xfId="10" applyNumberFormat="1" applyFont="1" applyFill="1"/>
    <xf numFmtId="168" fontId="1" fillId="9" borderId="12" xfId="10" applyNumberFormat="1" applyFont="1" applyFill="1" applyBorder="1" applyAlignment="1">
      <alignment horizontal="right"/>
    </xf>
    <xf numFmtId="168" fontId="1" fillId="9" borderId="11" xfId="10" applyNumberFormat="1" applyFont="1" applyFill="1" applyBorder="1" applyAlignment="1">
      <alignment horizontal="right"/>
    </xf>
    <xf numFmtId="0" fontId="1" fillId="9" borderId="3" xfId="0" applyFont="1" applyFill="1" applyBorder="1"/>
    <xf numFmtId="168" fontId="1" fillId="9" borderId="10" xfId="10" applyNumberFormat="1" applyFont="1" applyFill="1" applyBorder="1" applyAlignment="1">
      <alignment horizontal="center"/>
    </xf>
    <xf numFmtId="168" fontId="1" fillId="9" borderId="13" xfId="10" applyNumberFormat="1" applyFont="1" applyFill="1" applyBorder="1" applyAlignment="1">
      <alignment horizontal="center"/>
    </xf>
    <xf numFmtId="168" fontId="1" fillId="9" borderId="0" xfId="10" applyNumberFormat="1" applyFont="1" applyFill="1" applyAlignment="1">
      <alignment horizontal="right"/>
    </xf>
    <xf numFmtId="168" fontId="1" fillId="9" borderId="11" xfId="10" applyNumberFormat="1" applyFont="1" applyFill="1" applyBorder="1" applyAlignment="1">
      <alignment horizontal="center"/>
    </xf>
    <xf numFmtId="168" fontId="1" fillId="9" borderId="17" xfId="10" applyNumberFormat="1" applyFont="1" applyFill="1" applyBorder="1"/>
    <xf numFmtId="0" fontId="1" fillId="9" borderId="9" xfId="0" quotePrefix="1" applyFont="1" applyFill="1" applyBorder="1" applyAlignment="1">
      <alignment horizontal="center"/>
    </xf>
    <xf numFmtId="166" fontId="1" fillId="9" borderId="9" xfId="10" applyNumberFormat="1" applyFont="1" applyFill="1" applyBorder="1" applyAlignment="1">
      <alignment horizontal="center"/>
    </xf>
    <xf numFmtId="168" fontId="1" fillId="9" borderId="9" xfId="10" applyNumberFormat="1" applyFont="1" applyFill="1" applyBorder="1" applyAlignment="1">
      <alignment vertical="center"/>
    </xf>
    <xf numFmtId="0" fontId="1" fillId="9" borderId="32" xfId="0" quotePrefix="1" applyFont="1" applyFill="1" applyBorder="1" applyAlignment="1">
      <alignment horizontal="center"/>
    </xf>
    <xf numFmtId="168" fontId="1" fillId="9" borderId="32" xfId="10" applyNumberFormat="1" applyFont="1" applyFill="1" applyBorder="1"/>
    <xf numFmtId="166" fontId="1" fillId="9" borderId="17" xfId="10" applyNumberFormat="1" applyFont="1" applyFill="1" applyBorder="1" applyAlignment="1">
      <alignment horizontal="center"/>
    </xf>
    <xf numFmtId="168" fontId="1" fillId="9" borderId="17" xfId="10" applyNumberFormat="1" applyFont="1" applyFill="1" applyBorder="1" applyAlignment="1">
      <alignment vertical="center"/>
    </xf>
    <xf numFmtId="168" fontId="1" fillId="9" borderId="17" xfId="10" applyNumberFormat="1" applyFont="1" applyFill="1" applyBorder="1" applyAlignment="1">
      <alignment horizontal="right"/>
    </xf>
    <xf numFmtId="168" fontId="1" fillId="9" borderId="17" xfId="10" applyNumberFormat="1" applyFont="1" applyFill="1" applyBorder="1" applyAlignment="1">
      <alignment horizontal="center"/>
    </xf>
    <xf numFmtId="166" fontId="1" fillId="9" borderId="15" xfId="10" applyNumberFormat="1" applyFont="1" applyFill="1" applyBorder="1" applyAlignment="1">
      <alignment horizontal="center"/>
    </xf>
    <xf numFmtId="168" fontId="1" fillId="9" borderId="15" xfId="10" applyNumberFormat="1" applyFont="1" applyFill="1" applyBorder="1" applyAlignment="1">
      <alignment vertical="center"/>
    </xf>
    <xf numFmtId="168" fontId="1" fillId="9" borderId="3" xfId="10" applyNumberFormat="1" applyFont="1" applyFill="1" applyBorder="1" applyAlignment="1">
      <alignment horizontal="right"/>
    </xf>
    <xf numFmtId="168" fontId="1" fillId="0" borderId="30" xfId="10" applyNumberFormat="1" applyFont="1" applyBorder="1" applyAlignment="1">
      <alignment horizontal="left" vertical="center"/>
    </xf>
    <xf numFmtId="0" fontId="1" fillId="8" borderId="0" xfId="0" applyFont="1" applyFill="1" applyAlignment="1"/>
    <xf numFmtId="173" fontId="9" fillId="0" borderId="95" xfId="10" quotePrefix="1" applyNumberFormat="1" applyFont="1" applyBorder="1" applyAlignment="1">
      <alignment horizontal="right" vertical="center"/>
    </xf>
    <xf numFmtId="173" fontId="9" fillId="0" borderId="17" xfId="10" applyNumberFormat="1" applyFont="1" applyFill="1" applyBorder="1" applyAlignment="1" applyProtection="1">
      <alignment vertical="center"/>
      <protection locked="0"/>
    </xf>
    <xf numFmtId="173" fontId="9" fillId="0" borderId="76" xfId="10" applyNumberFormat="1" applyFont="1" applyFill="1" applyBorder="1" applyAlignment="1" applyProtection="1">
      <alignment vertical="center"/>
    </xf>
    <xf numFmtId="173" fontId="9" fillId="0" borderId="15" xfId="10" applyNumberFormat="1" applyFont="1" applyBorder="1" applyAlignment="1">
      <alignment horizontal="right" vertical="center"/>
    </xf>
    <xf numFmtId="173" fontId="9" fillId="0" borderId="4" xfId="10" applyNumberFormat="1" applyFont="1" applyBorder="1" applyAlignment="1">
      <alignment horizontal="right" vertical="center"/>
    </xf>
    <xf numFmtId="176" fontId="9" fillId="0" borderId="19" xfId="0" applyNumberFormat="1" applyFont="1" applyBorder="1"/>
    <xf numFmtId="49" fontId="20" fillId="9" borderId="0" xfId="8" applyNumberFormat="1" applyFont="1" applyFill="1" applyBorder="1" applyAlignment="1">
      <alignment horizontal="center" vertical="center"/>
    </xf>
    <xf numFmtId="49" fontId="20" fillId="9" borderId="9" xfId="8" applyNumberFormat="1" applyFont="1" applyFill="1" applyBorder="1" applyAlignment="1">
      <alignment horizontal="center" vertical="center"/>
    </xf>
    <xf numFmtId="168" fontId="6" fillId="9" borderId="3" xfId="10" applyNumberFormat="1" applyFont="1" applyFill="1" applyBorder="1" applyAlignment="1">
      <alignment horizontal="right"/>
    </xf>
    <xf numFmtId="4" fontId="9" fillId="9" borderId="0" xfId="0" applyNumberFormat="1" applyFont="1" applyFill="1" applyBorder="1" applyAlignment="1">
      <alignment horizontal="center" vertical="center"/>
    </xf>
    <xf numFmtId="0" fontId="1" fillId="0" borderId="9" xfId="0" applyFont="1" applyBorder="1"/>
    <xf numFmtId="0" fontId="5" fillId="11" borderId="6" xfId="0" applyFont="1" applyFill="1" applyBorder="1" applyAlignment="1">
      <alignment horizontal="center" vertical="center"/>
    </xf>
    <xf numFmtId="165" fontId="5" fillId="12" borderId="9" xfId="0" applyNumberFormat="1" applyFont="1" applyFill="1" applyBorder="1" applyAlignment="1">
      <alignment horizontal="center"/>
    </xf>
    <xf numFmtId="0" fontId="5" fillId="12" borderId="9" xfId="0" applyFont="1" applyFill="1" applyBorder="1" applyAlignment="1">
      <alignment horizontal="center"/>
    </xf>
    <xf numFmtId="166" fontId="9" fillId="9" borderId="3" xfId="10" applyNumberFormat="1" applyFont="1" applyFill="1" applyBorder="1" applyAlignment="1">
      <alignment horizontal="center"/>
    </xf>
    <xf numFmtId="168" fontId="9" fillId="9" borderId="12" xfId="10" applyNumberFormat="1" applyFont="1" applyFill="1" applyBorder="1" applyAlignment="1">
      <alignment horizontal="right"/>
    </xf>
    <xf numFmtId="166" fontId="9" fillId="9" borderId="15" xfId="10" applyNumberFormat="1" applyFont="1" applyFill="1" applyBorder="1" applyAlignment="1">
      <alignment horizontal="center"/>
    </xf>
    <xf numFmtId="168" fontId="9" fillId="9" borderId="11" xfId="10" applyNumberFormat="1" applyFont="1" applyFill="1" applyBorder="1" applyAlignment="1">
      <alignment horizontal="right"/>
    </xf>
    <xf numFmtId="168" fontId="9" fillId="9" borderId="15" xfId="10" applyNumberFormat="1" applyFont="1" applyFill="1" applyBorder="1" applyAlignment="1">
      <alignment horizontal="center"/>
    </xf>
    <xf numFmtId="168" fontId="9" fillId="9" borderId="3" xfId="10" applyNumberFormat="1" applyFont="1" applyFill="1" applyBorder="1" applyAlignment="1">
      <alignment horizontal="right"/>
    </xf>
    <xf numFmtId="168" fontId="9" fillId="9" borderId="10" xfId="10" applyNumberFormat="1" applyFont="1" applyFill="1" applyBorder="1" applyAlignment="1">
      <alignment horizontal="right"/>
    </xf>
    <xf numFmtId="164" fontId="9" fillId="9" borderId="13" xfId="10" applyNumberFormat="1" applyFont="1" applyFill="1" applyBorder="1" applyAlignment="1">
      <alignment vertical="center"/>
    </xf>
    <xf numFmtId="165" fontId="5" fillId="13" borderId="9" xfId="0" applyNumberFormat="1" applyFont="1" applyFill="1" applyBorder="1" applyAlignment="1">
      <alignment horizontal="center"/>
    </xf>
    <xf numFmtId="2" fontId="5" fillId="13" borderId="9" xfId="0" applyNumberFormat="1" applyFont="1" applyFill="1" applyBorder="1" applyAlignment="1">
      <alignment horizontal="center"/>
    </xf>
    <xf numFmtId="3" fontId="5" fillId="13" borderId="9" xfId="0" applyNumberFormat="1" applyFont="1" applyFill="1" applyBorder="1" applyAlignment="1">
      <alignment horizontal="center"/>
    </xf>
    <xf numFmtId="3" fontId="5" fillId="12" borderId="9" xfId="0" applyNumberFormat="1" applyFont="1" applyFill="1" applyBorder="1" applyAlignment="1">
      <alignment horizontal="center"/>
    </xf>
    <xf numFmtId="0" fontId="5" fillId="13" borderId="9" xfId="0" applyFont="1" applyFill="1" applyBorder="1" applyAlignment="1">
      <alignment horizontal="center"/>
    </xf>
    <xf numFmtId="164" fontId="9" fillId="9" borderId="10" xfId="10" applyNumberFormat="1" applyFont="1" applyFill="1" applyBorder="1" applyAlignment="1">
      <alignment horizontal="center"/>
    </xf>
    <xf numFmtId="0" fontId="10" fillId="9" borderId="5" xfId="0" applyFont="1" applyFill="1" applyBorder="1"/>
    <xf numFmtId="0" fontId="10" fillId="9" borderId="7" xfId="0" applyFont="1" applyFill="1" applyBorder="1"/>
    <xf numFmtId="0" fontId="10" fillId="9" borderId="6" xfId="0" applyFont="1" applyFill="1" applyBorder="1"/>
    <xf numFmtId="0" fontId="1" fillId="9" borderId="0" xfId="0" applyFont="1" applyFill="1" applyBorder="1"/>
    <xf numFmtId="49" fontId="1" fillId="9" borderId="0" xfId="0" applyNumberFormat="1" applyFont="1" applyFill="1" applyBorder="1" applyAlignment="1">
      <alignment vertical="center"/>
    </xf>
    <xf numFmtId="0" fontId="33" fillId="9" borderId="11" xfId="0" applyFont="1" applyFill="1" applyBorder="1" applyAlignment="1">
      <alignment vertical="center"/>
    </xf>
    <xf numFmtId="0" fontId="1" fillId="9" borderId="17" xfId="6" applyFont="1" applyFill="1" applyBorder="1" applyAlignment="1">
      <alignment horizontal="center" vertical="center"/>
    </xf>
    <xf numFmtId="0" fontId="1" fillId="9" borderId="17" xfId="0" applyFont="1" applyFill="1" applyBorder="1" applyAlignment="1">
      <alignment horizontal="center" vertical="center"/>
    </xf>
    <xf numFmtId="0" fontId="61" fillId="9" borderId="0" xfId="0" applyFont="1" applyFill="1" applyBorder="1" applyAlignment="1">
      <alignment horizontal="center"/>
    </xf>
    <xf numFmtId="166" fontId="5" fillId="7" borderId="34" xfId="10" applyNumberFormat="1" applyFont="1" applyFill="1" applyBorder="1"/>
    <xf numFmtId="166" fontId="9" fillId="21" borderId="19" xfId="10" applyNumberFormat="1" applyFont="1" applyFill="1" applyBorder="1"/>
    <xf numFmtId="16" fontId="16" fillId="9" borderId="17" xfId="0" applyNumberFormat="1" applyFont="1" applyFill="1" applyBorder="1" applyAlignment="1">
      <alignment horizontal="center"/>
    </xf>
    <xf numFmtId="0" fontId="9" fillId="21" borderId="23" xfId="0" applyFont="1" applyFill="1" applyBorder="1" applyAlignment="1">
      <alignment horizontal="left" vertical="center"/>
    </xf>
    <xf numFmtId="167" fontId="14" fillId="21" borderId="68" xfId="10" quotePrefix="1" applyNumberFormat="1" applyFont="1" applyFill="1" applyBorder="1" applyAlignment="1" applyProtection="1">
      <alignment horizontal="left" vertical="center"/>
    </xf>
    <xf numFmtId="173" fontId="9" fillId="21" borderId="93" xfId="10" applyNumberFormat="1" applyFont="1" applyFill="1" applyBorder="1" applyAlignment="1" applyProtection="1">
      <alignment horizontal="center" vertical="center"/>
    </xf>
    <xf numFmtId="173" fontId="9" fillId="21" borderId="2" xfId="0" applyNumberFormat="1" applyFont="1" applyFill="1" applyBorder="1" applyAlignment="1">
      <alignment vertical="center"/>
    </xf>
    <xf numFmtId="173" fontId="9" fillId="21" borderId="90" xfId="10" applyNumberFormat="1" applyFont="1" applyFill="1" applyBorder="1" applyAlignment="1" applyProtection="1">
      <alignment vertical="center"/>
    </xf>
    <xf numFmtId="178" fontId="9" fillId="21" borderId="93" xfId="10" applyNumberFormat="1" applyFont="1" applyFill="1" applyBorder="1" applyAlignment="1">
      <alignment vertical="center"/>
    </xf>
    <xf numFmtId="178" fontId="9" fillId="21" borderId="18" xfId="10" applyNumberFormat="1" applyFont="1" applyFill="1" applyBorder="1" applyAlignment="1">
      <alignment vertical="center"/>
    </xf>
    <xf numFmtId="173" fontId="9" fillId="21" borderId="68" xfId="10" applyNumberFormat="1" applyFont="1" applyFill="1" applyBorder="1" applyAlignment="1" applyProtection="1">
      <alignment horizontal="center" vertical="center"/>
    </xf>
    <xf numFmtId="173" fontId="9" fillId="21" borderId="2" xfId="10" applyNumberFormat="1" applyFont="1" applyFill="1" applyBorder="1" applyAlignment="1" applyProtection="1">
      <alignment horizontal="center" vertical="center"/>
    </xf>
    <xf numFmtId="173" fontId="9" fillId="21" borderId="90" xfId="10" applyNumberFormat="1" applyFont="1" applyFill="1" applyBorder="1" applyAlignment="1" applyProtection="1">
      <alignment horizontal="center" vertical="center"/>
    </xf>
    <xf numFmtId="175" fontId="9" fillId="21" borderId="19" xfId="10" applyNumberFormat="1" applyFont="1" applyFill="1" applyBorder="1" applyAlignment="1" applyProtection="1">
      <alignment horizontal="center" vertical="center"/>
    </xf>
    <xf numFmtId="173" fontId="9" fillId="23" borderId="70" xfId="10" applyNumberFormat="1" applyFont="1" applyFill="1" applyBorder="1" applyAlignment="1" applyProtection="1">
      <alignment horizontal="center" vertical="center"/>
    </xf>
    <xf numFmtId="173" fontId="9" fillId="23" borderId="1" xfId="10" applyNumberFormat="1" applyFont="1" applyFill="1" applyBorder="1" applyAlignment="1" applyProtection="1">
      <alignment horizontal="center" vertical="center"/>
    </xf>
    <xf numFmtId="173" fontId="9" fillId="23" borderId="27" xfId="10" applyNumberFormat="1" applyFont="1" applyFill="1" applyBorder="1" applyAlignment="1" applyProtection="1">
      <alignment horizontal="center" vertical="center"/>
    </xf>
    <xf numFmtId="173" fontId="9" fillId="23" borderId="89" xfId="10" applyNumberFormat="1" applyFont="1" applyFill="1" applyBorder="1" applyAlignment="1" applyProtection="1">
      <alignment horizontal="center" vertical="center"/>
    </xf>
    <xf numFmtId="173" fontId="9" fillId="23" borderId="50" xfId="10" applyNumberFormat="1" applyFont="1" applyFill="1" applyBorder="1" applyAlignment="1" applyProtection="1">
      <alignment horizontal="center" vertical="center"/>
    </xf>
    <xf numFmtId="173" fontId="9" fillId="23" borderId="34" xfId="10" applyNumberFormat="1" applyFont="1" applyFill="1" applyBorder="1" applyAlignment="1" applyProtection="1">
      <alignment horizontal="center" vertical="center"/>
    </xf>
    <xf numFmtId="0" fontId="8" fillId="9" borderId="0" xfId="0" applyFont="1" applyFill="1" applyBorder="1"/>
    <xf numFmtId="164" fontId="0" fillId="0" borderId="0" xfId="10" applyFont="1" applyBorder="1"/>
    <xf numFmtId="164" fontId="1" fillId="0" borderId="0" xfId="10" applyFont="1" applyBorder="1"/>
    <xf numFmtId="0" fontId="0" fillId="0" borderId="6" xfId="0" applyBorder="1"/>
    <xf numFmtId="2" fontId="13" fillId="9" borderId="0" xfId="0" applyNumberFormat="1" applyFont="1" applyFill="1" applyAlignment="1">
      <alignment horizontal="left"/>
    </xf>
    <xf numFmtId="0" fontId="14" fillId="9" borderId="11" xfId="0" applyFont="1" applyFill="1" applyBorder="1" applyAlignment="1">
      <alignment vertical="center"/>
    </xf>
    <xf numFmtId="2" fontId="0" fillId="0" borderId="6" xfId="0" applyNumberFormat="1" applyBorder="1"/>
    <xf numFmtId="0" fontId="9" fillId="23" borderId="60" xfId="0" applyFont="1" applyFill="1" applyBorder="1" applyAlignment="1">
      <alignment horizontal="left" vertical="center"/>
    </xf>
    <xf numFmtId="0" fontId="9" fillId="23" borderId="108" xfId="0" applyFont="1" applyFill="1" applyBorder="1" applyAlignment="1">
      <alignment horizontal="center" vertical="center"/>
    </xf>
    <xf numFmtId="173" fontId="9" fillId="23" borderId="34" xfId="10" applyNumberFormat="1" applyFont="1" applyFill="1" applyBorder="1" applyAlignment="1" applyProtection="1">
      <alignment vertical="center"/>
    </xf>
    <xf numFmtId="175" fontId="9" fillId="23" borderId="34" xfId="10" applyNumberFormat="1" applyFont="1" applyFill="1" applyBorder="1" applyAlignment="1" applyProtection="1">
      <alignment horizontal="center" vertical="center"/>
    </xf>
    <xf numFmtId="175" fontId="9" fillId="23" borderId="71" xfId="10" applyNumberFormat="1" applyFont="1" applyFill="1" applyBorder="1" applyAlignment="1" applyProtection="1">
      <alignment horizontal="center" vertical="center"/>
    </xf>
    <xf numFmtId="0" fontId="9" fillId="13" borderId="110" xfId="0" applyFont="1" applyFill="1" applyBorder="1" applyAlignment="1">
      <alignment horizontal="left" vertical="center"/>
    </xf>
    <xf numFmtId="0" fontId="9" fillId="13" borderId="114" xfId="0" applyFont="1" applyFill="1" applyBorder="1" applyAlignment="1">
      <alignment horizontal="center" vertical="center"/>
    </xf>
    <xf numFmtId="173" fontId="9" fillId="13" borderId="111" xfId="10" applyNumberFormat="1" applyFont="1" applyFill="1" applyBorder="1" applyAlignment="1" applyProtection="1">
      <alignment horizontal="center" vertical="center"/>
    </xf>
    <xf numFmtId="173" fontId="9" fillId="13" borderId="112" xfId="10" applyNumberFormat="1" applyFont="1" applyFill="1" applyBorder="1" applyAlignment="1" applyProtection="1">
      <alignment horizontal="center" vertical="center"/>
    </xf>
    <xf numFmtId="175" fontId="9" fillId="13" borderId="113" xfId="10" applyNumberFormat="1" applyFont="1" applyFill="1" applyBorder="1" applyAlignment="1" applyProtection="1">
      <alignment horizontal="center" vertical="center"/>
    </xf>
    <xf numFmtId="178" fontId="9" fillId="13" borderId="116" xfId="10" applyNumberFormat="1" applyFont="1" applyFill="1" applyBorder="1" applyAlignment="1">
      <alignment vertical="center"/>
    </xf>
    <xf numFmtId="173" fontId="9" fillId="13" borderId="117" xfId="10" applyNumberFormat="1" applyFont="1" applyFill="1" applyBorder="1" applyAlignment="1" applyProtection="1">
      <alignment horizontal="center" vertical="center"/>
    </xf>
    <xf numFmtId="175" fontId="9" fillId="13" borderId="115" xfId="10" applyNumberFormat="1" applyFont="1" applyFill="1" applyBorder="1" applyAlignment="1" applyProtection="1">
      <alignment horizontal="center" vertical="center"/>
    </xf>
    <xf numFmtId="173" fontId="9" fillId="13" borderId="116" xfId="10" applyNumberFormat="1" applyFont="1" applyFill="1" applyBorder="1" applyAlignment="1" applyProtection="1">
      <alignment horizontal="center" vertical="center"/>
    </xf>
    <xf numFmtId="173" fontId="9" fillId="13" borderId="118" xfId="10" applyNumberFormat="1" applyFont="1" applyFill="1" applyBorder="1" applyAlignment="1" applyProtection="1">
      <alignment horizontal="center" vertical="center"/>
    </xf>
    <xf numFmtId="173" fontId="9" fillId="13" borderId="109" xfId="10" applyNumberFormat="1" applyFont="1" applyFill="1" applyBorder="1" applyAlignment="1" applyProtection="1">
      <alignment horizontal="center" vertical="center"/>
    </xf>
    <xf numFmtId="173" fontId="9" fillId="13" borderId="113" xfId="10" applyNumberFormat="1" applyFont="1" applyFill="1" applyBorder="1" applyAlignment="1" applyProtection="1">
      <alignment vertical="center"/>
    </xf>
    <xf numFmtId="173" fontId="9" fillId="13" borderId="114" xfId="10" applyNumberFormat="1" applyFont="1" applyFill="1" applyBorder="1" applyAlignment="1" applyProtection="1">
      <alignment horizontal="center" vertical="center"/>
    </xf>
    <xf numFmtId="173" fontId="9" fillId="13" borderId="113" xfId="10" applyNumberFormat="1" applyFont="1" applyFill="1" applyBorder="1" applyAlignment="1" applyProtection="1">
      <alignment horizontal="center" vertical="center"/>
    </xf>
    <xf numFmtId="0" fontId="1" fillId="9" borderId="0" xfId="0" applyFont="1" applyFill="1"/>
    <xf numFmtId="0" fontId="5" fillId="20" borderId="0" xfId="0" applyFont="1" applyFill="1" applyBorder="1"/>
    <xf numFmtId="0" fontId="5" fillId="13" borderId="9" xfId="0" applyFont="1" applyFill="1" applyBorder="1" applyAlignment="1">
      <alignment horizontal="center" vertical="center" wrapText="1"/>
    </xf>
    <xf numFmtId="168" fontId="6" fillId="9" borderId="6" xfId="10" applyNumberFormat="1" applyFont="1" applyFill="1" applyBorder="1" applyAlignment="1">
      <alignment horizontal="right"/>
    </xf>
    <xf numFmtId="168" fontId="0" fillId="0" borderId="15" xfId="10" applyNumberFormat="1" applyFont="1" applyBorder="1"/>
    <xf numFmtId="168" fontId="0" fillId="0" borderId="3" xfId="10" applyNumberFormat="1" applyFont="1" applyBorder="1"/>
    <xf numFmtId="168" fontId="0" fillId="0" borderId="29" xfId="10" applyNumberFormat="1" applyFont="1" applyBorder="1"/>
    <xf numFmtId="164" fontId="1" fillId="2" borderId="31" xfId="10" quotePrefix="1" applyFont="1" applyFill="1" applyBorder="1" applyAlignment="1">
      <alignment horizontal="center" vertical="center"/>
    </xf>
    <xf numFmtId="168" fontId="6" fillId="2" borderId="4" xfId="10" quotePrefix="1" applyNumberFormat="1" applyFont="1" applyFill="1" applyBorder="1" applyAlignment="1">
      <alignment horizontal="right"/>
    </xf>
    <xf numFmtId="179" fontId="6" fillId="2" borderId="3" xfId="10" applyNumberFormat="1" applyFont="1" applyFill="1" applyBorder="1"/>
    <xf numFmtId="164" fontId="9" fillId="17" borderId="3" xfId="10" quotePrefix="1" applyNumberFormat="1" applyFont="1" applyFill="1" applyBorder="1" applyAlignment="1">
      <alignment horizontal="right"/>
    </xf>
    <xf numFmtId="4" fontId="9" fillId="17" borderId="4" xfId="0" applyNumberFormat="1" applyFont="1" applyFill="1" applyBorder="1"/>
    <xf numFmtId="168" fontId="9" fillId="17" borderId="3" xfId="10" applyNumberFormat="1" applyFont="1" applyFill="1" applyBorder="1"/>
    <xf numFmtId="168" fontId="20" fillId="0" borderId="8" xfId="10" applyNumberFormat="1" applyFont="1" applyBorder="1"/>
    <xf numFmtId="171" fontId="25" fillId="0" borderId="16" xfId="9" applyNumberFormat="1" applyFont="1" applyFill="1" applyBorder="1" applyAlignment="1">
      <alignment horizontal="right" vertical="center"/>
    </xf>
    <xf numFmtId="171" fontId="25" fillId="0" borderId="17" xfId="9" applyNumberFormat="1" applyFont="1" applyFill="1" applyBorder="1" applyAlignment="1">
      <alignment horizontal="right" vertical="center"/>
    </xf>
    <xf numFmtId="171" fontId="25" fillId="0" borderId="15" xfId="9" applyNumberFormat="1" applyFont="1" applyFill="1" applyBorder="1" applyAlignment="1">
      <alignment horizontal="right" vertical="center"/>
    </xf>
    <xf numFmtId="168" fontId="0" fillId="0" borderId="17" xfId="10" applyNumberFormat="1" applyFont="1" applyBorder="1"/>
    <xf numFmtId="171" fontId="26" fillId="17" borderId="10" xfId="9" applyNumberFormat="1" applyFont="1" applyFill="1" applyBorder="1" applyAlignment="1">
      <alignment horizontal="right" vertical="center"/>
    </xf>
    <xf numFmtId="171" fontId="26" fillId="17" borderId="3" xfId="9" applyNumberFormat="1" applyFont="1" applyFill="1" applyBorder="1" applyAlignment="1">
      <alignment horizontal="right" vertical="center"/>
    </xf>
    <xf numFmtId="165" fontId="9" fillId="17" borderId="14" xfId="0" applyNumberFormat="1" applyFont="1" applyFill="1" applyBorder="1"/>
    <xf numFmtId="165" fontId="0" fillId="0" borderId="12" xfId="0" applyNumberFormat="1" applyBorder="1"/>
    <xf numFmtId="165" fontId="9" fillId="17" borderId="4" xfId="0" applyNumberFormat="1" applyFont="1" applyFill="1" applyBorder="1"/>
    <xf numFmtId="165" fontId="5" fillId="13" borderId="9" xfId="0" applyNumberFormat="1" applyFont="1" applyFill="1" applyBorder="1" applyAlignment="1">
      <alignment horizontal="center" vertical="center" wrapText="1"/>
    </xf>
    <xf numFmtId="0" fontId="1" fillId="20" borderId="0" xfId="0" applyFont="1" applyFill="1"/>
    <xf numFmtId="2" fontId="5" fillId="12" borderId="9" xfId="0" applyNumberFormat="1" applyFont="1" applyFill="1" applyBorder="1" applyAlignment="1">
      <alignment horizontal="center"/>
    </xf>
    <xf numFmtId="2" fontId="5" fillId="12" borderId="0" xfId="0" applyNumberFormat="1" applyFont="1" applyFill="1" applyBorder="1" applyAlignment="1">
      <alignment horizontal="center"/>
    </xf>
    <xf numFmtId="0" fontId="1" fillId="20" borderId="0" xfId="0" applyFont="1" applyFill="1" applyAlignment="1"/>
    <xf numFmtId="171" fontId="32" fillId="17" borderId="3" xfId="9" applyNumberFormat="1" applyFont="1" applyFill="1" applyBorder="1" applyAlignment="1">
      <alignment horizontal="right" vertical="center"/>
    </xf>
    <xf numFmtId="172" fontId="62" fillId="4" borderId="3" xfId="8" applyNumberFormat="1" applyFont="1" applyFill="1" applyBorder="1" applyAlignment="1">
      <alignment vertical="center"/>
    </xf>
    <xf numFmtId="0" fontId="45" fillId="6" borderId="17" xfId="0" applyFont="1" applyFill="1" applyBorder="1" applyAlignment="1">
      <alignment horizontal="center" vertical="center"/>
    </xf>
    <xf numFmtId="0" fontId="63" fillId="8" borderId="0" xfId="0" applyFont="1" applyFill="1" applyBorder="1" applyAlignment="1">
      <alignment horizontal="center"/>
    </xf>
    <xf numFmtId="0" fontId="19" fillId="9" borderId="8" xfId="0" applyFont="1" applyFill="1" applyBorder="1" applyAlignment="1">
      <alignment horizontal="center"/>
    </xf>
    <xf numFmtId="0" fontId="19" fillId="9" borderId="0" xfId="0" applyFont="1" applyFill="1" applyBorder="1" applyAlignment="1">
      <alignment horizontal="center"/>
    </xf>
    <xf numFmtId="0" fontId="19" fillId="9" borderId="9" xfId="0" applyFont="1" applyFill="1" applyBorder="1" applyAlignment="1">
      <alignment horizontal="center"/>
    </xf>
    <xf numFmtId="0" fontId="5" fillId="9" borderId="1" xfId="0" applyFont="1" applyFill="1" applyBorder="1" applyAlignment="1">
      <alignment horizontal="center"/>
    </xf>
    <xf numFmtId="0" fontId="3" fillId="9" borderId="0" xfId="0" applyFont="1" applyFill="1" applyBorder="1" applyAlignment="1">
      <alignment horizontal="center" vertical="center" wrapText="1"/>
    </xf>
    <xf numFmtId="0" fontId="6" fillId="13" borderId="38" xfId="0" applyFont="1" applyFill="1" applyBorder="1" applyAlignment="1">
      <alignment horizontal="center"/>
    </xf>
    <xf numFmtId="0" fontId="6" fillId="13" borderId="24" xfId="0" applyFont="1" applyFill="1" applyBorder="1" applyAlignment="1">
      <alignment horizontal="center"/>
    </xf>
    <xf numFmtId="0" fontId="6" fillId="13" borderId="25" xfId="0" applyFont="1" applyFill="1" applyBorder="1" applyAlignment="1">
      <alignment horizontal="center"/>
    </xf>
    <xf numFmtId="0" fontId="6" fillId="13" borderId="36" xfId="0" applyFont="1" applyFill="1" applyBorder="1" applyAlignment="1">
      <alignment horizontal="center" vertical="center"/>
    </xf>
    <xf numFmtId="0" fontId="6" fillId="13" borderId="1" xfId="0" quotePrefix="1" applyFont="1" applyFill="1" applyBorder="1" applyAlignment="1">
      <alignment horizontal="center" vertical="center"/>
    </xf>
    <xf numFmtId="0" fontId="63" fillId="8" borderId="0" xfId="0" applyFont="1" applyFill="1" applyAlignment="1">
      <alignment horizontal="center"/>
    </xf>
    <xf numFmtId="2" fontId="5" fillId="13" borderId="0" xfId="0" applyNumberFormat="1" applyFont="1" applyFill="1" applyBorder="1" applyAlignment="1">
      <alignment horizontal="center" vertical="center"/>
    </xf>
    <xf numFmtId="2" fontId="5" fillId="13" borderId="11" xfId="0" applyNumberFormat="1" applyFont="1" applyFill="1" applyBorder="1" applyAlignment="1">
      <alignment horizontal="center" vertical="center"/>
    </xf>
    <xf numFmtId="0" fontId="3" fillId="9" borderId="5" xfId="0" applyFont="1" applyFill="1" applyBorder="1" applyAlignment="1">
      <alignment horizontal="center"/>
    </xf>
    <xf numFmtId="0" fontId="3" fillId="9" borderId="7" xfId="0" applyFont="1" applyFill="1" applyBorder="1" applyAlignment="1">
      <alignment horizontal="center"/>
    </xf>
    <xf numFmtId="0" fontId="3" fillId="9" borderId="6" xfId="0" applyFont="1" applyFill="1" applyBorder="1" applyAlignment="1">
      <alignment horizontal="center"/>
    </xf>
    <xf numFmtId="0" fontId="8" fillId="9" borderId="4" xfId="0" applyFont="1" applyFill="1" applyBorder="1" applyAlignment="1">
      <alignment horizontal="center"/>
    </xf>
    <xf numFmtId="0" fontId="8" fillId="9" borderId="14" xfId="0" applyFont="1" applyFill="1" applyBorder="1" applyAlignment="1">
      <alignment horizontal="center"/>
    </xf>
    <xf numFmtId="0" fontId="8" fillId="9" borderId="10" xfId="0" applyFont="1" applyFill="1" applyBorder="1" applyAlignment="1">
      <alignment horizontal="center"/>
    </xf>
    <xf numFmtId="2" fontId="8" fillId="13" borderId="8" xfId="0" applyNumberFormat="1" applyFont="1" applyFill="1" applyBorder="1" applyAlignment="1">
      <alignment horizontal="left" vertical="top" wrapText="1"/>
    </xf>
    <xf numFmtId="2" fontId="8" fillId="13" borderId="0" xfId="0" applyNumberFormat="1" applyFont="1" applyFill="1" applyBorder="1" applyAlignment="1">
      <alignment horizontal="left" vertical="top" wrapText="1"/>
    </xf>
    <xf numFmtId="2" fontId="8" fillId="13" borderId="9" xfId="0" applyNumberFormat="1" applyFont="1" applyFill="1" applyBorder="1" applyAlignment="1">
      <alignment horizontal="left" vertical="top" wrapText="1"/>
    </xf>
    <xf numFmtId="2" fontId="8" fillId="13" borderId="12" xfId="0" applyNumberFormat="1" applyFont="1" applyFill="1" applyBorder="1" applyAlignment="1">
      <alignment horizontal="left" vertical="top" wrapText="1"/>
    </xf>
    <xf numFmtId="2" fontId="8" fillId="13" borderId="11" xfId="0" applyNumberFormat="1" applyFont="1" applyFill="1" applyBorder="1" applyAlignment="1">
      <alignment horizontal="left" vertical="top" wrapText="1"/>
    </xf>
    <xf numFmtId="2" fontId="8" fillId="13" borderId="13" xfId="0" applyNumberFormat="1" applyFont="1" applyFill="1" applyBorder="1" applyAlignment="1">
      <alignment horizontal="left" vertical="top" wrapText="1"/>
    </xf>
    <xf numFmtId="0" fontId="5" fillId="13" borderId="8" xfId="0" applyFont="1" applyFill="1" applyBorder="1" applyAlignment="1">
      <alignment horizontal="center" vertical="center"/>
    </xf>
    <xf numFmtId="0" fontId="5" fillId="13" borderId="12" xfId="0" applyFont="1" applyFill="1" applyBorder="1" applyAlignment="1">
      <alignment horizontal="center" vertical="center"/>
    </xf>
    <xf numFmtId="0" fontId="5" fillId="13" borderId="9" xfId="0" applyFont="1" applyFill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9" fillId="4" borderId="6" xfId="5" applyFont="1" applyFill="1" applyBorder="1" applyAlignment="1">
      <alignment horizontal="center" vertical="center"/>
    </xf>
    <xf numFmtId="0" fontId="9" fillId="4" borderId="13" xfId="5" applyFont="1" applyFill="1" applyBorder="1" applyAlignment="1">
      <alignment horizontal="center" vertical="center"/>
    </xf>
    <xf numFmtId="0" fontId="9" fillId="4" borderId="4" xfId="5" applyFont="1" applyFill="1" applyBorder="1" applyAlignment="1">
      <alignment horizontal="center" vertical="center"/>
    </xf>
    <xf numFmtId="0" fontId="9" fillId="4" borderId="14" xfId="5" applyFont="1" applyFill="1" applyBorder="1" applyAlignment="1">
      <alignment horizontal="center" vertical="center"/>
    </xf>
    <xf numFmtId="0" fontId="9" fillId="4" borderId="10" xfId="5" applyFont="1" applyFill="1" applyBorder="1" applyAlignment="1">
      <alignment horizontal="center" vertical="center"/>
    </xf>
    <xf numFmtId="0" fontId="9" fillId="4" borderId="5" xfId="5" applyFont="1" applyFill="1" applyBorder="1" applyAlignment="1">
      <alignment horizontal="center" vertical="center" wrapText="1"/>
    </xf>
    <xf numFmtId="0" fontId="9" fillId="4" borderId="12" xfId="5" applyFont="1" applyFill="1" applyBorder="1" applyAlignment="1">
      <alignment horizontal="center" vertical="center" wrapText="1"/>
    </xf>
    <xf numFmtId="0" fontId="3" fillId="9" borderId="0" xfId="5" applyFont="1" applyFill="1" applyBorder="1" applyAlignment="1">
      <alignment horizontal="center"/>
    </xf>
    <xf numFmtId="0" fontId="9" fillId="9" borderId="11" xfId="5" applyFont="1" applyFill="1" applyBorder="1" applyAlignment="1">
      <alignment horizontal="center"/>
    </xf>
    <xf numFmtId="0" fontId="4" fillId="9" borderId="0" xfId="0" applyFont="1" applyFill="1" applyBorder="1" applyAlignment="1">
      <alignment horizontal="center"/>
    </xf>
    <xf numFmtId="17" fontId="4" fillId="9" borderId="0" xfId="0" applyNumberFormat="1" applyFont="1" applyFill="1" applyBorder="1" applyAlignment="1">
      <alignment horizontal="center"/>
    </xf>
    <xf numFmtId="0" fontId="12" fillId="9" borderId="0" xfId="0" applyFont="1" applyFill="1" applyBorder="1" applyAlignment="1">
      <alignment horizontal="center"/>
    </xf>
    <xf numFmtId="0" fontId="12" fillId="9" borderId="9" xfId="0" applyFont="1" applyFill="1" applyBorder="1" applyAlignment="1">
      <alignment horizontal="center"/>
    </xf>
    <xf numFmtId="0" fontId="15" fillId="9" borderId="4" xfId="0" applyFont="1" applyFill="1" applyBorder="1" applyAlignment="1">
      <alignment horizontal="left"/>
    </xf>
    <xf numFmtId="0" fontId="15" fillId="9" borderId="14" xfId="0" applyFont="1" applyFill="1" applyBorder="1" applyAlignment="1">
      <alignment horizontal="left"/>
    </xf>
    <xf numFmtId="0" fontId="15" fillId="9" borderId="4" xfId="0" applyFont="1" applyFill="1" applyBorder="1" applyAlignment="1">
      <alignment horizontal="center" vertical="center" wrapText="1"/>
    </xf>
    <xf numFmtId="0" fontId="15" fillId="9" borderId="14" xfId="0" applyFont="1" applyFill="1" applyBorder="1" applyAlignment="1">
      <alignment horizontal="center" vertical="center" wrapText="1"/>
    </xf>
    <xf numFmtId="0" fontId="15" fillId="9" borderId="10" xfId="0" applyFont="1" applyFill="1" applyBorder="1" applyAlignment="1">
      <alignment horizontal="center" vertical="center" wrapText="1"/>
    </xf>
    <xf numFmtId="0" fontId="15" fillId="9" borderId="16" xfId="0" applyFont="1" applyFill="1" applyBorder="1" applyAlignment="1">
      <alignment horizontal="center" vertical="center"/>
    </xf>
    <xf numFmtId="0" fontId="15" fillId="9" borderId="17" xfId="0" applyFont="1" applyFill="1" applyBorder="1" applyAlignment="1">
      <alignment horizontal="center" vertical="center"/>
    </xf>
    <xf numFmtId="0" fontId="15" fillId="9" borderId="15" xfId="0" applyFont="1" applyFill="1" applyBorder="1" applyAlignment="1">
      <alignment horizontal="center" vertical="center"/>
    </xf>
    <xf numFmtId="2" fontId="20" fillId="17" borderId="8" xfId="0" applyNumberFormat="1" applyFont="1" applyFill="1" applyBorder="1" applyAlignment="1">
      <alignment horizontal="center"/>
    </xf>
    <xf numFmtId="2" fontId="20" fillId="17" borderId="0" xfId="0" applyNumberFormat="1" applyFont="1" applyFill="1" applyBorder="1" applyAlignment="1">
      <alignment horizontal="center"/>
    </xf>
    <xf numFmtId="2" fontId="20" fillId="17" borderId="9" xfId="0" applyNumberFormat="1" applyFont="1" applyFill="1" applyBorder="1" applyAlignment="1">
      <alignment horizontal="center"/>
    </xf>
    <xf numFmtId="2" fontId="20" fillId="17" borderId="12" xfId="0" applyNumberFormat="1" applyFont="1" applyFill="1" applyBorder="1" applyAlignment="1">
      <alignment horizontal="center"/>
    </xf>
    <xf numFmtId="2" fontId="20" fillId="17" borderId="11" xfId="0" applyNumberFormat="1" applyFont="1" applyFill="1" applyBorder="1" applyAlignment="1">
      <alignment horizontal="center"/>
    </xf>
    <xf numFmtId="2" fontId="20" fillId="17" borderId="13" xfId="0" applyNumberFormat="1" applyFont="1" applyFill="1" applyBorder="1" applyAlignment="1">
      <alignment horizontal="center"/>
    </xf>
    <xf numFmtId="0" fontId="20" fillId="17" borderId="12" xfId="0" applyFont="1" applyFill="1" applyBorder="1" applyAlignment="1">
      <alignment horizontal="center"/>
    </xf>
    <xf numFmtId="0" fontId="20" fillId="17" borderId="11" xfId="0" applyFont="1" applyFill="1" applyBorder="1" applyAlignment="1">
      <alignment horizontal="center"/>
    </xf>
    <xf numFmtId="0" fontId="20" fillId="17" borderId="13" xfId="0" applyFont="1" applyFill="1" applyBorder="1" applyAlignment="1">
      <alignment horizontal="center"/>
    </xf>
    <xf numFmtId="0" fontId="3" fillId="9" borderId="0" xfId="0" applyFont="1" applyFill="1" applyAlignment="1">
      <alignment horizontal="center"/>
    </xf>
    <xf numFmtId="0" fontId="20" fillId="17" borderId="6" xfId="0" applyFont="1" applyFill="1" applyBorder="1" applyAlignment="1">
      <alignment horizontal="center" vertical="center"/>
    </xf>
    <xf numFmtId="0" fontId="20" fillId="17" borderId="9" xfId="0" applyFont="1" applyFill="1" applyBorder="1" applyAlignment="1">
      <alignment horizontal="center" vertical="center"/>
    </xf>
    <xf numFmtId="0" fontId="20" fillId="17" borderId="13" xfId="0" applyFont="1" applyFill="1" applyBorder="1" applyAlignment="1">
      <alignment horizontal="center" vertical="center"/>
    </xf>
    <xf numFmtId="0" fontId="13" fillId="9" borderId="11" xfId="2" applyFont="1" applyFill="1" applyBorder="1" applyAlignment="1" applyProtection="1">
      <alignment horizontal="left" vertical="center"/>
    </xf>
    <xf numFmtId="49" fontId="20" fillId="9" borderId="8" xfId="8" applyNumberFormat="1" applyFont="1" applyFill="1" applyBorder="1" applyAlignment="1">
      <alignment horizontal="center" vertical="center"/>
    </xf>
    <xf numFmtId="49" fontId="20" fillId="9" borderId="0" xfId="8" applyNumberFormat="1" applyFont="1" applyFill="1" applyBorder="1" applyAlignment="1">
      <alignment horizontal="center" vertical="center"/>
    </xf>
    <xf numFmtId="49" fontId="20" fillId="9" borderId="9" xfId="8" applyNumberFormat="1" applyFont="1" applyFill="1" applyBorder="1" applyAlignment="1">
      <alignment horizontal="center" vertical="center"/>
    </xf>
    <xf numFmtId="49" fontId="20" fillId="4" borderId="7" xfId="7" applyNumberFormat="1" applyFont="1" applyFill="1" applyBorder="1" applyAlignment="1">
      <alignment horizontal="center" vertical="center" wrapText="1"/>
    </xf>
    <xf numFmtId="49" fontId="20" fillId="4" borderId="6" xfId="7" applyNumberFormat="1" applyFont="1" applyFill="1" applyBorder="1" applyAlignment="1">
      <alignment horizontal="center" vertical="center" wrapText="1"/>
    </xf>
    <xf numFmtId="49" fontId="20" fillId="4" borderId="11" xfId="7" applyNumberFormat="1" applyFont="1" applyFill="1" applyBorder="1" applyAlignment="1">
      <alignment horizontal="center" vertical="center" wrapText="1"/>
    </xf>
    <xf numFmtId="49" fontId="20" fillId="4" borderId="13" xfId="7" applyNumberFormat="1" applyFont="1" applyFill="1" applyBorder="1" applyAlignment="1">
      <alignment horizontal="center" vertical="center" wrapText="1"/>
    </xf>
    <xf numFmtId="49" fontId="20" fillId="4" borderId="4" xfId="7" applyNumberFormat="1" applyFont="1" applyFill="1" applyBorder="1" applyAlignment="1">
      <alignment horizontal="center" vertical="center" wrapText="1"/>
    </xf>
    <xf numFmtId="49" fontId="20" fillId="4" borderId="10" xfId="7" applyNumberFormat="1" applyFont="1" applyFill="1" applyBorder="1" applyAlignment="1">
      <alignment horizontal="center" vertical="center" wrapText="1"/>
    </xf>
    <xf numFmtId="49" fontId="20" fillId="4" borderId="5" xfId="7" applyNumberFormat="1" applyFont="1" applyFill="1" applyBorder="1" applyAlignment="1">
      <alignment horizontal="center" vertical="center" wrapText="1"/>
    </xf>
    <xf numFmtId="49" fontId="20" fillId="4" borderId="12" xfId="7" applyNumberFormat="1" applyFont="1" applyFill="1" applyBorder="1" applyAlignment="1">
      <alignment horizontal="center" vertical="center" wrapText="1"/>
    </xf>
    <xf numFmtId="49" fontId="20" fillId="9" borderId="5" xfId="8" applyNumberFormat="1" applyFont="1" applyFill="1" applyBorder="1" applyAlignment="1">
      <alignment horizontal="center" vertical="center"/>
    </xf>
    <xf numFmtId="49" fontId="20" fillId="9" borderId="7" xfId="8" applyNumberFormat="1" applyFont="1" applyFill="1" applyBorder="1" applyAlignment="1">
      <alignment horizontal="center" vertical="center"/>
    </xf>
    <xf numFmtId="49" fontId="20" fillId="9" borderId="6" xfId="8" applyNumberFormat="1" applyFont="1" applyFill="1" applyBorder="1" applyAlignment="1">
      <alignment horizontal="center" vertical="center"/>
    </xf>
    <xf numFmtId="0" fontId="9" fillId="3" borderId="33" xfId="0" applyFont="1" applyFill="1" applyBorder="1" applyAlignment="1">
      <alignment horizontal="center"/>
    </xf>
    <xf numFmtId="0" fontId="9" fillId="3" borderId="9" xfId="0" applyFont="1" applyFill="1" applyBorder="1" applyAlignment="1">
      <alignment horizontal="center"/>
    </xf>
    <xf numFmtId="17" fontId="9" fillId="3" borderId="38" xfId="0" quotePrefix="1" applyNumberFormat="1" applyFont="1" applyFill="1" applyBorder="1" applyAlignment="1">
      <alignment horizontal="center"/>
    </xf>
    <xf numFmtId="17" fontId="9" fillId="3" borderId="24" xfId="0" applyNumberFormat="1" applyFont="1" applyFill="1" applyBorder="1" applyAlignment="1">
      <alignment horizontal="center"/>
    </xf>
    <xf numFmtId="3" fontId="3" fillId="9" borderId="8" xfId="0" applyNumberFormat="1" applyFont="1" applyFill="1" applyBorder="1" applyAlignment="1">
      <alignment horizontal="center"/>
    </xf>
    <xf numFmtId="3" fontId="3" fillId="9" borderId="0" xfId="0" applyNumberFormat="1" applyFont="1" applyFill="1" applyBorder="1" applyAlignment="1">
      <alignment horizontal="center"/>
    </xf>
    <xf numFmtId="3" fontId="3" fillId="9" borderId="9" xfId="0" applyNumberFormat="1" applyFont="1" applyFill="1" applyBorder="1" applyAlignment="1">
      <alignment horizontal="center"/>
    </xf>
    <xf numFmtId="17" fontId="9" fillId="3" borderId="38" xfId="0" applyNumberFormat="1" applyFont="1" applyFill="1" applyBorder="1" applyAlignment="1">
      <alignment horizontal="center"/>
    </xf>
    <xf numFmtId="1" fontId="9" fillId="3" borderId="38" xfId="0" applyNumberFormat="1" applyFont="1" applyFill="1" applyBorder="1" applyAlignment="1">
      <alignment horizontal="center" vertical="center"/>
    </xf>
    <xf numFmtId="1" fontId="9" fillId="3" borderId="24" xfId="0" applyNumberFormat="1" applyFont="1" applyFill="1" applyBorder="1" applyAlignment="1">
      <alignment horizontal="center" vertical="center"/>
    </xf>
    <xf numFmtId="0" fontId="9" fillId="3" borderId="4" xfId="0" applyNumberFormat="1" applyFont="1" applyFill="1" applyBorder="1" applyAlignment="1">
      <alignment horizontal="center" vertical="center"/>
    </xf>
    <xf numFmtId="0" fontId="9" fillId="3" borderId="14" xfId="0" applyNumberFormat="1" applyFont="1" applyFill="1" applyBorder="1" applyAlignment="1">
      <alignment horizontal="center" vertical="center"/>
    </xf>
    <xf numFmtId="49" fontId="20" fillId="9" borderId="0" xfId="7" applyNumberFormat="1" applyFont="1" applyFill="1" applyBorder="1" applyAlignment="1">
      <alignment horizontal="center" vertical="center" wrapText="1"/>
    </xf>
    <xf numFmtId="49" fontId="9" fillId="3" borderId="38" xfId="0" applyNumberFormat="1" applyFont="1" applyFill="1" applyBorder="1" applyAlignment="1">
      <alignment horizontal="center" vertical="center"/>
    </xf>
    <xf numFmtId="49" fontId="9" fillId="3" borderId="24" xfId="0" applyNumberFormat="1" applyFont="1" applyFill="1" applyBorder="1" applyAlignment="1">
      <alignment horizontal="center" vertical="center"/>
    </xf>
    <xf numFmtId="49" fontId="9" fillId="3" borderId="25" xfId="0" applyNumberFormat="1" applyFont="1" applyFill="1" applyBorder="1" applyAlignment="1">
      <alignment horizontal="center" vertical="center"/>
    </xf>
    <xf numFmtId="0" fontId="0" fillId="0" borderId="24" xfId="0" applyBorder="1"/>
    <xf numFmtId="3" fontId="3" fillId="9" borderId="0" xfId="0" applyNumberFormat="1" applyFont="1" applyFill="1" applyAlignment="1">
      <alignment horizontal="center"/>
    </xf>
    <xf numFmtId="0" fontId="64" fillId="20" borderId="0" xfId="0" applyFont="1" applyFill="1" applyAlignment="1">
      <alignment horizontal="center"/>
    </xf>
    <xf numFmtId="0" fontId="29" fillId="9" borderId="5" xfId="0" applyFont="1" applyFill="1" applyBorder="1" applyAlignment="1">
      <alignment horizontal="center"/>
    </xf>
    <xf numFmtId="0" fontId="29" fillId="9" borderId="7" xfId="0" applyFont="1" applyFill="1" applyBorder="1" applyAlignment="1">
      <alignment horizontal="center"/>
    </xf>
    <xf numFmtId="0" fontId="29" fillId="9" borderId="6" xfId="0" applyFont="1" applyFill="1" applyBorder="1" applyAlignment="1">
      <alignment horizontal="center"/>
    </xf>
    <xf numFmtId="0" fontId="29" fillId="9" borderId="8" xfId="0" applyFont="1" applyFill="1" applyBorder="1" applyAlignment="1">
      <alignment horizontal="center"/>
    </xf>
    <xf numFmtId="0" fontId="29" fillId="9" borderId="0" xfId="0" applyFont="1" applyFill="1" applyBorder="1" applyAlignment="1">
      <alignment horizontal="center"/>
    </xf>
    <xf numFmtId="0" fontId="29" fillId="9" borderId="9" xfId="0" applyFont="1" applyFill="1" applyBorder="1" applyAlignment="1">
      <alignment horizontal="center"/>
    </xf>
    <xf numFmtId="0" fontId="47" fillId="9" borderId="5" xfId="0" applyFont="1" applyFill="1" applyBorder="1" applyAlignment="1">
      <alignment horizontal="center"/>
    </xf>
    <xf numFmtId="0" fontId="47" fillId="9" borderId="7" xfId="0" applyFont="1" applyFill="1" applyBorder="1" applyAlignment="1">
      <alignment horizontal="center"/>
    </xf>
    <xf numFmtId="0" fontId="47" fillId="9" borderId="6" xfId="0" applyFont="1" applyFill="1" applyBorder="1" applyAlignment="1">
      <alignment horizontal="center"/>
    </xf>
    <xf numFmtId="0" fontId="9" fillId="9" borderId="12" xfId="0" applyFont="1" applyFill="1" applyBorder="1" applyAlignment="1">
      <alignment horizontal="center"/>
    </xf>
    <xf numFmtId="0" fontId="9" fillId="9" borderId="0" xfId="0" applyFont="1" applyFill="1" applyBorder="1" applyAlignment="1">
      <alignment horizontal="center"/>
    </xf>
    <xf numFmtId="0" fontId="9" fillId="9" borderId="11" xfId="0" applyFont="1" applyFill="1" applyBorder="1" applyAlignment="1">
      <alignment horizontal="center"/>
    </xf>
    <xf numFmtId="0" fontId="1" fillId="9" borderId="12" xfId="0" applyFont="1" applyFill="1" applyBorder="1" applyAlignment="1">
      <alignment horizontal="center"/>
    </xf>
    <xf numFmtId="0" fontId="1" fillId="9" borderId="13" xfId="0" applyFont="1" applyFill="1" applyBorder="1" applyAlignment="1">
      <alignment horizontal="center"/>
    </xf>
    <xf numFmtId="0" fontId="6" fillId="9" borderId="16" xfId="0" applyFont="1" applyFill="1" applyBorder="1" applyAlignment="1">
      <alignment horizontal="center" vertical="center"/>
    </xf>
    <xf numFmtId="0" fontId="6" fillId="9" borderId="28" xfId="0" applyFont="1" applyFill="1" applyBorder="1" applyAlignment="1">
      <alignment horizontal="center" vertical="center"/>
    </xf>
    <xf numFmtId="0" fontId="1" fillId="9" borderId="11" xfId="0" applyFont="1" applyFill="1" applyBorder="1" applyAlignment="1">
      <alignment horizontal="center"/>
    </xf>
    <xf numFmtId="0" fontId="9" fillId="9" borderId="38" xfId="0" applyFont="1" applyFill="1" applyBorder="1" applyAlignment="1">
      <alignment horizontal="center"/>
    </xf>
    <xf numFmtId="0" fontId="9" fillId="9" borderId="24" xfId="0" applyFont="1" applyFill="1" applyBorder="1" applyAlignment="1">
      <alignment horizontal="center"/>
    </xf>
    <xf numFmtId="0" fontId="9" fillId="9" borderId="25" xfId="0" applyFont="1" applyFill="1" applyBorder="1" applyAlignment="1">
      <alignment horizontal="center"/>
    </xf>
    <xf numFmtId="0" fontId="6" fillId="9" borderId="32" xfId="0" applyFont="1" applyFill="1" applyBorder="1" applyAlignment="1">
      <alignment horizontal="center" vertical="center"/>
    </xf>
    <xf numFmtId="0" fontId="6" fillId="9" borderId="17" xfId="0" applyFont="1" applyFill="1" applyBorder="1" applyAlignment="1">
      <alignment horizontal="center" vertical="center"/>
    </xf>
    <xf numFmtId="0" fontId="63" fillId="0" borderId="0" xfId="0" applyFont="1" applyAlignment="1">
      <alignment horizontal="center"/>
    </xf>
    <xf numFmtId="3" fontId="9" fillId="0" borderId="0" xfId="0" applyNumberFormat="1" applyFont="1" applyFill="1" applyBorder="1" applyAlignment="1">
      <alignment horizontal="center"/>
    </xf>
    <xf numFmtId="3" fontId="9" fillId="0" borderId="0" xfId="0" applyNumberFormat="1" applyFont="1" applyBorder="1" applyAlignment="1">
      <alignment horizontal="center"/>
    </xf>
    <xf numFmtId="0" fontId="9" fillId="0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9" fillId="4" borderId="6" xfId="0" applyFont="1" applyFill="1" applyBorder="1" applyAlignment="1">
      <alignment horizontal="center"/>
    </xf>
    <xf numFmtId="0" fontId="9" fillId="4" borderId="9" xfId="0" applyFont="1" applyFill="1" applyBorder="1" applyAlignment="1">
      <alignment horizontal="center"/>
    </xf>
    <xf numFmtId="49" fontId="9" fillId="4" borderId="10" xfId="0" applyNumberFormat="1" applyFont="1" applyFill="1" applyBorder="1" applyAlignment="1">
      <alignment horizontal="center"/>
    </xf>
    <xf numFmtId="0" fontId="9" fillId="4" borderId="3" xfId="0" applyNumberFormat="1" applyFont="1" applyFill="1" applyBorder="1" applyAlignment="1">
      <alignment horizontal="center"/>
    </xf>
    <xf numFmtId="1" fontId="9" fillId="4" borderId="3" xfId="0" applyNumberFormat="1" applyFont="1" applyFill="1" applyBorder="1" applyAlignment="1">
      <alignment horizontal="center"/>
    </xf>
    <xf numFmtId="1" fontId="9" fillId="4" borderId="4" xfId="0" applyNumberFormat="1" applyFont="1" applyFill="1" applyBorder="1" applyAlignment="1">
      <alignment horizontal="center"/>
    </xf>
    <xf numFmtId="49" fontId="9" fillId="4" borderId="4" xfId="0" applyNumberFormat="1" applyFont="1" applyFill="1" applyBorder="1" applyAlignment="1">
      <alignment horizontal="center"/>
    </xf>
    <xf numFmtId="0" fontId="9" fillId="4" borderId="14" xfId="0" applyNumberFormat="1" applyFont="1" applyFill="1" applyBorder="1" applyAlignment="1">
      <alignment horizontal="center"/>
    </xf>
    <xf numFmtId="0" fontId="9" fillId="4" borderId="10" xfId="0" applyNumberFormat="1" applyFont="1" applyFill="1" applyBorder="1" applyAlignment="1">
      <alignment horizontal="center"/>
    </xf>
    <xf numFmtId="0" fontId="9" fillId="0" borderId="0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3" fontId="3" fillId="0" borderId="0" xfId="0" applyNumberFormat="1" applyFont="1" applyAlignment="1">
      <alignment horizontal="center"/>
    </xf>
    <xf numFmtId="0" fontId="0" fillId="4" borderId="9" xfId="0" applyFill="1" applyBorder="1"/>
    <xf numFmtId="49" fontId="9" fillId="4" borderId="3" xfId="0" applyNumberFormat="1" applyFont="1" applyFill="1" applyBorder="1" applyAlignment="1">
      <alignment horizontal="center" vertical="center"/>
    </xf>
    <xf numFmtId="0" fontId="9" fillId="4" borderId="3" xfId="0" applyNumberFormat="1" applyFont="1" applyFill="1" applyBorder="1" applyAlignment="1">
      <alignment horizontal="center" vertical="center"/>
    </xf>
    <xf numFmtId="0" fontId="9" fillId="4" borderId="4" xfId="0" applyNumberFormat="1" applyFont="1" applyFill="1" applyBorder="1" applyAlignment="1">
      <alignment horizontal="center"/>
    </xf>
    <xf numFmtId="0" fontId="1" fillId="22" borderId="19" xfId="0" applyFont="1" applyFill="1" applyBorder="1" applyAlignment="1">
      <alignment horizontal="center" vertical="center"/>
    </xf>
    <xf numFmtId="0" fontId="1" fillId="22" borderId="2" xfId="0" applyFont="1" applyFill="1" applyBorder="1" applyAlignment="1">
      <alignment horizontal="center" vertical="center"/>
    </xf>
    <xf numFmtId="0" fontId="1" fillId="22" borderId="16" xfId="0" applyFont="1" applyFill="1" applyBorder="1" applyAlignment="1">
      <alignment horizontal="center" vertical="center"/>
    </xf>
    <xf numFmtId="0" fontId="1" fillId="22" borderId="28" xfId="0" applyFont="1" applyFill="1" applyBorder="1" applyAlignment="1">
      <alignment horizontal="center" vertical="center"/>
    </xf>
    <xf numFmtId="0" fontId="1" fillId="22" borderId="7" xfId="0" applyFont="1" applyFill="1" applyBorder="1" applyAlignment="1">
      <alignment horizontal="center" vertical="center"/>
    </xf>
    <xf numFmtId="0" fontId="1" fillId="22" borderId="1" xfId="0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1" fillId="22" borderId="33" xfId="0" applyFont="1" applyFill="1" applyBorder="1" applyAlignment="1">
      <alignment horizontal="center" vertical="center" wrapText="1"/>
    </xf>
    <xf numFmtId="0" fontId="1" fillId="22" borderId="9" xfId="0" applyFont="1" applyFill="1" applyBorder="1" applyAlignment="1">
      <alignment horizontal="center" vertical="center" wrapText="1"/>
    </xf>
    <xf numFmtId="0" fontId="1" fillId="22" borderId="27" xfId="0" applyFont="1" applyFill="1" applyBorder="1" applyAlignment="1">
      <alignment horizontal="center" vertical="center" wrapText="1"/>
    </xf>
    <xf numFmtId="0" fontId="1" fillId="22" borderId="23" xfId="0" applyFont="1" applyFill="1" applyBorder="1" applyAlignment="1">
      <alignment horizontal="center" vertical="center"/>
    </xf>
    <xf numFmtId="0" fontId="1" fillId="22" borderId="32" xfId="0" applyFont="1" applyFill="1" applyBorder="1" applyAlignment="1">
      <alignment horizontal="center" vertical="center" wrapText="1"/>
    </xf>
    <xf numFmtId="0" fontId="1" fillId="22" borderId="17" xfId="0" applyFont="1" applyFill="1" applyBorder="1" applyAlignment="1">
      <alignment horizontal="center" vertical="center" wrapText="1"/>
    </xf>
    <xf numFmtId="0" fontId="1" fillId="22" borderId="28" xfId="0" applyFont="1" applyFill="1" applyBorder="1" applyAlignment="1">
      <alignment horizontal="center" vertical="center" wrapText="1"/>
    </xf>
    <xf numFmtId="0" fontId="1" fillId="22" borderId="38" xfId="0" applyFont="1" applyFill="1" applyBorder="1" applyAlignment="1">
      <alignment horizontal="center" vertical="center"/>
    </xf>
    <xf numFmtId="0" fontId="1" fillId="22" borderId="24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63" fillId="20" borderId="0" xfId="0" applyFont="1" applyFill="1" applyAlignment="1">
      <alignment horizontal="center"/>
    </xf>
    <xf numFmtId="0" fontId="9" fillId="18" borderId="23" xfId="0" applyFont="1" applyFill="1" applyBorder="1" applyAlignment="1">
      <alignment horizontal="center"/>
    </xf>
    <xf numFmtId="0" fontId="6" fillId="9" borderId="36" xfId="0" applyFont="1" applyFill="1" applyBorder="1" applyAlignment="1">
      <alignment horizontal="left" vertical="center" wrapText="1"/>
    </xf>
    <xf numFmtId="0" fontId="9" fillId="18" borderId="33" xfId="0" applyFont="1" applyFill="1" applyBorder="1" applyAlignment="1">
      <alignment horizontal="center" vertical="center" wrapText="1"/>
    </xf>
    <xf numFmtId="0" fontId="9" fillId="18" borderId="27" xfId="0" applyFont="1" applyFill="1" applyBorder="1" applyAlignment="1">
      <alignment horizontal="center" vertical="center" wrapText="1"/>
    </xf>
    <xf numFmtId="0" fontId="9" fillId="18" borderId="32" xfId="0" applyFont="1" applyFill="1" applyBorder="1" applyAlignment="1">
      <alignment horizontal="center" vertical="center" wrapText="1"/>
    </xf>
    <xf numFmtId="0" fontId="9" fillId="18" borderId="28" xfId="0" applyFont="1" applyFill="1" applyBorder="1" applyAlignment="1">
      <alignment horizontal="center" vertical="center" wrapText="1"/>
    </xf>
    <xf numFmtId="0" fontId="9" fillId="18" borderId="19" xfId="0" applyFont="1" applyFill="1" applyBorder="1" applyAlignment="1">
      <alignment horizontal="center"/>
    </xf>
    <xf numFmtId="0" fontId="9" fillId="18" borderId="2" xfId="0" applyFont="1" applyFill="1" applyBorder="1" applyAlignment="1">
      <alignment horizontal="center"/>
    </xf>
    <xf numFmtId="0" fontId="64" fillId="8" borderId="0" xfId="0" applyFont="1" applyFill="1" applyAlignment="1">
      <alignment horizontal="center"/>
    </xf>
    <xf numFmtId="2" fontId="9" fillId="23" borderId="89" xfId="10" applyNumberFormat="1" applyFont="1" applyFill="1" applyBorder="1" applyAlignment="1">
      <alignment horizontal="center" vertical="center"/>
    </xf>
    <xf numFmtId="2" fontId="9" fillId="23" borderId="63" xfId="10" applyNumberFormat="1" applyFont="1" applyFill="1" applyBorder="1" applyAlignment="1">
      <alignment horizontal="center" vertical="center"/>
    </xf>
    <xf numFmtId="2" fontId="9" fillId="23" borderId="89" xfId="10" applyNumberFormat="1" applyFont="1" applyFill="1" applyBorder="1" applyAlignment="1" applyProtection="1">
      <alignment horizontal="center" vertical="center"/>
    </xf>
    <xf numFmtId="2" fontId="9" fillId="23" borderId="63" xfId="10" applyNumberFormat="1" applyFont="1" applyFill="1" applyBorder="1" applyAlignment="1" applyProtection="1">
      <alignment horizontal="center" vertical="center"/>
    </xf>
    <xf numFmtId="0" fontId="9" fillId="13" borderId="106" xfId="0" applyFont="1" applyFill="1" applyBorder="1" applyAlignment="1">
      <alignment horizontal="center" vertical="center"/>
    </xf>
    <xf numFmtId="0" fontId="9" fillId="13" borderId="23" xfId="0" applyFont="1" applyFill="1" applyBorder="1" applyAlignment="1">
      <alignment horizontal="center" vertical="center"/>
    </xf>
    <xf numFmtId="0" fontId="9" fillId="13" borderId="68" xfId="0" applyFont="1" applyFill="1" applyBorder="1" applyAlignment="1">
      <alignment horizontal="center" vertical="center"/>
    </xf>
    <xf numFmtId="0" fontId="9" fillId="13" borderId="0" xfId="0" applyFont="1" applyFill="1" applyBorder="1" applyAlignment="1">
      <alignment horizontal="center" vertical="center"/>
    </xf>
    <xf numFmtId="3" fontId="3" fillId="9" borderId="0" xfId="0" applyNumberFormat="1" applyFont="1" applyFill="1" applyBorder="1" applyAlignment="1">
      <alignment horizontal="center" vertical="center"/>
    </xf>
    <xf numFmtId="0" fontId="3" fillId="9" borderId="1" xfId="0" applyFont="1" applyFill="1" applyBorder="1" applyAlignment="1">
      <alignment horizontal="center" vertical="center"/>
    </xf>
    <xf numFmtId="0" fontId="9" fillId="13" borderId="1" xfId="0" applyFont="1" applyFill="1" applyBorder="1" applyAlignment="1">
      <alignment horizontal="center" vertical="center"/>
    </xf>
    <xf numFmtId="0" fontId="9" fillId="13" borderId="103" xfId="0" applyFont="1" applyFill="1" applyBorder="1" applyAlignment="1">
      <alignment horizontal="center" vertical="center"/>
    </xf>
    <xf numFmtId="0" fontId="9" fillId="13" borderId="36" xfId="0" applyFont="1" applyFill="1" applyBorder="1" applyAlignment="1">
      <alignment horizontal="center" vertical="center"/>
    </xf>
    <xf numFmtId="0" fontId="9" fillId="13" borderId="104" xfId="0" applyFont="1" applyFill="1" applyBorder="1" applyAlignment="1">
      <alignment horizontal="center" vertical="center"/>
    </xf>
    <xf numFmtId="0" fontId="1" fillId="13" borderId="72" xfId="0" applyFont="1" applyFill="1" applyBorder="1" applyAlignment="1">
      <alignment horizontal="center" vertical="center"/>
    </xf>
    <xf numFmtId="0" fontId="1" fillId="13" borderId="11" xfId="0" applyFont="1" applyFill="1" applyBorder="1" applyAlignment="1">
      <alignment horizontal="center" vertical="center"/>
    </xf>
    <xf numFmtId="0" fontId="1" fillId="13" borderId="64" xfId="0" applyFont="1" applyFill="1" applyBorder="1" applyAlignment="1">
      <alignment horizontal="center" vertical="center"/>
    </xf>
    <xf numFmtId="3" fontId="3" fillId="9" borderId="7" xfId="0" applyNumberFormat="1" applyFont="1" applyFill="1" applyBorder="1" applyAlignment="1">
      <alignment horizontal="center" vertical="center"/>
    </xf>
    <xf numFmtId="0" fontId="1" fillId="13" borderId="89" xfId="0" applyFont="1" applyFill="1" applyBorder="1" applyAlignment="1">
      <alignment horizontal="center" vertical="center"/>
    </xf>
    <xf numFmtId="0" fontId="1" fillId="13" borderId="1" xfId="0" applyFont="1" applyFill="1" applyBorder="1" applyAlignment="1">
      <alignment horizontal="center" vertical="center"/>
    </xf>
    <xf numFmtId="0" fontId="1" fillId="13" borderId="63" xfId="0" applyFont="1" applyFill="1" applyBorder="1" applyAlignment="1">
      <alignment horizontal="center" vertical="center"/>
    </xf>
    <xf numFmtId="0" fontId="64" fillId="0" borderId="0" xfId="0" applyFont="1" applyFill="1" applyAlignment="1">
      <alignment horizontal="center"/>
    </xf>
    <xf numFmtId="0" fontId="3" fillId="0" borderId="0" xfId="4" applyFont="1" applyAlignment="1">
      <alignment horizontal="center"/>
    </xf>
    <xf numFmtId="0" fontId="9" fillId="0" borderId="0" xfId="4" applyFont="1" applyAlignment="1">
      <alignment horizontal="center"/>
    </xf>
    <xf numFmtId="0" fontId="20" fillId="0" borderId="0" xfId="0" applyFont="1" applyFill="1" applyBorder="1" applyAlignment="1">
      <alignment horizontal="center"/>
    </xf>
    <xf numFmtId="0" fontId="9" fillId="0" borderId="0" xfId="0" applyFont="1" applyFill="1" applyAlignment="1">
      <alignment horizontal="center"/>
    </xf>
    <xf numFmtId="0" fontId="35" fillId="3" borderId="7" xfId="0" applyFont="1" applyFill="1" applyBorder="1" applyAlignment="1">
      <alignment horizontal="center" vertical="center"/>
    </xf>
    <xf numFmtId="49" fontId="9" fillId="5" borderId="4" xfId="0" applyNumberFormat="1" applyFont="1" applyFill="1" applyBorder="1" applyAlignment="1">
      <alignment horizontal="center"/>
    </xf>
    <xf numFmtId="49" fontId="9" fillId="5" borderId="14" xfId="0" applyNumberFormat="1" applyFont="1" applyFill="1" applyBorder="1" applyAlignment="1">
      <alignment horizontal="center"/>
    </xf>
    <xf numFmtId="0" fontId="35" fillId="3" borderId="10" xfId="0" applyFont="1" applyFill="1" applyBorder="1" applyAlignment="1">
      <alignment horizontal="center" vertical="center"/>
    </xf>
    <xf numFmtId="0" fontId="35" fillId="3" borderId="3" xfId="0" applyFont="1" applyFill="1" applyBorder="1" applyAlignment="1">
      <alignment horizontal="center" vertical="center"/>
    </xf>
    <xf numFmtId="0" fontId="35" fillId="3" borderId="4" xfId="0" applyFont="1" applyFill="1" applyBorder="1" applyAlignment="1">
      <alignment horizontal="center" vertical="center"/>
    </xf>
    <xf numFmtId="0" fontId="9" fillId="5" borderId="10" xfId="0" applyFont="1" applyFill="1" applyBorder="1" applyAlignment="1">
      <alignment horizontal="center" vertical="center"/>
    </xf>
    <xf numFmtId="49" fontId="9" fillId="5" borderId="3" xfId="0" applyNumberFormat="1" applyFont="1" applyFill="1" applyBorder="1" applyAlignment="1">
      <alignment horizontal="center"/>
    </xf>
    <xf numFmtId="49" fontId="9" fillId="5" borderId="10" xfId="0" applyNumberFormat="1" applyFont="1" applyFill="1" applyBorder="1" applyAlignment="1">
      <alignment horizontal="center"/>
    </xf>
  </cellXfs>
  <cellStyles count="14">
    <cellStyle name="Hyperlink" xfId="1" builtinId="8"/>
    <cellStyle name="Hyperlink_Ranking do Agronegócio-Valores" xfId="2"/>
    <cellStyle name="Normal" xfId="0" builtinId="0"/>
    <cellStyle name="Normal 2_Produção Brasiliera de Café-2015-2014-2013" xfId="3"/>
    <cellStyle name="Normal 2_Produção CONAB - 1999 a 2014" xfId="13"/>
    <cellStyle name="Normal_Balança Janeiro-02" xfId="4"/>
    <cellStyle name="Normal_Estoques privados e público-CONAB-04-13" xfId="5"/>
    <cellStyle name="Normal_Informe Café - Julho-02" xfId="6"/>
    <cellStyle name="Normal_Plan1_1" xfId="7"/>
    <cellStyle name="Normal_Ranking do Agronegócio-Valores" xfId="8"/>
    <cellStyle name="Porcentagem" xfId="9" builtinId="5"/>
    <cellStyle name="Separador de milhares" xfId="10" builtinId="3"/>
    <cellStyle name="Separador de milhares_Estoques privados e público-CONAB-04-13" xfId="11"/>
    <cellStyle name="Vírgula 2" xfId="12"/>
  </cellStyles>
  <dxfs count="2"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2.jpeg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2.jpeg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2.jpeg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2.jpeg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2.jpeg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2.jpeg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2.jpeg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2.jpeg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2.jpeg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2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plotArea>
      <c:layout>
        <c:manualLayout>
          <c:layoutTarget val="inner"/>
          <c:xMode val="edge"/>
          <c:yMode val="edge"/>
          <c:x val="8.1416465146475228E-2"/>
          <c:y val="0.13936351706036745"/>
          <c:w val="0.89500368888713056"/>
          <c:h val="0.64969305920094944"/>
        </c:manualLayout>
      </c:layout>
      <c:barChart>
        <c:barDir val="col"/>
        <c:grouping val="clustered"/>
        <c:ser>
          <c:idx val="0"/>
          <c:order val="0"/>
          <c:tx>
            <c:strRef>
              <c:f>Plan1!$A$6</c:f>
              <c:strCache>
                <c:ptCount val="1"/>
                <c:pt idx="0">
                  <c:v>ARÁBICA</c:v>
                </c:pt>
              </c:strCache>
            </c:strRef>
          </c:tx>
          <c:dLbls>
            <c:showVal val="1"/>
          </c:dLbls>
          <c:cat>
            <c:numRef>
              <c:f>Plan1!$B$5:$Q$5</c:f>
              <c:numCache>
                <c:formatCode>General</c:formatCode>
                <c:ptCount val="16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2015</c:v>
                </c:pt>
              </c:numCache>
            </c:numRef>
          </c:cat>
          <c:val>
            <c:numRef>
              <c:f>Plan1!$B$6:$Q$6</c:f>
              <c:numCache>
                <c:formatCode>#,##0.0</c:formatCode>
                <c:ptCount val="16"/>
                <c:pt idx="0">
                  <c:v>22.5</c:v>
                </c:pt>
                <c:pt idx="1">
                  <c:v>37.9</c:v>
                </c:pt>
                <c:pt idx="2">
                  <c:v>20.100000000000001</c:v>
                </c:pt>
                <c:pt idx="3">
                  <c:v>31.7</c:v>
                </c:pt>
                <c:pt idx="4">
                  <c:v>23.8</c:v>
                </c:pt>
                <c:pt idx="5">
                  <c:v>33</c:v>
                </c:pt>
                <c:pt idx="6">
                  <c:v>25.1</c:v>
                </c:pt>
                <c:pt idx="7" formatCode="_(* #,##0.0_);_(* \(#,##0.0\);_(* &quot;-&quot;_);_(@_)">
                  <c:v>35.5</c:v>
                </c:pt>
                <c:pt idx="8" formatCode="_(* #,##0.0_);_(* \(#,##0.0\);_(* &quot;-&quot;_);_(@_)">
                  <c:v>28.8</c:v>
                </c:pt>
                <c:pt idx="9" formatCode="_(* #,##0.0_);_(* \(#,##0.0\);_(* &quot;-&quot;_);_(@_)">
                  <c:v>36.799999999999997</c:v>
                </c:pt>
                <c:pt idx="10" formatCode="_(* #,##0.0_);_(* \(#,##0.0\);_(* &quot;-&quot;_);_(@_)">
                  <c:v>32.200000000000003</c:v>
                </c:pt>
                <c:pt idx="11" formatCode="_(* #,##0.0_);_(* \(#,##0.0\);_(* &quot;-&quot;_);_(@_)">
                  <c:v>38.299999999999997</c:v>
                </c:pt>
                <c:pt idx="12" formatCode="_(* #,##0.0_);_(* \(#,##0.0\);_(* &quot;-&quot;_);_(@_)">
                  <c:v>38.299999999999997</c:v>
                </c:pt>
                <c:pt idx="13" formatCode="_(* #,##0.0_);_(* \(#,##0.0\);_(* &quot;-&quot;_);_(@_)">
                  <c:v>32.6</c:v>
                </c:pt>
                <c:pt idx="14" formatCode="_(* #,##0.0_);_(* \(#,##0.0\);_(* &quot;-&quot;_);_(@_)">
                  <c:v>32</c:v>
                </c:pt>
                <c:pt idx="15" formatCode="_(* #,##0.0_);_(* \(#,##0.0\);_(* &quot;-&quot;_);_(@_)">
                  <c:v>38.799999999999997</c:v>
                </c:pt>
              </c:numCache>
            </c:numRef>
          </c:val>
        </c:ser>
        <c:ser>
          <c:idx val="1"/>
          <c:order val="1"/>
          <c:tx>
            <c:strRef>
              <c:f>Plan1!$A$7</c:f>
              <c:strCache>
                <c:ptCount val="1"/>
                <c:pt idx="0">
                  <c:v>CONILON</c:v>
                </c:pt>
              </c:strCache>
            </c:strRef>
          </c:tx>
          <c:dLbls>
            <c:showVal val="1"/>
          </c:dLbls>
          <c:cat>
            <c:numRef>
              <c:f>Plan1!$B$5:$Q$5</c:f>
              <c:numCache>
                <c:formatCode>General</c:formatCode>
                <c:ptCount val="16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2015</c:v>
                </c:pt>
              </c:numCache>
            </c:numRef>
          </c:cat>
          <c:val>
            <c:numRef>
              <c:f>Plan1!$B$7:$Q$7</c:f>
              <c:numCache>
                <c:formatCode>#,##0.0</c:formatCode>
                <c:ptCount val="16"/>
                <c:pt idx="0">
                  <c:v>8.8000000000000007</c:v>
                </c:pt>
                <c:pt idx="1">
                  <c:v>10.5</c:v>
                </c:pt>
                <c:pt idx="2">
                  <c:v>8.6999999999999993</c:v>
                </c:pt>
                <c:pt idx="3">
                  <c:v>7.5</c:v>
                </c:pt>
                <c:pt idx="4">
                  <c:v>9.1</c:v>
                </c:pt>
                <c:pt idx="5">
                  <c:v>9.5</c:v>
                </c:pt>
                <c:pt idx="6">
                  <c:v>10.9</c:v>
                </c:pt>
                <c:pt idx="7" formatCode="_(* #,##0.0_);_(* \(#,##0.0\);_(* &quot;-&quot;_);_(@_)">
                  <c:v>10.5</c:v>
                </c:pt>
                <c:pt idx="8" formatCode="_(* #,##0.0_);_(* \(#,##0.0\);_(* &quot;-&quot;_);_(@_)">
                  <c:v>10.6</c:v>
                </c:pt>
                <c:pt idx="9" formatCode="_(* #,##0.0_);_(* \(#,##0.0\);_(* &quot;-&quot;_);_(@_)">
                  <c:v>11.2</c:v>
                </c:pt>
                <c:pt idx="10" formatCode="_(* #,##0.0_);_(* \(#,##0.0\);_(* &quot;-&quot;_);_(@_)">
                  <c:v>11.3</c:v>
                </c:pt>
                <c:pt idx="11" formatCode="_(* #,##0.0_);_(* \(#,##0.0\);_(* &quot;-&quot;_);_(@_)">
                  <c:v>12.5</c:v>
                </c:pt>
                <c:pt idx="12" formatCode="_(* #,##0.0_);_(* \(#,##0.0\);_(* &quot;-&quot;_);_(@_)">
                  <c:v>10.9</c:v>
                </c:pt>
                <c:pt idx="13" formatCode="_(* #,##0.0_);_(* \(#,##0.0\);_(* &quot;-&quot;_);_(@_)">
                  <c:v>13</c:v>
                </c:pt>
                <c:pt idx="14" formatCode="_(* #,##0.0_);_(* \(#,##0.0\);_(* &quot;-&quot;_);_(@_)">
                  <c:v>11.2</c:v>
                </c:pt>
                <c:pt idx="15" formatCode="_(* #,##0.0_);_(* \(#,##0.0\);_(* &quot;-&quot;_);_(@_)">
                  <c:v>11.7</c:v>
                </c:pt>
              </c:numCache>
            </c:numRef>
          </c:val>
        </c:ser>
        <c:ser>
          <c:idx val="2"/>
          <c:order val="2"/>
          <c:tx>
            <c:strRef>
              <c:f>Plan1!$A$8</c:f>
              <c:strCache>
                <c:ptCount val="1"/>
                <c:pt idx="0">
                  <c:v>TOTAL</c:v>
                </c:pt>
              </c:strCache>
            </c:strRef>
          </c:tx>
          <c:dLbls>
            <c:dLbl>
              <c:idx val="14"/>
              <c:tx>
                <c:rich>
                  <a:bodyPr/>
                  <a:lstStyle/>
                  <a:p>
                    <a:r>
                      <a:rPr lang="en-US" b="1"/>
                      <a:t> 43,2</a:t>
                    </a:r>
                  </a:p>
                  <a:p>
                    <a:r>
                      <a:rPr lang="en-US" b="1"/>
                      <a:t>BAIXA </a:t>
                    </a:r>
                  </a:p>
                </c:rich>
              </c:tx>
              <c:showVal val="1"/>
            </c:dLbl>
            <c:dLbl>
              <c:idx val="15"/>
              <c:layout>
                <c:manualLayout>
                  <c:x val="-3.0303030303030312E-3"/>
                  <c:y val="-2.2717622735500522E-17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 50,5</a:t>
                    </a:r>
                  </a:p>
                  <a:p>
                    <a:r>
                      <a:rPr lang="en-US" b="1"/>
                      <a:t>ALTA </a:t>
                    </a:r>
                  </a:p>
                </c:rich>
              </c:tx>
              <c:showVal val="1"/>
            </c:dLbl>
            <c:txPr>
              <a:bodyPr/>
              <a:lstStyle/>
              <a:p>
                <a:pPr>
                  <a:defRPr b="1"/>
                </a:pPr>
                <a:endParaRPr lang="pt-BR"/>
              </a:p>
            </c:txPr>
            <c:showVal val="1"/>
          </c:dLbls>
          <c:cat>
            <c:numRef>
              <c:f>Plan1!$B$5:$Q$5</c:f>
              <c:numCache>
                <c:formatCode>General</c:formatCode>
                <c:ptCount val="16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2015</c:v>
                </c:pt>
              </c:numCache>
            </c:numRef>
          </c:cat>
          <c:val>
            <c:numRef>
              <c:f>Plan1!$B$8:$Q$8</c:f>
              <c:numCache>
                <c:formatCode>#,##0.0</c:formatCode>
                <c:ptCount val="16"/>
                <c:pt idx="0">
                  <c:v>31.3</c:v>
                </c:pt>
                <c:pt idx="1">
                  <c:v>48.4</c:v>
                </c:pt>
                <c:pt idx="2">
                  <c:v>28.8</c:v>
                </c:pt>
                <c:pt idx="3">
                  <c:v>39.200000000000003</c:v>
                </c:pt>
                <c:pt idx="4">
                  <c:v>32.9</c:v>
                </c:pt>
                <c:pt idx="5">
                  <c:v>42.5</c:v>
                </c:pt>
                <c:pt idx="6">
                  <c:v>36</c:v>
                </c:pt>
                <c:pt idx="7" formatCode="_(* #,##0.0_);_(* \(#,##0.0\);_(* &quot;-&quot;_);_(@_)">
                  <c:v>46</c:v>
                </c:pt>
                <c:pt idx="8" formatCode="_(* #,##0.0_);_(* \(#,##0.0\);_(* &quot;-&quot;_);_(@_)">
                  <c:v>39.4</c:v>
                </c:pt>
                <c:pt idx="9" formatCode="_(* #,##0.0_);_(* \(#,##0.0\);_(* &quot;-&quot;_);_(@_)">
                  <c:v>48</c:v>
                </c:pt>
                <c:pt idx="10" formatCode="_(* #,##0.0_);_(* \(#,##0.0\);_(* &quot;-&quot;_);_(@_)">
                  <c:v>43.5</c:v>
                </c:pt>
                <c:pt idx="11" formatCode="_(* #,##0.0_);_(* \(#,##0.0\);_(* &quot;-&quot;_);_(@_)">
                  <c:v>50.8</c:v>
                </c:pt>
                <c:pt idx="12" formatCode="_(* #,##0.0_);_(* \(#,##0.0\);_(* &quot;-&quot;_);_(@_)">
                  <c:v>49.199999999999996</c:v>
                </c:pt>
                <c:pt idx="13" formatCode="_(* #,##0.0_);_(* \(#,##0.0\);_(* &quot;-&quot;_);_(@_)">
                  <c:v>45.6</c:v>
                </c:pt>
                <c:pt idx="14" formatCode="_(* #,##0.0_);_(* \(#,##0.0\);_(* &quot;-&quot;_);_(@_)">
                  <c:v>43.2</c:v>
                </c:pt>
                <c:pt idx="15" formatCode="_(* #,##0.0_);_(* \(#,##0.0\);_(* &quot;-&quot;_);_(@_)">
                  <c:v>50.5</c:v>
                </c:pt>
              </c:numCache>
            </c:numRef>
          </c:val>
        </c:ser>
        <c:dLbls>
          <c:showVal val="1"/>
        </c:dLbls>
        <c:gapWidth val="75"/>
        <c:axId val="77032448"/>
        <c:axId val="77046528"/>
      </c:barChart>
      <c:catAx>
        <c:axId val="77032448"/>
        <c:scaling>
          <c:orientation val="minMax"/>
        </c:scaling>
        <c:axPos val="b"/>
        <c:numFmt formatCode="General" sourceLinked="1"/>
        <c:majorTickMark val="none"/>
        <c:tickLblPos val="nextTo"/>
        <c:crossAx val="77046528"/>
        <c:crosses val="autoZero"/>
        <c:auto val="1"/>
        <c:lblAlgn val="ctr"/>
        <c:lblOffset val="100"/>
      </c:catAx>
      <c:valAx>
        <c:axId val="77046528"/>
        <c:scaling>
          <c:orientation val="minMax"/>
        </c:scaling>
        <c:axPos val="l"/>
        <c:numFmt formatCode="#,##0.0" sourceLinked="1"/>
        <c:majorTickMark val="none"/>
        <c:tickLblPos val="nextTo"/>
        <c:txPr>
          <a:bodyPr/>
          <a:lstStyle/>
          <a:p>
            <a:pPr>
              <a:defRPr>
                <a:latin typeface="Arial" pitchFamily="34" charset="0"/>
                <a:cs typeface="Arial" pitchFamily="34" charset="0"/>
              </a:defRPr>
            </a:pPr>
            <a:endParaRPr lang="pt-BR"/>
          </a:p>
        </c:txPr>
        <c:crossAx val="77032448"/>
        <c:crosses val="autoZero"/>
        <c:crossBetween val="between"/>
      </c:valAx>
      <c:spPr>
        <a:ln w="9525" cmpd="dbl"/>
      </c:spPr>
    </c:plotArea>
    <c:legend>
      <c:legendPos val="b"/>
    </c:legend>
    <c:plotVisOnly val="1"/>
    <c:dispBlanksAs val="gap"/>
  </c:chart>
  <c:printSettings>
    <c:headerFooter/>
    <c:pageMargins b="0.78740157499999996" l="0.511811024" r="0.511811024" t="0.78740157499999996" header="0.31496062000000952" footer="0.3149606200000095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t-BR" sz="900"/>
              <a:t>Receita Cambial 2016/15</a:t>
            </a:r>
          </a:p>
        </c:rich>
      </c:tx>
      <c:layout>
        <c:manualLayout>
          <c:xMode val="edge"/>
          <c:yMode val="edge"/>
          <c:x val="0.31537930331525826"/>
          <c:y val="4.7458567679040116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3310391756585982"/>
          <c:y val="0.15809118618237472"/>
          <c:w val="0.69132469552419262"/>
          <c:h val="0.62613834561002468"/>
        </c:manualLayout>
      </c:layout>
      <c:barChart>
        <c:barDir val="col"/>
        <c:grouping val="clustered"/>
        <c:ser>
          <c:idx val="0"/>
          <c:order val="0"/>
          <c:tx>
            <c:v>2016 Receita</c:v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'Exp. Extrato'!$C$7:$C$18</c:f>
              <c:numCache>
                <c:formatCode>_(* #,##0_);_(* \(#,##0\);_(* "-"??_);_(@_)</c:formatCode>
                <c:ptCount val="12"/>
                <c:pt idx="0">
                  <c:v>1704.2429999999999</c:v>
                </c:pt>
              </c:numCache>
            </c:numRef>
          </c:val>
        </c:ser>
        <c:ser>
          <c:idx val="1"/>
          <c:order val="1"/>
          <c:tx>
            <c:v>2015 Receita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('Exp. Extrato'!$F$7:$F$17,'Exp. Extrato'!$F$18)</c:f>
              <c:numCache>
                <c:formatCode>_(* #,##0_);_(* \(#,##0\);_(* "-"??_);_(@_)</c:formatCode>
                <c:ptCount val="12"/>
                <c:pt idx="0">
                  <c:v>2615</c:v>
                </c:pt>
                <c:pt idx="1">
                  <c:v>3503</c:v>
                </c:pt>
                <c:pt idx="2">
                  <c:v>3664</c:v>
                </c:pt>
                <c:pt idx="3">
                  <c:v>4108</c:v>
                </c:pt>
                <c:pt idx="4">
                  <c:v>4077</c:v>
                </c:pt>
                <c:pt idx="5">
                  <c:v>4392</c:v>
                </c:pt>
                <c:pt idx="6">
                  <c:v>3418</c:v>
                </c:pt>
                <c:pt idx="7">
                  <c:v>2052.8760000000002</c:v>
                </c:pt>
                <c:pt idx="8">
                  <c:v>1652</c:v>
                </c:pt>
                <c:pt idx="9">
                  <c:v>2708.9</c:v>
                </c:pt>
                <c:pt idx="10">
                  <c:v>2088</c:v>
                </c:pt>
                <c:pt idx="11">
                  <c:v>2475</c:v>
                </c:pt>
              </c:numCache>
            </c:numRef>
          </c:val>
        </c:ser>
        <c:axId val="82127488"/>
        <c:axId val="82133760"/>
      </c:barChart>
      <c:catAx>
        <c:axId val="8212748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 sz="800"/>
                  <a:t>Mês</a:t>
                </a:r>
              </a:p>
            </c:rich>
          </c:tx>
          <c:layout>
            <c:manualLayout>
              <c:xMode val="edge"/>
              <c:yMode val="edge"/>
              <c:x val="0.40700812883826432"/>
              <c:y val="0.89878715160604916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82133760"/>
        <c:crosses val="autoZero"/>
        <c:auto val="1"/>
        <c:lblAlgn val="ctr"/>
        <c:lblOffset val="100"/>
        <c:tickLblSkip val="1"/>
        <c:tickMarkSkip val="1"/>
      </c:catAx>
      <c:valAx>
        <c:axId val="8213376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_(* #,##0_);_(* \(#,##0\);_(* &quot;-&quot;??_);_(@_)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8212748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4630685727390875"/>
          <c:y val="0.16315256963847169"/>
          <c:w val="0.13752057691817243"/>
          <c:h val="0.63047963762594661"/>
        </c:manualLayout>
      </c:layout>
      <c:spPr>
        <a:solidFill>
          <a:schemeClr val="lt1"/>
        </a:solidFill>
        <a:ln w="25400" cap="flat" cmpd="sng" algn="ctr">
          <a:solidFill>
            <a:schemeClr val="accent2"/>
          </a:solidFill>
          <a:prstDash val="solid"/>
        </a:ln>
        <a:effectLst/>
      </c:spPr>
      <c:txPr>
        <a:bodyPr/>
        <a:lstStyle/>
        <a:p>
          <a:pPr>
            <a:defRPr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</c:chart>
  <c:spPr>
    <a:blipFill dpi="0" rotWithShape="0">
      <a:blip xmlns:r="http://schemas.openxmlformats.org/officeDocument/2006/relationships" r:embed="rId1"/>
      <a:srcRect/>
      <a:tile tx="0" ty="0" sx="100000" sy="100000" flip="none" algn="tl"/>
    </a:blip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0.98425196899999956" l="0.78740157499999996" r="0.78740157499999996" t="0.98425196899999956" header="0.49212598500001392" footer="0.49212598500001392"/>
    <c:pageSetup paperSize="9" orientation="landscape" horizontalDpi="-4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t-BR" sz="900"/>
              <a:t>Volume 2016/15</a:t>
            </a:r>
          </a:p>
        </c:rich>
      </c:tx>
      <c:layout>
        <c:manualLayout>
          <c:xMode val="edge"/>
          <c:yMode val="edge"/>
          <c:x val="0.38582779094362085"/>
          <c:y val="4.0485811915020133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6535475453872042"/>
          <c:y val="0.15166572178477689"/>
          <c:w val="0.64879408730625165"/>
          <c:h val="0.62270572178478034"/>
        </c:manualLayout>
      </c:layout>
      <c:barChart>
        <c:barDir val="col"/>
        <c:grouping val="clustered"/>
        <c:ser>
          <c:idx val="0"/>
          <c:order val="0"/>
          <c:tx>
            <c:v>2016 Volume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'Exp. Extrato'!$D$7:$D$18</c:f>
              <c:numCache>
                <c:formatCode>_(* #,##0_);_(* \(#,##0\);_(* "-"??_);_(@_)</c:formatCode>
                <c:ptCount val="12"/>
                <c:pt idx="0">
                  <c:v>17190.07</c:v>
                </c:pt>
              </c:numCache>
            </c:numRef>
          </c:val>
        </c:ser>
        <c:ser>
          <c:idx val="1"/>
          <c:order val="1"/>
          <c:tx>
            <c:v>2015 Volume</c:v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('Exp. Extrato'!$G$7:$G$17,'Exp. Extrato'!$G$18)</c:f>
              <c:numCache>
                <c:formatCode>_(* #,##0_);_(* \(#,##0\);_(* "-"??_);_(@_)</c:formatCode>
                <c:ptCount val="12"/>
                <c:pt idx="0">
                  <c:v>25696.666666666668</c:v>
                </c:pt>
                <c:pt idx="1">
                  <c:v>24613.333333333332</c:v>
                </c:pt>
                <c:pt idx="2">
                  <c:v>21926.666666666668</c:v>
                </c:pt>
                <c:pt idx="3">
                  <c:v>26433.333333333332</c:v>
                </c:pt>
                <c:pt idx="4">
                  <c:v>28123.333333333332</c:v>
                </c:pt>
                <c:pt idx="5">
                  <c:v>32890</c:v>
                </c:pt>
                <c:pt idx="6">
                  <c:v>29510</c:v>
                </c:pt>
                <c:pt idx="7">
                  <c:v>16504</c:v>
                </c:pt>
                <c:pt idx="8">
                  <c:v>14135.86</c:v>
                </c:pt>
                <c:pt idx="9">
                  <c:v>24522.54</c:v>
                </c:pt>
                <c:pt idx="10">
                  <c:v>18027</c:v>
                </c:pt>
                <c:pt idx="11">
                  <c:v>20540</c:v>
                </c:pt>
              </c:numCache>
            </c:numRef>
          </c:val>
        </c:ser>
        <c:axId val="82162816"/>
        <c:axId val="82164736"/>
      </c:barChart>
      <c:catAx>
        <c:axId val="8216281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Mês</a:t>
                </a:r>
              </a:p>
            </c:rich>
          </c:tx>
          <c:layout>
            <c:manualLayout>
              <c:xMode val="edge"/>
              <c:yMode val="edge"/>
              <c:x val="0.42519786968376538"/>
              <c:y val="0.88901669291338581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82164736"/>
        <c:crosses val="autoZero"/>
        <c:auto val="1"/>
        <c:lblAlgn val="ctr"/>
        <c:lblOffset val="100"/>
        <c:tickLblSkip val="1"/>
        <c:tickMarkSkip val="1"/>
      </c:catAx>
      <c:valAx>
        <c:axId val="82164736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_(* #,##0_);_(* \(#,##0\);_(* &quot;-&quot;??_);_(@_)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8216281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420179395051347"/>
          <c:y val="0.1517312335958024"/>
          <c:w val="0.13161277170450617"/>
          <c:h val="0.62398950131233599"/>
        </c:manualLayout>
      </c:layout>
      <c:spPr>
        <a:solidFill>
          <a:schemeClr val="lt1"/>
        </a:solidFill>
        <a:ln w="25400" cap="flat" cmpd="sng" algn="ctr">
          <a:solidFill>
            <a:schemeClr val="accent2"/>
          </a:solidFill>
          <a:prstDash val="solid"/>
        </a:ln>
        <a:effectLst/>
      </c:spPr>
      <c:txPr>
        <a:bodyPr/>
        <a:lstStyle/>
        <a:p>
          <a:pPr>
            <a:defRPr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</c:chart>
  <c:spPr>
    <a:blipFill dpi="0" rotWithShape="0">
      <a:blip xmlns:r="http://schemas.openxmlformats.org/officeDocument/2006/relationships" r:embed="rId1"/>
      <a:srcRect/>
      <a:tile tx="0" ty="0" sx="100000" sy="100000" flip="none" algn="tl"/>
    </a:blip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0.98425196899999956" l="0.78740157499999996" r="0.78740157499999996" t="0.98425196899999956" header="0.49212598500001392" footer="0.49212598500001392"/>
    <c:pageSetup paperSize="9" orientation="landscape" horizontalDpi="-2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t-BR"/>
              <a:t>Receita Cambial Global 2016/15</a:t>
            </a:r>
          </a:p>
        </c:rich>
      </c:tx>
      <c:layout>
        <c:manualLayout>
          <c:xMode val="edge"/>
          <c:yMode val="edge"/>
          <c:x val="0.31537930331525893"/>
          <c:y val="4.7458567679040116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3310391756585982"/>
          <c:y val="0.20647815784160894"/>
          <c:w val="0.69132469552419284"/>
          <c:h val="0.55824321959755063"/>
        </c:manualLayout>
      </c:layout>
      <c:barChart>
        <c:barDir val="col"/>
        <c:grouping val="clustered"/>
        <c:ser>
          <c:idx val="0"/>
          <c:order val="0"/>
          <c:tx>
            <c:v>2016 Receita</c:v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Total!$C$7:$C$18</c:f>
              <c:numCache>
                <c:formatCode>_(* #,##0_);_(* \(#,##0\);_(* "-"??_);_(@_)</c:formatCode>
                <c:ptCount val="12"/>
                <c:pt idx="0">
                  <c:v>403561.34</c:v>
                </c:pt>
              </c:numCache>
            </c:numRef>
          </c:val>
        </c:ser>
        <c:ser>
          <c:idx val="1"/>
          <c:order val="1"/>
          <c:tx>
            <c:v>2015 Receita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(Total!$L$7:$L$17,Total!$L$18)</c:f>
              <c:numCache>
                <c:formatCode>_(* #,##0_);_(* \(#,##0\);_(* "-"??_);_(@_)</c:formatCode>
                <c:ptCount val="12"/>
                <c:pt idx="0">
                  <c:v>589036</c:v>
                </c:pt>
              </c:numCache>
            </c:numRef>
          </c:val>
        </c:ser>
        <c:axId val="82280448"/>
        <c:axId val="82282368"/>
      </c:barChart>
      <c:catAx>
        <c:axId val="8228044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5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 sz="800"/>
                  <a:t>Mês</a:t>
                </a:r>
              </a:p>
            </c:rich>
          </c:tx>
          <c:layout>
            <c:manualLayout>
              <c:xMode val="edge"/>
              <c:yMode val="edge"/>
              <c:x val="0.40700816392189676"/>
              <c:y val="0.87339032620922374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82282368"/>
        <c:crosses val="autoZero"/>
        <c:auto val="1"/>
        <c:lblAlgn val="ctr"/>
        <c:lblOffset val="100"/>
        <c:tickLblSkip val="1"/>
        <c:tickMarkSkip val="1"/>
      </c:catAx>
      <c:valAx>
        <c:axId val="82282368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_(* #,##0_);_(* \(#,##0\);_(* &quot;-&quot;??_);_(@_)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8228044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4630685727390875"/>
          <c:y val="0.20616322959630456"/>
          <c:w val="0.13752057691817229"/>
          <c:h val="0.56355705536807965"/>
        </c:manualLayout>
      </c:layout>
      <c:spPr>
        <a:solidFill>
          <a:schemeClr val="lt1"/>
        </a:solidFill>
        <a:ln w="25400" cap="flat" cmpd="sng" algn="ctr">
          <a:solidFill>
            <a:schemeClr val="accent2"/>
          </a:solidFill>
          <a:prstDash val="solid"/>
        </a:ln>
        <a:effectLst/>
      </c:spPr>
      <c:txPr>
        <a:bodyPr/>
        <a:lstStyle/>
        <a:p>
          <a:pPr>
            <a:defRPr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</c:chart>
  <c:spPr>
    <a:blipFill dpi="0" rotWithShape="0">
      <a:blip xmlns:r="http://schemas.openxmlformats.org/officeDocument/2006/relationships" r:embed="rId1"/>
      <a:srcRect/>
      <a:tile tx="0" ty="0" sx="100000" sy="100000" flip="none" algn="tl"/>
    </a:blip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0.98425196899999956" l="0.78740157499999996" r="0.78740157499999996" t="0.98425196899999956" header="0.49212598500001403" footer="0.49212598500001403"/>
    <c:pageSetup paperSize="9" orientation="landscape" horizontalDpi="-4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t-BR"/>
              <a:t>Volume Global 2016/15</a:t>
            </a:r>
          </a:p>
        </c:rich>
      </c:tx>
      <c:layout>
        <c:manualLayout>
          <c:xMode val="edge"/>
          <c:yMode val="edge"/>
          <c:x val="0.3858277909436213"/>
          <c:y val="4.0485811915020133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6535475453872042"/>
          <c:y val="0.19433236797105888"/>
          <c:w val="0.65213972414522015"/>
          <c:h val="0.55870555791680065"/>
        </c:manualLayout>
      </c:layout>
      <c:barChart>
        <c:barDir val="col"/>
        <c:grouping val="clustered"/>
        <c:ser>
          <c:idx val="0"/>
          <c:order val="0"/>
          <c:tx>
            <c:v>2016 Volume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Total!$F$7:$F$18</c:f>
              <c:numCache>
                <c:formatCode>_(* #,##0_);_(* \(#,##0\);_(* "-"??_);_(@_)</c:formatCode>
                <c:ptCount val="12"/>
                <c:pt idx="0">
                  <c:v>2754948.07</c:v>
                </c:pt>
              </c:numCache>
            </c:numRef>
          </c:val>
        </c:ser>
        <c:ser>
          <c:idx val="1"/>
          <c:order val="1"/>
          <c:tx>
            <c:v>2015 Volume</c:v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(Total!$N$7:$N$17,Total!$N$18)</c:f>
              <c:numCache>
                <c:formatCode>_(* #,##0_);_(* \(#,##0\);_(* "-"??_);_(@_)</c:formatCode>
                <c:ptCount val="12"/>
                <c:pt idx="0">
                  <c:v>2980332.3333333335</c:v>
                </c:pt>
              </c:numCache>
            </c:numRef>
          </c:val>
        </c:ser>
        <c:axId val="82323712"/>
        <c:axId val="82329984"/>
      </c:barChart>
      <c:catAx>
        <c:axId val="8232371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Mês</a:t>
                </a:r>
              </a:p>
            </c:rich>
          </c:tx>
          <c:layout>
            <c:manualLayout>
              <c:xMode val="edge"/>
              <c:yMode val="edge"/>
              <c:x val="0.42519786968376538"/>
              <c:y val="0.86234982419652184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82329984"/>
        <c:crosses val="autoZero"/>
        <c:auto val="1"/>
        <c:lblAlgn val="ctr"/>
        <c:lblOffset val="100"/>
        <c:tickLblSkip val="1"/>
        <c:tickMarkSkip val="1"/>
      </c:catAx>
      <c:valAx>
        <c:axId val="82329984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_(* #,##0_);_(* \(#,##0\);_(* &quot;-&quot;??_);_(@_)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8232371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egendEntry>
        <c:idx val="0"/>
        <c:txPr>
          <a:bodyPr/>
          <a:lstStyle/>
          <a:p>
            <a:pPr>
              <a:defRPr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</c:legendEntry>
      <c:layout>
        <c:manualLayout>
          <c:xMode val="edge"/>
          <c:yMode val="edge"/>
          <c:x val="0.8420179395051347"/>
          <c:y val="0.19973109493388788"/>
          <c:w val="0.14269320208321942"/>
          <c:h val="0.5546560689347797"/>
        </c:manualLayout>
      </c:layout>
      <c:spPr>
        <a:solidFill>
          <a:schemeClr val="lt1"/>
        </a:solidFill>
        <a:ln w="25400" cap="flat" cmpd="sng" algn="ctr">
          <a:solidFill>
            <a:schemeClr val="accent2"/>
          </a:solidFill>
          <a:prstDash val="solid"/>
        </a:ln>
        <a:effectLst/>
      </c:spPr>
      <c:txPr>
        <a:bodyPr/>
        <a:lstStyle/>
        <a:p>
          <a:pPr>
            <a:defRPr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</c:chart>
  <c:spPr>
    <a:blipFill dpi="0" rotWithShape="0">
      <a:blip xmlns:r="http://schemas.openxmlformats.org/officeDocument/2006/relationships" r:embed="rId1"/>
      <a:srcRect/>
      <a:tile tx="0" ty="0" sx="100000" sy="100000" flip="none" algn="tl"/>
    </a:blip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0.98425196899999956" l="0.78740157499999996" r="0.78740157499999996" t="0.98425196899999956" header="0.49212598500001403" footer="0.49212598500001403"/>
    <c:pageSetup paperSize="9" orientation="landscape" horizontalDpi="-2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plotArea>
      <c:layout>
        <c:manualLayout>
          <c:layoutTarget val="inner"/>
          <c:xMode val="edge"/>
          <c:yMode val="edge"/>
          <c:x val="8.1416465146475228E-2"/>
          <c:y val="0.13936351706036745"/>
          <c:w val="0.89500368888713056"/>
          <c:h val="0.649693059200949"/>
        </c:manualLayout>
      </c:layout>
      <c:barChart>
        <c:barDir val="col"/>
        <c:grouping val="clustered"/>
        <c:ser>
          <c:idx val="0"/>
          <c:order val="0"/>
          <c:tx>
            <c:strRef>
              <c:f>Plan1!$A$6</c:f>
              <c:strCache>
                <c:ptCount val="1"/>
                <c:pt idx="0">
                  <c:v>ARÁBICA</c:v>
                </c:pt>
              </c:strCache>
            </c:strRef>
          </c:tx>
          <c:dLbls>
            <c:showVal val="1"/>
          </c:dLbls>
          <c:cat>
            <c:numRef>
              <c:f>Plan1!$B$5:$Q$5</c:f>
              <c:numCache>
                <c:formatCode>General</c:formatCode>
                <c:ptCount val="16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2015</c:v>
                </c:pt>
              </c:numCache>
            </c:numRef>
          </c:cat>
          <c:val>
            <c:numRef>
              <c:f>Plan1!$B$6:$Q$6</c:f>
              <c:numCache>
                <c:formatCode>#,##0.0</c:formatCode>
                <c:ptCount val="16"/>
                <c:pt idx="0">
                  <c:v>22.5</c:v>
                </c:pt>
                <c:pt idx="1">
                  <c:v>37.9</c:v>
                </c:pt>
                <c:pt idx="2">
                  <c:v>20.100000000000001</c:v>
                </c:pt>
                <c:pt idx="3">
                  <c:v>31.7</c:v>
                </c:pt>
                <c:pt idx="4">
                  <c:v>23.8</c:v>
                </c:pt>
                <c:pt idx="5">
                  <c:v>33</c:v>
                </c:pt>
                <c:pt idx="6">
                  <c:v>25.1</c:v>
                </c:pt>
                <c:pt idx="7" formatCode="_(* #,##0.0_);_(* \(#,##0.0\);_(* &quot;-&quot;_);_(@_)">
                  <c:v>35.5</c:v>
                </c:pt>
                <c:pt idx="8" formatCode="_(* #,##0.0_);_(* \(#,##0.0\);_(* &quot;-&quot;_);_(@_)">
                  <c:v>28.8</c:v>
                </c:pt>
                <c:pt idx="9" formatCode="_(* #,##0.0_);_(* \(#,##0.0\);_(* &quot;-&quot;_);_(@_)">
                  <c:v>36.799999999999997</c:v>
                </c:pt>
                <c:pt idx="10" formatCode="_(* #,##0.0_);_(* \(#,##0.0\);_(* &quot;-&quot;_);_(@_)">
                  <c:v>32.200000000000003</c:v>
                </c:pt>
                <c:pt idx="11" formatCode="_(* #,##0.0_);_(* \(#,##0.0\);_(* &quot;-&quot;_);_(@_)">
                  <c:v>38.299999999999997</c:v>
                </c:pt>
                <c:pt idx="12" formatCode="_(* #,##0.0_);_(* \(#,##0.0\);_(* &quot;-&quot;_);_(@_)">
                  <c:v>38.299999999999997</c:v>
                </c:pt>
                <c:pt idx="13" formatCode="_(* #,##0.0_);_(* \(#,##0.0\);_(* &quot;-&quot;_);_(@_)">
                  <c:v>32.6</c:v>
                </c:pt>
                <c:pt idx="14" formatCode="_(* #,##0.0_);_(* \(#,##0.0\);_(* &quot;-&quot;_);_(@_)">
                  <c:v>32</c:v>
                </c:pt>
                <c:pt idx="15" formatCode="_(* #,##0.0_);_(* \(#,##0.0\);_(* &quot;-&quot;_);_(@_)">
                  <c:v>38.799999999999997</c:v>
                </c:pt>
              </c:numCache>
            </c:numRef>
          </c:val>
        </c:ser>
        <c:ser>
          <c:idx val="1"/>
          <c:order val="1"/>
          <c:tx>
            <c:strRef>
              <c:f>Plan1!$A$7</c:f>
              <c:strCache>
                <c:ptCount val="1"/>
                <c:pt idx="0">
                  <c:v>CONILON</c:v>
                </c:pt>
              </c:strCache>
            </c:strRef>
          </c:tx>
          <c:dLbls>
            <c:showVal val="1"/>
          </c:dLbls>
          <c:cat>
            <c:numRef>
              <c:f>Plan1!$B$5:$Q$5</c:f>
              <c:numCache>
                <c:formatCode>General</c:formatCode>
                <c:ptCount val="16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2015</c:v>
                </c:pt>
              </c:numCache>
            </c:numRef>
          </c:cat>
          <c:val>
            <c:numRef>
              <c:f>Plan1!$B$7:$Q$7</c:f>
              <c:numCache>
                <c:formatCode>#,##0.0</c:formatCode>
                <c:ptCount val="16"/>
                <c:pt idx="0">
                  <c:v>8.8000000000000007</c:v>
                </c:pt>
                <c:pt idx="1">
                  <c:v>10.5</c:v>
                </c:pt>
                <c:pt idx="2">
                  <c:v>8.6999999999999993</c:v>
                </c:pt>
                <c:pt idx="3">
                  <c:v>7.5</c:v>
                </c:pt>
                <c:pt idx="4">
                  <c:v>9.1</c:v>
                </c:pt>
                <c:pt idx="5">
                  <c:v>9.5</c:v>
                </c:pt>
                <c:pt idx="6">
                  <c:v>10.9</c:v>
                </c:pt>
                <c:pt idx="7" formatCode="_(* #,##0.0_);_(* \(#,##0.0\);_(* &quot;-&quot;_);_(@_)">
                  <c:v>10.5</c:v>
                </c:pt>
                <c:pt idx="8" formatCode="_(* #,##0.0_);_(* \(#,##0.0\);_(* &quot;-&quot;_);_(@_)">
                  <c:v>10.6</c:v>
                </c:pt>
                <c:pt idx="9" formatCode="_(* #,##0.0_);_(* \(#,##0.0\);_(* &quot;-&quot;_);_(@_)">
                  <c:v>11.2</c:v>
                </c:pt>
                <c:pt idx="10" formatCode="_(* #,##0.0_);_(* \(#,##0.0\);_(* &quot;-&quot;_);_(@_)">
                  <c:v>11.3</c:v>
                </c:pt>
                <c:pt idx="11" formatCode="_(* #,##0.0_);_(* \(#,##0.0\);_(* &quot;-&quot;_);_(@_)">
                  <c:v>12.5</c:v>
                </c:pt>
                <c:pt idx="12" formatCode="_(* #,##0.0_);_(* \(#,##0.0\);_(* &quot;-&quot;_);_(@_)">
                  <c:v>10.9</c:v>
                </c:pt>
                <c:pt idx="13" formatCode="_(* #,##0.0_);_(* \(#,##0.0\);_(* &quot;-&quot;_);_(@_)">
                  <c:v>13</c:v>
                </c:pt>
                <c:pt idx="14" formatCode="_(* #,##0.0_);_(* \(#,##0.0\);_(* &quot;-&quot;_);_(@_)">
                  <c:v>11.2</c:v>
                </c:pt>
                <c:pt idx="15" formatCode="_(* #,##0.0_);_(* \(#,##0.0\);_(* &quot;-&quot;_);_(@_)">
                  <c:v>11.7</c:v>
                </c:pt>
              </c:numCache>
            </c:numRef>
          </c:val>
        </c:ser>
        <c:ser>
          <c:idx val="2"/>
          <c:order val="2"/>
          <c:tx>
            <c:strRef>
              <c:f>Plan1!$A$8</c:f>
              <c:strCache>
                <c:ptCount val="1"/>
                <c:pt idx="0">
                  <c:v>TOTAL</c:v>
                </c:pt>
              </c:strCache>
            </c:strRef>
          </c:tx>
          <c:dLbls>
            <c:showVal val="1"/>
          </c:dLbls>
          <c:cat>
            <c:numRef>
              <c:f>Plan1!$B$5:$Q$5</c:f>
              <c:numCache>
                <c:formatCode>General</c:formatCode>
                <c:ptCount val="16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2015</c:v>
                </c:pt>
              </c:numCache>
            </c:numRef>
          </c:cat>
          <c:val>
            <c:numRef>
              <c:f>Plan1!$B$8:$Q$8</c:f>
              <c:numCache>
                <c:formatCode>#,##0.0</c:formatCode>
                <c:ptCount val="16"/>
                <c:pt idx="0">
                  <c:v>31.3</c:v>
                </c:pt>
                <c:pt idx="1">
                  <c:v>48.4</c:v>
                </c:pt>
                <c:pt idx="2">
                  <c:v>28.8</c:v>
                </c:pt>
                <c:pt idx="3">
                  <c:v>39.200000000000003</c:v>
                </c:pt>
                <c:pt idx="4">
                  <c:v>32.9</c:v>
                </c:pt>
                <c:pt idx="5">
                  <c:v>42.5</c:v>
                </c:pt>
                <c:pt idx="6">
                  <c:v>36</c:v>
                </c:pt>
                <c:pt idx="7" formatCode="_(* #,##0.0_);_(* \(#,##0.0\);_(* &quot;-&quot;_);_(@_)">
                  <c:v>46</c:v>
                </c:pt>
                <c:pt idx="8" formatCode="_(* #,##0.0_);_(* \(#,##0.0\);_(* &quot;-&quot;_);_(@_)">
                  <c:v>39.4</c:v>
                </c:pt>
                <c:pt idx="9" formatCode="_(* #,##0.0_);_(* \(#,##0.0\);_(* &quot;-&quot;_);_(@_)">
                  <c:v>48</c:v>
                </c:pt>
                <c:pt idx="10" formatCode="_(* #,##0.0_);_(* \(#,##0.0\);_(* &quot;-&quot;_);_(@_)">
                  <c:v>43.5</c:v>
                </c:pt>
                <c:pt idx="11" formatCode="_(* #,##0.0_);_(* \(#,##0.0\);_(* &quot;-&quot;_);_(@_)">
                  <c:v>50.8</c:v>
                </c:pt>
                <c:pt idx="12" formatCode="_(* #,##0.0_);_(* \(#,##0.0\);_(* &quot;-&quot;_);_(@_)">
                  <c:v>49.199999999999996</c:v>
                </c:pt>
                <c:pt idx="13" formatCode="_(* #,##0.0_);_(* \(#,##0.0\);_(* &quot;-&quot;_);_(@_)">
                  <c:v>45.6</c:v>
                </c:pt>
                <c:pt idx="14" formatCode="_(* #,##0.0_);_(* \(#,##0.0\);_(* &quot;-&quot;_);_(@_)">
                  <c:v>43.2</c:v>
                </c:pt>
                <c:pt idx="15" formatCode="_(* #,##0.0_);_(* \(#,##0.0\);_(* &quot;-&quot;_);_(@_)">
                  <c:v>50.5</c:v>
                </c:pt>
              </c:numCache>
            </c:numRef>
          </c:val>
        </c:ser>
        <c:dLbls>
          <c:showVal val="1"/>
        </c:dLbls>
        <c:gapWidth val="75"/>
        <c:axId val="82484608"/>
        <c:axId val="82494592"/>
      </c:barChart>
      <c:catAx>
        <c:axId val="82484608"/>
        <c:scaling>
          <c:orientation val="minMax"/>
        </c:scaling>
        <c:axPos val="b"/>
        <c:numFmt formatCode="General" sourceLinked="1"/>
        <c:majorTickMark val="none"/>
        <c:tickLblPos val="nextTo"/>
        <c:crossAx val="82494592"/>
        <c:crosses val="autoZero"/>
        <c:auto val="1"/>
        <c:lblAlgn val="ctr"/>
        <c:lblOffset val="100"/>
      </c:catAx>
      <c:valAx>
        <c:axId val="82494592"/>
        <c:scaling>
          <c:orientation val="minMax"/>
        </c:scaling>
        <c:axPos val="l"/>
        <c:numFmt formatCode="#,##0.0" sourceLinked="1"/>
        <c:majorTickMark val="none"/>
        <c:tickLblPos val="nextTo"/>
        <c:txPr>
          <a:bodyPr/>
          <a:lstStyle/>
          <a:p>
            <a:pPr>
              <a:defRPr>
                <a:latin typeface="Arial" pitchFamily="34" charset="0"/>
                <a:cs typeface="Arial" pitchFamily="34" charset="0"/>
              </a:defRPr>
            </a:pPr>
            <a:endParaRPr lang="pt-BR"/>
          </a:p>
        </c:txPr>
        <c:crossAx val="82484608"/>
        <c:crosses val="autoZero"/>
        <c:crossBetween val="between"/>
      </c:valAx>
      <c:spPr>
        <a:ln w="9525" cmpd="dbl"/>
      </c:spPr>
    </c:plotArea>
    <c:legend>
      <c:legendPos val="b"/>
    </c:legend>
    <c:plotVisOnly val="1"/>
    <c:dispBlanksAs val="gap"/>
  </c:chart>
  <c:printSettings>
    <c:headerFooter/>
    <c:pageMargins b="0.78740157499999996" l="0.511811024" r="0.511811024" t="0.78740157499999996" header="0.31496062000000924" footer="0.31496062000000924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6"/>
  <c:chart>
    <c:title>
      <c:tx>
        <c:rich>
          <a:bodyPr/>
          <a:lstStyle/>
          <a:p>
            <a:pPr>
              <a:defRPr sz="1200"/>
            </a:pPr>
            <a:r>
              <a:rPr lang="pt-BR" sz="1200"/>
              <a:t>Evolução dos Preços
Pagos ao Produtor -  </a:t>
            </a:r>
            <a:r>
              <a:rPr lang="pt-BR" sz="900" b="0"/>
              <a:t>Em R$/saca</a:t>
            </a:r>
          </a:p>
        </c:rich>
      </c:tx>
    </c:title>
    <c:plotArea>
      <c:layout>
        <c:manualLayout>
          <c:layoutTarget val="inner"/>
          <c:xMode val="edge"/>
          <c:yMode val="edge"/>
          <c:x val="0.1271884016755242"/>
          <c:y val="0.21130747545445724"/>
          <c:w val="0.69571603775261726"/>
          <c:h val="0.65829685880013122"/>
        </c:manualLayout>
      </c:layout>
      <c:lineChart>
        <c:grouping val="standard"/>
        <c:ser>
          <c:idx val="0"/>
          <c:order val="0"/>
          <c:tx>
            <c:strRef>
              <c:f>Preço!$A$31</c:f>
              <c:strCache>
                <c:ptCount val="1"/>
                <c:pt idx="0">
                  <c:v>MG</c:v>
                </c:pt>
              </c:strCache>
            </c:strRef>
          </c:tx>
          <c:dLbls>
            <c:dLbl>
              <c:idx val="0"/>
              <c:layout>
                <c:manualLayout>
                  <c:x val="-7.6165367388777896E-2"/>
                  <c:y val="0.10587229330708657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pt-BR"/>
                </a:p>
              </c:txPr>
              <c:dLblPos val="r"/>
              <c:showVal val="1"/>
            </c:dLbl>
            <c:dLbl>
              <c:idx val="1"/>
              <c:layout>
                <c:manualLayout>
                  <c:x val="-8.4581031848630833E-2"/>
                  <c:y val="4.7212106299212596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pt-BR"/>
                </a:p>
              </c:txPr>
              <c:dLblPos val="r"/>
              <c:showVal val="1"/>
            </c:dLbl>
            <c:dLbl>
              <c:idx val="2"/>
              <c:layout>
                <c:manualLayout>
                  <c:x val="-7.4323657304033147E-2"/>
                  <c:y val="8.4374589895013147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pt-BR"/>
                </a:p>
              </c:txPr>
              <c:dLblPos val="r"/>
              <c:showVal val="1"/>
            </c:dLbl>
            <c:dLbl>
              <c:idx val="3"/>
              <c:layout>
                <c:manualLayout>
                  <c:x val="-7.7947271516434033E-2"/>
                  <c:y val="6.9096948818899134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pt-BR"/>
                </a:p>
              </c:txPr>
              <c:dLblPos val="r"/>
              <c:showVal val="1"/>
            </c:dLbl>
            <c:showVal val="1"/>
          </c:dLbls>
          <c:cat>
            <c:strRef>
              <c:f>Preço!$B$30:$E$30</c:f>
              <c:strCache>
                <c:ptCount val="4"/>
                <c:pt idx="0">
                  <c:v>12 Meses</c:v>
                </c:pt>
                <c:pt idx="1">
                  <c:v>4 Semanas</c:v>
                </c:pt>
                <c:pt idx="2">
                  <c:v>1 Semana</c:v>
                </c:pt>
                <c:pt idx="3">
                  <c:v>Atual</c:v>
                </c:pt>
              </c:strCache>
            </c:strRef>
          </c:cat>
          <c:val>
            <c:numRef>
              <c:f>Preço!$B$31:$E$31</c:f>
              <c:numCache>
                <c:formatCode>_-* #,##0.00_-;\-* #,##0.00_-;_-* "-"??_-;_-@_-</c:formatCode>
                <c:ptCount val="4"/>
                <c:pt idx="0">
                  <c:v>459.99</c:v>
                </c:pt>
                <c:pt idx="1">
                  <c:v>502.6</c:v>
                </c:pt>
                <c:pt idx="2">
                  <c:v>494.29</c:v>
                </c:pt>
                <c:pt idx="3">
                  <c:v>497.22</c:v>
                </c:pt>
              </c:numCache>
            </c:numRef>
          </c:val>
        </c:ser>
        <c:ser>
          <c:idx val="1"/>
          <c:order val="1"/>
          <c:tx>
            <c:strRef>
              <c:f>Preço!$A$33</c:f>
              <c:strCache>
                <c:ptCount val="1"/>
                <c:pt idx="0">
                  <c:v>ES</c:v>
                </c:pt>
              </c:strCache>
            </c:strRef>
          </c:tx>
          <c:dLbls>
            <c:dLbl>
              <c:idx val="0"/>
              <c:layout>
                <c:manualLayout>
                  <c:x val="-4.2997871534714883E-2"/>
                  <c:y val="6.5628753701161016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pt-BR"/>
                </a:p>
              </c:txPr>
              <c:dLblPos val="r"/>
              <c:showVal val="1"/>
            </c:dLbl>
            <c:dLbl>
              <c:idx val="1"/>
              <c:layout>
                <c:manualLayout>
                  <c:x val="-7.192802392238283E-2"/>
                  <c:y val="7.8818897637795524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pt-BR"/>
                </a:p>
              </c:txPr>
              <c:dLblPos val="r"/>
              <c:showVal val="1"/>
            </c:dLbl>
            <c:dLbl>
              <c:idx val="2"/>
              <c:layout>
                <c:manualLayout>
                  <c:x val="-7.192802392238283E-2"/>
                  <c:y val="7.8472358923884517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pt-BR"/>
                </a:p>
              </c:txPr>
              <c:dLblPos val="r"/>
              <c:showVal val="1"/>
            </c:dLbl>
            <c:dLbl>
              <c:idx val="3"/>
              <c:layout>
                <c:manualLayout>
                  <c:x val="-7.524451234640446E-2"/>
                  <c:y val="6.8401820866141813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pt-BR"/>
                </a:p>
              </c:txPr>
              <c:dLblPos val="r"/>
              <c:showVal val="1"/>
            </c:dLbl>
            <c:showVal val="1"/>
          </c:dLbls>
          <c:cat>
            <c:strRef>
              <c:f>Preço!$B$30:$E$30</c:f>
              <c:strCache>
                <c:ptCount val="4"/>
                <c:pt idx="0">
                  <c:v>12 Meses</c:v>
                </c:pt>
                <c:pt idx="1">
                  <c:v>4 Semanas</c:v>
                </c:pt>
                <c:pt idx="2">
                  <c:v>1 Semana</c:v>
                </c:pt>
                <c:pt idx="3">
                  <c:v>Atual</c:v>
                </c:pt>
              </c:strCache>
            </c:strRef>
          </c:cat>
          <c:val>
            <c:numRef>
              <c:f>Preço!$B$33:$E$33</c:f>
              <c:numCache>
                <c:formatCode>_-* #,##0.00_-;\-* #,##0.00_-;_-* "-"??_-;_-@_-</c:formatCode>
                <c:ptCount val="4"/>
                <c:pt idx="0">
                  <c:v>299.58</c:v>
                </c:pt>
                <c:pt idx="1">
                  <c:v>387.01</c:v>
                </c:pt>
                <c:pt idx="2">
                  <c:v>395.62</c:v>
                </c:pt>
                <c:pt idx="3">
                  <c:v>394.54</c:v>
                </c:pt>
              </c:numCache>
            </c:numRef>
          </c:val>
        </c:ser>
        <c:marker val="1"/>
        <c:axId val="77433472"/>
        <c:axId val="77447552"/>
      </c:lineChart>
      <c:catAx>
        <c:axId val="77433472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 rot="0" vert="horz"/>
          <a:lstStyle/>
          <a:p>
            <a:pPr>
              <a:defRPr/>
            </a:pPr>
            <a:endParaRPr lang="pt-BR"/>
          </a:p>
        </c:txPr>
        <c:crossAx val="77447552"/>
        <c:crosses val="autoZero"/>
        <c:auto val="1"/>
        <c:lblAlgn val="ctr"/>
        <c:lblOffset val="100"/>
        <c:tickLblSkip val="1"/>
        <c:tickMarkSkip val="1"/>
      </c:catAx>
      <c:valAx>
        <c:axId val="77447552"/>
        <c:scaling>
          <c:orientation val="minMax"/>
          <c:min val="162"/>
        </c:scaling>
        <c:axPos val="l"/>
        <c:majorGridlines/>
        <c:numFmt formatCode="_-* #,##0_-;\-* #,##0_-;_-* &quot;-&quot;_-;_-@_-" sourceLinked="0"/>
        <c:majorTickMark val="none"/>
        <c:tickLblPos val="nextTo"/>
        <c:txPr>
          <a:bodyPr rot="0" vert="horz"/>
          <a:lstStyle/>
          <a:p>
            <a:pPr>
              <a:defRPr/>
            </a:pPr>
            <a:endParaRPr lang="pt-BR"/>
          </a:p>
        </c:txPr>
        <c:crossAx val="77433472"/>
        <c:crosses val="autoZero"/>
        <c:crossBetween val="between"/>
      </c:valAx>
      <c:spPr>
        <a:solidFill>
          <a:schemeClr val="bg2">
            <a:lumMod val="75000"/>
          </a:schemeClr>
        </a:solidFill>
      </c:spPr>
    </c:plotArea>
    <c:legend>
      <c:legendPos val="r"/>
      <c:layout>
        <c:manualLayout>
          <c:xMode val="edge"/>
          <c:yMode val="edge"/>
          <c:x val="0.84821065277288465"/>
          <c:y val="0.24731171948702546"/>
          <c:w val="0.14878938640133454"/>
          <c:h val="0.57537964338089753"/>
        </c:manualLayout>
      </c:layout>
    </c:legend>
    <c:plotVisOnly val="1"/>
    <c:dispBlanksAs val="gap"/>
  </c:chart>
  <c:spPr>
    <a:solidFill>
      <a:schemeClr val="accent3">
        <a:lumMod val="60000"/>
        <a:lumOff val="40000"/>
      </a:schemeClr>
    </a:solidFill>
  </c:spPr>
  <c:printSettings>
    <c:headerFooter alignWithMargins="0"/>
    <c:pageMargins b="0.98425196899999956" l="0.78740157499999996" r="0.78740157499999996" t="0.98425196899999956" header="0.49212598500001015" footer="0.49212598500001015"/>
    <c:pageSetup paperSize="9" orientation="landscape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6"/>
  <c:chart>
    <c:title>
      <c:tx>
        <c:rich>
          <a:bodyPr/>
          <a:lstStyle/>
          <a:p>
            <a:pPr>
              <a:defRPr/>
            </a:pPr>
            <a:r>
              <a:rPr lang="pt-BR" sz="1200"/>
              <a:t>Evolução dos Preços
Internacionais - </a:t>
            </a:r>
            <a:r>
              <a:rPr lang="pt-BR" sz="900" b="0"/>
              <a:t>NY US$(cents/LP)</a:t>
            </a:r>
            <a:r>
              <a:rPr lang="pt-BR" sz="900" b="0" baseline="0"/>
              <a:t> e LD (US$/Ton.)</a:t>
            </a:r>
            <a:endParaRPr lang="pt-BR" sz="900" b="0"/>
          </a:p>
        </c:rich>
      </c:tx>
      <c:layout>
        <c:manualLayout>
          <c:xMode val="edge"/>
          <c:yMode val="edge"/>
          <c:x val="0.16340739585770242"/>
          <c:y val="6.4691913510812544E-3"/>
        </c:manualLayout>
      </c:layout>
    </c:title>
    <c:plotArea>
      <c:layout>
        <c:manualLayout>
          <c:layoutTarget val="inner"/>
          <c:xMode val="edge"/>
          <c:yMode val="edge"/>
          <c:x val="0.13724107285686779"/>
          <c:y val="0.18587383473617541"/>
          <c:w val="0.70504138449962372"/>
          <c:h val="0.66172187528285276"/>
        </c:manualLayout>
      </c:layout>
      <c:lineChart>
        <c:grouping val="standard"/>
        <c:ser>
          <c:idx val="0"/>
          <c:order val="0"/>
          <c:tx>
            <c:strRef>
              <c:f>Preço!$A$32</c:f>
              <c:strCache>
                <c:ptCount val="1"/>
                <c:pt idx="0">
                  <c:v>NY</c:v>
                </c:pt>
              </c:strCache>
            </c:strRef>
          </c:tx>
          <c:dLbls>
            <c:dLbl>
              <c:idx val="0"/>
              <c:layout>
                <c:manualLayout>
                  <c:x val="-7.4953873340089919E-2"/>
                  <c:y val="-0.11883047707271886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pt-BR"/>
                </a:p>
              </c:txPr>
              <c:dLblPos val="r"/>
              <c:showVal val="1"/>
            </c:dLbl>
            <c:dLbl>
              <c:idx val="1"/>
              <c:layout>
                <c:manualLayout>
                  <c:x val="-7.5244781761196325E-2"/>
                  <c:y val="-6.3218390804597721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pt-BR"/>
                </a:p>
              </c:txPr>
              <c:dLblPos val="r"/>
              <c:showVal val="1"/>
            </c:dLbl>
            <c:dLbl>
              <c:idx val="2"/>
              <c:layout>
                <c:manualLayout>
                  <c:x val="-7.8254326561324306E-2"/>
                  <c:y val="-6.8965517241379309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pt-BR"/>
                </a:p>
              </c:txPr>
              <c:dLblPos val="r"/>
              <c:showVal val="1"/>
            </c:dLbl>
            <c:dLbl>
              <c:idx val="3"/>
              <c:layout>
                <c:manualLayout>
                  <c:x val="-7.8254326561324306E-2"/>
                  <c:y val="-6.3218390804597721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pt-BR"/>
                </a:p>
              </c:txPr>
              <c:dLblPos val="r"/>
              <c:showVal val="1"/>
            </c:dLbl>
            <c:showVal val="1"/>
          </c:dLbls>
          <c:cat>
            <c:strRef>
              <c:f>Preço!$B$30:$E$30</c:f>
              <c:strCache>
                <c:ptCount val="4"/>
                <c:pt idx="0">
                  <c:v>12 Meses</c:v>
                </c:pt>
                <c:pt idx="1">
                  <c:v>4 Semanas</c:v>
                </c:pt>
                <c:pt idx="2">
                  <c:v>1 Semana</c:v>
                </c:pt>
                <c:pt idx="3">
                  <c:v>Atual</c:v>
                </c:pt>
              </c:strCache>
            </c:strRef>
          </c:cat>
          <c:val>
            <c:numRef>
              <c:f>Preço!$B$32:$E$32</c:f>
              <c:numCache>
                <c:formatCode>_-* #,##0.00_-;\-* #,##0.00_-;_-* "-"??_-;_-@_-</c:formatCode>
                <c:ptCount val="4"/>
                <c:pt idx="0">
                  <c:v>140.5</c:v>
                </c:pt>
                <c:pt idx="1">
                  <c:v>121.2</c:v>
                </c:pt>
                <c:pt idx="2">
                  <c:v>118.25</c:v>
                </c:pt>
                <c:pt idx="3">
                  <c:v>118.5</c:v>
                </c:pt>
              </c:numCache>
            </c:numRef>
          </c:val>
        </c:ser>
        <c:ser>
          <c:idx val="1"/>
          <c:order val="1"/>
          <c:tx>
            <c:strRef>
              <c:f>Preço!$A$34</c:f>
              <c:strCache>
                <c:ptCount val="1"/>
                <c:pt idx="0">
                  <c:v>LD</c:v>
                </c:pt>
              </c:strCache>
            </c:strRef>
          </c:tx>
          <c:dLbls>
            <c:dLbl>
              <c:idx val="0"/>
              <c:layout>
                <c:manualLayout>
                  <c:x val="-8.2135859255216867E-2"/>
                  <c:y val="8.0290643816581783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pt-BR"/>
                </a:p>
              </c:txPr>
              <c:dLblPos val="r"/>
              <c:showVal val="1"/>
            </c:dLbl>
            <c:dLbl>
              <c:idx val="1"/>
              <c:layout>
                <c:manualLayout>
                  <c:x val="-8.1264260284298298E-2"/>
                  <c:y val="6.6598733981781913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pt-BR"/>
                </a:p>
              </c:txPr>
              <c:dLblPos val="r"/>
              <c:showVal val="1"/>
            </c:dLbl>
            <c:dLbl>
              <c:idx val="2"/>
              <c:layout>
                <c:manualLayout>
                  <c:x val="-8.0973467425482726E-2"/>
                  <c:y val="9.7700710205341199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pt-BR"/>
                </a:p>
              </c:txPr>
              <c:dLblPos val="r"/>
              <c:showVal val="1"/>
            </c:dLbl>
            <c:dLbl>
              <c:idx val="3"/>
              <c:layout>
                <c:manualLayout>
                  <c:x val="-7.8254203373093217E-2"/>
                  <c:y val="0.10581480623745561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pt-BR"/>
                </a:p>
              </c:txPr>
              <c:dLblPos val="r"/>
              <c:showVal val="1"/>
            </c:dLbl>
            <c:showVal val="1"/>
          </c:dLbls>
          <c:cat>
            <c:strRef>
              <c:f>Preço!$B$30:$E$30</c:f>
              <c:strCache>
                <c:ptCount val="4"/>
                <c:pt idx="0">
                  <c:v>12 Meses</c:v>
                </c:pt>
                <c:pt idx="1">
                  <c:v>4 Semanas</c:v>
                </c:pt>
                <c:pt idx="2">
                  <c:v>1 Semana</c:v>
                </c:pt>
                <c:pt idx="3">
                  <c:v>Atual</c:v>
                </c:pt>
              </c:strCache>
            </c:strRef>
          </c:cat>
          <c:val>
            <c:numRef>
              <c:f>Preço!$B$34:$E$34</c:f>
              <c:numCache>
                <c:formatCode>_-* #,##0.00_-;\-* #,##0.00_-;_-* "-"??_-;_-@_-</c:formatCode>
                <c:ptCount val="4"/>
                <c:pt idx="0">
                  <c:v>1907</c:v>
                </c:pt>
                <c:pt idx="1">
                  <c:v>1487</c:v>
                </c:pt>
                <c:pt idx="2">
                  <c:v>1389</c:v>
                </c:pt>
                <c:pt idx="3">
                  <c:v>1386</c:v>
                </c:pt>
              </c:numCache>
            </c:numRef>
          </c:val>
        </c:ser>
        <c:marker val="1"/>
        <c:axId val="79004416"/>
        <c:axId val="79005952"/>
      </c:lineChart>
      <c:catAx>
        <c:axId val="79004416"/>
        <c:scaling>
          <c:orientation val="minMax"/>
        </c:scaling>
        <c:axPos val="b"/>
        <c:numFmt formatCode="General" sourceLinked="1"/>
        <c:tickLblPos val="nextTo"/>
        <c:txPr>
          <a:bodyPr rot="0" vert="horz"/>
          <a:lstStyle/>
          <a:p>
            <a:pPr>
              <a:defRPr/>
            </a:pPr>
            <a:endParaRPr lang="pt-BR"/>
          </a:p>
        </c:txPr>
        <c:crossAx val="79005952"/>
        <c:crosses val="autoZero"/>
        <c:auto val="1"/>
        <c:lblAlgn val="ctr"/>
        <c:lblOffset val="100"/>
        <c:tickLblSkip val="1"/>
        <c:tickMarkSkip val="1"/>
      </c:catAx>
      <c:valAx>
        <c:axId val="79005952"/>
        <c:scaling>
          <c:orientation val="minMax"/>
          <c:min val="12"/>
        </c:scaling>
        <c:axPos val="l"/>
        <c:majorGridlines/>
        <c:numFmt formatCode="_-* #,##0_-;\-* #,##0_-;_-* &quot;-&quot;_-;_-@_-" sourceLinked="0"/>
        <c:tickLblPos val="nextTo"/>
        <c:txPr>
          <a:bodyPr rot="0" vert="horz"/>
          <a:lstStyle/>
          <a:p>
            <a:pPr>
              <a:defRPr/>
            </a:pPr>
            <a:endParaRPr lang="pt-BR"/>
          </a:p>
        </c:txPr>
        <c:crossAx val="79004416"/>
        <c:crosses val="autoZero"/>
        <c:crossBetween val="between"/>
      </c:valAx>
      <c:spPr>
        <a:solidFill>
          <a:schemeClr val="bg2">
            <a:lumMod val="75000"/>
          </a:schemeClr>
        </a:solidFill>
      </c:spPr>
    </c:plotArea>
    <c:legend>
      <c:legendPos val="r"/>
      <c:layout>
        <c:manualLayout>
          <c:xMode val="edge"/>
          <c:yMode val="edge"/>
          <c:x val="0.84951092747069978"/>
          <c:y val="0.18821575874444729"/>
          <c:w val="0.13318286946804817"/>
          <c:h val="0.6663199242951926"/>
        </c:manualLayout>
      </c:layout>
    </c:legend>
    <c:plotVisOnly val="1"/>
    <c:dispBlanksAs val="gap"/>
  </c:chart>
  <c:spPr>
    <a:solidFill>
      <a:schemeClr val="accent3">
        <a:lumMod val="60000"/>
        <a:lumOff val="40000"/>
      </a:schemeClr>
    </a:solidFill>
  </c:spPr>
  <c:printSettings>
    <c:headerFooter alignWithMargins="0"/>
    <c:pageMargins b="0.98425196899999956" l="0.78740157499999996" r="0.78740157499999996" t="0.98425196899999956" header="0.49212598500001037" footer="0.49212598500001037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t-BR" sz="900"/>
              <a:t>Receita Cambial 2016/15</a:t>
            </a:r>
          </a:p>
        </c:rich>
      </c:tx>
      <c:layout>
        <c:manualLayout>
          <c:xMode val="edge"/>
          <c:yMode val="edge"/>
          <c:x val="0.3153793033152586"/>
          <c:y val="4.7458567679040116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3310391756585982"/>
          <c:y val="0.20647815784160894"/>
          <c:w val="0.69132469552419262"/>
          <c:h val="0.61538583190835361"/>
        </c:manualLayout>
      </c:layout>
      <c:barChart>
        <c:barDir val="col"/>
        <c:grouping val="clustered"/>
        <c:ser>
          <c:idx val="0"/>
          <c:order val="0"/>
          <c:tx>
            <c:v>2016 Receita</c:v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'Exp. Verde'!$C$7:$C$18</c:f>
              <c:numCache>
                <c:formatCode>_(* #,##0_);_(* \(#,##0\);_(* "-"??_);_(@_)</c:formatCode>
                <c:ptCount val="12"/>
                <c:pt idx="0">
                  <c:v>363398.93</c:v>
                </c:pt>
              </c:numCache>
            </c:numRef>
          </c:val>
        </c:ser>
        <c:ser>
          <c:idx val="1"/>
          <c:order val="1"/>
          <c:tx>
            <c:v>2015 Receita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('Exp. Verde'!$F$7:$F$17,'Exp. Verde'!$F$18)</c:f>
              <c:numCache>
                <c:formatCode>_(* #,##0_);_(* \(#,##0\);_(* "-"??_);_(@_)</c:formatCode>
                <c:ptCount val="12"/>
                <c:pt idx="0">
                  <c:v>546288</c:v>
                </c:pt>
                <c:pt idx="1">
                  <c:v>493482</c:v>
                </c:pt>
                <c:pt idx="2">
                  <c:v>519708</c:v>
                </c:pt>
                <c:pt idx="3">
                  <c:v>468848</c:v>
                </c:pt>
                <c:pt idx="4">
                  <c:v>434545</c:v>
                </c:pt>
                <c:pt idx="5">
                  <c:v>392821</c:v>
                </c:pt>
                <c:pt idx="6">
                  <c:v>405777</c:v>
                </c:pt>
                <c:pt idx="7">
                  <c:v>424162</c:v>
                </c:pt>
                <c:pt idx="8">
                  <c:v>456927.7</c:v>
                </c:pt>
                <c:pt idx="9">
                  <c:v>501694</c:v>
                </c:pt>
                <c:pt idx="10">
                  <c:v>461321</c:v>
                </c:pt>
                <c:pt idx="11">
                  <c:v>449840.8</c:v>
                </c:pt>
              </c:numCache>
            </c:numRef>
          </c:val>
        </c:ser>
        <c:axId val="77093888"/>
        <c:axId val="77100160"/>
      </c:barChart>
      <c:catAx>
        <c:axId val="7709388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 sz="800"/>
                  <a:t>Mês</a:t>
                </a:r>
              </a:p>
            </c:rich>
          </c:tx>
          <c:layout>
            <c:manualLayout>
              <c:xMode val="edge"/>
              <c:yMode val="edge"/>
              <c:x val="0.40700812883826432"/>
              <c:y val="0.89878715160604916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77100160"/>
        <c:crosses val="autoZero"/>
        <c:auto val="1"/>
        <c:lblAlgn val="ctr"/>
        <c:lblOffset val="100"/>
        <c:tickLblSkip val="1"/>
        <c:tickMarkSkip val="1"/>
      </c:catAx>
      <c:valAx>
        <c:axId val="7710016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_(* #,##0_);_(* \(#,##0\);_(* &quot;-&quot;??_);_(@_)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7709388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4630685727390875"/>
          <c:y val="0.20616322959630451"/>
          <c:w val="0.13752057691817235"/>
          <c:h val="0.61435070616172971"/>
        </c:manualLayout>
      </c:layout>
      <c:spPr>
        <a:solidFill>
          <a:schemeClr val="lt1"/>
        </a:solidFill>
        <a:ln w="25400" cap="flat" cmpd="sng" algn="ctr">
          <a:solidFill>
            <a:schemeClr val="accent2"/>
          </a:solidFill>
          <a:prstDash val="solid"/>
        </a:ln>
        <a:effectLst/>
      </c:spPr>
      <c:txPr>
        <a:bodyPr/>
        <a:lstStyle/>
        <a:p>
          <a:pPr>
            <a:defRPr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</c:chart>
  <c:spPr>
    <a:blipFill dpi="0" rotWithShape="0">
      <a:blip xmlns:r="http://schemas.openxmlformats.org/officeDocument/2006/relationships" r:embed="rId1"/>
      <a:srcRect/>
      <a:tile tx="0" ty="0" sx="100000" sy="100000" flip="none" algn="tl"/>
    </a:blip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0.98425196899999956" l="0.78740157499999996" r="0.78740157499999996" t="0.98425196899999956" header="0.49212598500001392" footer="0.49212598500001392"/>
    <c:pageSetup paperSize="9" orientation="landscape" horizontalDpi="-4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t-BR" sz="900"/>
              <a:t>Volume 2016/15</a:t>
            </a:r>
          </a:p>
        </c:rich>
      </c:tx>
      <c:layout>
        <c:manualLayout>
          <c:xMode val="edge"/>
          <c:yMode val="edge"/>
          <c:x val="0.38582779094362107"/>
          <c:y val="4.0485811915020133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6535475453872042"/>
          <c:y val="0.19433236797105888"/>
          <c:w val="0.64879408730625165"/>
          <c:h val="0.63033079542743109"/>
        </c:manualLayout>
      </c:layout>
      <c:barChart>
        <c:barDir val="col"/>
        <c:grouping val="clustered"/>
        <c:ser>
          <c:idx val="0"/>
          <c:order val="0"/>
          <c:tx>
            <c:v>2016 Volume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'Exp. Verde'!$D$7:$D$18</c:f>
              <c:numCache>
                <c:formatCode>_(* #,##0_);_(* \(#,##0\);_(* "-"??_);_(@_)</c:formatCode>
                <c:ptCount val="12"/>
                <c:pt idx="0">
                  <c:v>2485113.2999999998</c:v>
                </c:pt>
              </c:numCache>
            </c:numRef>
          </c:val>
        </c:ser>
        <c:ser>
          <c:idx val="1"/>
          <c:order val="1"/>
          <c:tx>
            <c:v>2015 Volume</c:v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('Exp. Verde'!$G$7:$G$17,'Exp. Verde'!$G$18)</c:f>
              <c:numCache>
                <c:formatCode>_(* #,##0_);_(* \(#,##0\);_(* "-"??_);_(@_)</c:formatCode>
                <c:ptCount val="12"/>
                <c:pt idx="0">
                  <c:v>2724750</c:v>
                </c:pt>
                <c:pt idx="1">
                  <c:v>2513466.6666666665</c:v>
                </c:pt>
                <c:pt idx="2">
                  <c:v>2860383.3333333335</c:v>
                </c:pt>
                <c:pt idx="3">
                  <c:v>2815050</c:v>
                </c:pt>
                <c:pt idx="4">
                  <c:v>2630416.6666666665</c:v>
                </c:pt>
                <c:pt idx="5">
                  <c:v>2386266.6666666665</c:v>
                </c:pt>
                <c:pt idx="6">
                  <c:v>2499100</c:v>
                </c:pt>
                <c:pt idx="7">
                  <c:v>2669921</c:v>
                </c:pt>
                <c:pt idx="8">
                  <c:v>2918545.8</c:v>
                </c:pt>
                <c:pt idx="9">
                  <c:v>3306499</c:v>
                </c:pt>
                <c:pt idx="10">
                  <c:v>3116101</c:v>
                </c:pt>
                <c:pt idx="11">
                  <c:v>2976734</c:v>
                </c:pt>
              </c:numCache>
            </c:numRef>
          </c:val>
        </c:ser>
        <c:axId val="77125120"/>
        <c:axId val="77127040"/>
      </c:barChart>
      <c:catAx>
        <c:axId val="7712512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Mês</a:t>
                </a:r>
              </a:p>
            </c:rich>
          </c:tx>
          <c:layout>
            <c:manualLayout>
              <c:xMode val="edge"/>
              <c:yMode val="edge"/>
              <c:x val="0.42519785988289932"/>
              <c:y val="0.91193640051191949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77127040"/>
        <c:crosses val="autoZero"/>
        <c:auto val="1"/>
        <c:lblAlgn val="ctr"/>
        <c:lblOffset val="100"/>
        <c:tickLblSkip val="1"/>
        <c:tickMarkSkip val="1"/>
      </c:catAx>
      <c:valAx>
        <c:axId val="7712704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_(* #,##0_);_(* \(#,##0\);_(* &quot;-&quot;??_);_(@_)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7712512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420179395051347"/>
          <c:y val="0.19973109493388788"/>
          <c:w val="0.13161277170450617"/>
          <c:h val="0.62077178369233077"/>
        </c:manualLayout>
      </c:layout>
      <c:spPr>
        <a:solidFill>
          <a:schemeClr val="lt1"/>
        </a:solidFill>
        <a:ln w="25400" cap="flat" cmpd="sng" algn="ctr">
          <a:solidFill>
            <a:schemeClr val="accent2"/>
          </a:solidFill>
          <a:prstDash val="solid"/>
        </a:ln>
        <a:effectLst/>
      </c:spPr>
      <c:txPr>
        <a:bodyPr/>
        <a:lstStyle/>
        <a:p>
          <a:pPr>
            <a:defRPr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</c:chart>
  <c:spPr>
    <a:blipFill dpi="0" rotWithShape="0">
      <a:blip xmlns:r="http://schemas.openxmlformats.org/officeDocument/2006/relationships" r:embed="rId1"/>
      <a:srcRect/>
      <a:tile tx="0" ty="0" sx="100000" sy="100000" flip="none" algn="tl"/>
    </a:blip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0.98425196899999956" l="0.78740157499999996" r="0.78740157499999996" t="0.98425196899999956" header="0.49212598500001392" footer="0.49212598500001392"/>
    <c:pageSetup paperSize="9" orientation="landscape" horizontalDpi="-2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t-BR" sz="900"/>
              <a:t>Volume 2016/15</a:t>
            </a:r>
          </a:p>
        </c:rich>
      </c:tx>
      <c:layout>
        <c:manualLayout>
          <c:xMode val="edge"/>
          <c:yMode val="edge"/>
          <c:x val="0.38582779094362085"/>
          <c:y val="4.0485811915020133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6535475453872042"/>
          <c:y val="0.16233238845144476"/>
          <c:w val="0.64879408730625165"/>
          <c:h val="0.59070572178477687"/>
        </c:manualLayout>
      </c:layout>
      <c:barChart>
        <c:barDir val="col"/>
        <c:grouping val="clustered"/>
        <c:ser>
          <c:idx val="0"/>
          <c:order val="0"/>
          <c:tx>
            <c:v>2016 Volume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'Exp. Solúvel'!$D$7:$D$18</c:f>
              <c:numCache>
                <c:formatCode>_(* #,##0_);_(* \(#,##0\);_(* "-"??_);_(@_)</c:formatCode>
                <c:ptCount val="12"/>
                <c:pt idx="0">
                  <c:v>250387.41</c:v>
                </c:pt>
              </c:numCache>
            </c:numRef>
          </c:val>
        </c:ser>
        <c:ser>
          <c:idx val="1"/>
          <c:order val="1"/>
          <c:tx>
            <c:v>2015 Volume</c:v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('Exp. Solúvel'!$G$7:$G$17,'Exp. Solúvel'!$G$18)</c:f>
              <c:numCache>
                <c:formatCode>_(* #,##0_);_(* \(#,##0\);_(* "-"??_);_(@_)</c:formatCode>
                <c:ptCount val="12"/>
                <c:pt idx="0">
                  <c:v>228973.33333333334</c:v>
                </c:pt>
                <c:pt idx="1">
                  <c:v>235993.33333333334</c:v>
                </c:pt>
                <c:pt idx="2">
                  <c:v>289813.33333333331</c:v>
                </c:pt>
                <c:pt idx="3">
                  <c:v>306626.66666666669</c:v>
                </c:pt>
                <c:pt idx="4">
                  <c:v>266023.33333333331</c:v>
                </c:pt>
                <c:pt idx="5">
                  <c:v>307406.66666666669</c:v>
                </c:pt>
                <c:pt idx="6">
                  <c:v>315553</c:v>
                </c:pt>
                <c:pt idx="7">
                  <c:v>306961.11300000001</c:v>
                </c:pt>
                <c:pt idx="8">
                  <c:v>297746.40000000002</c:v>
                </c:pt>
                <c:pt idx="9">
                  <c:v>298776.53000000003</c:v>
                </c:pt>
                <c:pt idx="10">
                  <c:v>224483</c:v>
                </c:pt>
                <c:pt idx="11">
                  <c:v>306532</c:v>
                </c:pt>
              </c:numCache>
            </c:numRef>
          </c:val>
        </c:ser>
        <c:axId val="80843136"/>
        <c:axId val="80845056"/>
      </c:barChart>
      <c:catAx>
        <c:axId val="8084313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Mês</a:t>
                </a:r>
              </a:p>
            </c:rich>
          </c:tx>
          <c:layout>
            <c:manualLayout>
              <c:xMode val="edge"/>
              <c:yMode val="edge"/>
              <c:x val="0.42519786968376538"/>
              <c:y val="0.86234982419652106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80845056"/>
        <c:crosses val="autoZero"/>
        <c:auto val="1"/>
        <c:lblAlgn val="ctr"/>
        <c:lblOffset val="100"/>
        <c:tickLblSkip val="1"/>
        <c:tickMarkSkip val="1"/>
      </c:catAx>
      <c:valAx>
        <c:axId val="80845056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_(* #,##0_);_(* \(#,##0\);_(* &quot;-&quot;??_);_(@_)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8084313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420179395051347"/>
          <c:y val="0.16048587926509186"/>
          <c:w val="0.13856458476670999"/>
          <c:h val="0.59900598425196405"/>
        </c:manualLayout>
      </c:layout>
      <c:spPr>
        <a:solidFill>
          <a:schemeClr val="lt1"/>
        </a:solidFill>
        <a:ln w="25400" cap="flat" cmpd="sng" algn="ctr">
          <a:solidFill>
            <a:schemeClr val="accent2"/>
          </a:solidFill>
          <a:prstDash val="solid"/>
        </a:ln>
        <a:effectLst/>
      </c:spPr>
      <c:txPr>
        <a:bodyPr/>
        <a:lstStyle/>
        <a:p>
          <a:pPr>
            <a:defRPr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</c:chart>
  <c:spPr>
    <a:blipFill dpi="0" rotWithShape="0">
      <a:blip xmlns:r="http://schemas.openxmlformats.org/officeDocument/2006/relationships" r:embed="rId1"/>
      <a:srcRect/>
      <a:tile tx="0" ty="0" sx="100000" sy="100000" flip="none" algn="tl"/>
    </a:blip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0.98425196899999956" l="0.78740157499999996" r="0.78740157499999996" t="0.98425196899999956" header="0.49212598500001375" footer="0.49212598500001375"/>
    <c:pageSetup paperSize="9" orientation="landscape" horizontalDpi="-2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t-BR" sz="900"/>
              <a:t>Receita Cambial 2016/15</a:t>
            </a:r>
          </a:p>
        </c:rich>
      </c:tx>
      <c:layout>
        <c:manualLayout>
          <c:xMode val="edge"/>
          <c:yMode val="edge"/>
          <c:x val="0.31537930331525893"/>
          <c:y val="4.7458567679040116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3310391756585982"/>
          <c:y val="0.15809118618237472"/>
          <c:w val="0.69132469552419284"/>
          <c:h val="0.66377275421217985"/>
        </c:manualLayout>
      </c:layout>
      <c:barChart>
        <c:barDir val="col"/>
        <c:grouping val="clustered"/>
        <c:ser>
          <c:idx val="0"/>
          <c:order val="0"/>
          <c:tx>
            <c:v>2016 Receita</c:v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'Exp. Solúvel'!$C$7:$C$18</c:f>
              <c:numCache>
                <c:formatCode>_(* #,##0_);_(* \(#,##0\);_(* "-"??_);_(@_)</c:formatCode>
                <c:ptCount val="12"/>
                <c:pt idx="0">
                  <c:v>37861.644</c:v>
                </c:pt>
              </c:numCache>
            </c:numRef>
          </c:val>
        </c:ser>
        <c:ser>
          <c:idx val="1"/>
          <c:order val="1"/>
          <c:tx>
            <c:v>2015 Receita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('Exp. Solúvel'!$F$7:$F$17,'Exp. Solúvel'!$F$18)</c:f>
              <c:numCache>
                <c:formatCode>_(* #,##0_);_(* \(#,##0\);_(* "-"??_);_(@_)</c:formatCode>
                <c:ptCount val="12"/>
                <c:pt idx="0">
                  <c:v>39831</c:v>
                </c:pt>
                <c:pt idx="1">
                  <c:v>42123</c:v>
                </c:pt>
                <c:pt idx="2">
                  <c:v>50779</c:v>
                </c:pt>
                <c:pt idx="3">
                  <c:v>51658</c:v>
                </c:pt>
                <c:pt idx="4">
                  <c:v>44442</c:v>
                </c:pt>
                <c:pt idx="5">
                  <c:v>51099</c:v>
                </c:pt>
                <c:pt idx="6">
                  <c:v>50698</c:v>
                </c:pt>
                <c:pt idx="7">
                  <c:v>50178.065000000002</c:v>
                </c:pt>
                <c:pt idx="8">
                  <c:v>47654.6</c:v>
                </c:pt>
                <c:pt idx="9">
                  <c:v>46968.487000000001</c:v>
                </c:pt>
                <c:pt idx="10">
                  <c:v>34466</c:v>
                </c:pt>
                <c:pt idx="11">
                  <c:v>46507.150999999998</c:v>
                </c:pt>
              </c:numCache>
            </c:numRef>
          </c:val>
        </c:ser>
        <c:axId val="79043200"/>
        <c:axId val="79053568"/>
      </c:barChart>
      <c:catAx>
        <c:axId val="7904320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 sz="800"/>
                  <a:t>Mês</a:t>
                </a:r>
              </a:p>
            </c:rich>
          </c:tx>
          <c:layout>
            <c:manualLayout>
              <c:xMode val="edge"/>
              <c:yMode val="edge"/>
              <c:x val="0.40700812883826432"/>
              <c:y val="0.89878715160604916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79053568"/>
        <c:crosses val="autoZero"/>
        <c:auto val="1"/>
        <c:lblAlgn val="ctr"/>
        <c:lblOffset val="100"/>
        <c:tickLblSkip val="1"/>
        <c:tickMarkSkip val="1"/>
      </c:catAx>
      <c:valAx>
        <c:axId val="79053568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_(* #,##0_);_(* \(#,##0\);_(* &quot;-&quot;??_);_(@_)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7904320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4630685727390875"/>
          <c:y val="0.16315256963847169"/>
          <c:w val="0.13752057691817229"/>
          <c:h val="0.65736135805604945"/>
        </c:manualLayout>
      </c:layout>
      <c:spPr>
        <a:solidFill>
          <a:schemeClr val="lt1"/>
        </a:solidFill>
        <a:ln w="25400" cap="flat" cmpd="sng" algn="ctr">
          <a:solidFill>
            <a:schemeClr val="accent2"/>
          </a:solidFill>
          <a:prstDash val="solid"/>
        </a:ln>
        <a:effectLst/>
      </c:spPr>
      <c:txPr>
        <a:bodyPr/>
        <a:lstStyle/>
        <a:p>
          <a:pPr>
            <a:defRPr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</c:chart>
  <c:spPr>
    <a:blipFill dpi="0" rotWithShape="0">
      <a:blip xmlns:r="http://schemas.openxmlformats.org/officeDocument/2006/relationships" r:embed="rId1"/>
      <a:srcRect/>
      <a:tile tx="0" ty="0" sx="100000" sy="100000" flip="none" algn="tl"/>
    </a:blip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0.98425196899999956" l="0.78740157499999996" r="0.78740157499999996" t="0.98425196899999956" header="0.49212598500001403" footer="0.49212598500001403"/>
    <c:pageSetup paperSize="9" orientation="landscape" horizontalDpi="-4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t-BR" sz="900"/>
              <a:t>Receita Cambial 2016/15</a:t>
            </a:r>
          </a:p>
        </c:rich>
      </c:tx>
      <c:layout>
        <c:manualLayout>
          <c:xMode val="edge"/>
          <c:yMode val="edge"/>
          <c:x val="0.31537930331525826"/>
          <c:y val="4.7458567679040116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3310391756585982"/>
          <c:y val="0.20647815784160894"/>
          <c:w val="0.69132469552419218"/>
          <c:h val="0.61538583190835361"/>
        </c:manualLayout>
      </c:layout>
      <c:barChart>
        <c:barDir val="col"/>
        <c:grouping val="clustered"/>
        <c:ser>
          <c:idx val="0"/>
          <c:order val="0"/>
          <c:tx>
            <c:v>2016 Receita</c:v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'Exp. Torrado'!$C$7:$C$18</c:f>
              <c:numCache>
                <c:formatCode>_(* #,##0_);_(* \(#,##0\);_(* "-"??_);_(@_)</c:formatCode>
                <c:ptCount val="12"/>
                <c:pt idx="0">
                  <c:v>596.52300000000002</c:v>
                </c:pt>
              </c:numCache>
            </c:numRef>
          </c:val>
        </c:ser>
        <c:ser>
          <c:idx val="1"/>
          <c:order val="1"/>
          <c:tx>
            <c:v>2015 Receita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('Exp. Torrado'!$F$7:$F$17,'Exp. Torrado'!$F$18)</c:f>
              <c:numCache>
                <c:formatCode>_(* #,##0_);_(* \(#,##0\);_(* "-"??_);_(@_)</c:formatCode>
                <c:ptCount val="12"/>
                <c:pt idx="0">
                  <c:v>302</c:v>
                </c:pt>
                <c:pt idx="1">
                  <c:v>912</c:v>
                </c:pt>
                <c:pt idx="2">
                  <c:v>1146</c:v>
                </c:pt>
                <c:pt idx="3">
                  <c:v>607</c:v>
                </c:pt>
                <c:pt idx="4">
                  <c:v>795</c:v>
                </c:pt>
                <c:pt idx="5">
                  <c:v>1280</c:v>
                </c:pt>
                <c:pt idx="6">
                  <c:v>1103</c:v>
                </c:pt>
                <c:pt idx="7">
                  <c:v>804.88699999999994</c:v>
                </c:pt>
                <c:pt idx="8">
                  <c:v>815.2</c:v>
                </c:pt>
                <c:pt idx="9">
                  <c:v>1003.873</c:v>
                </c:pt>
                <c:pt idx="10">
                  <c:v>455</c:v>
                </c:pt>
                <c:pt idx="11">
                  <c:v>855</c:v>
                </c:pt>
              </c:numCache>
            </c:numRef>
          </c:val>
        </c:ser>
        <c:axId val="79099392"/>
        <c:axId val="79101312"/>
      </c:barChart>
      <c:catAx>
        <c:axId val="7909939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5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Mês</a:t>
                </a:r>
              </a:p>
            </c:rich>
          </c:tx>
          <c:layout>
            <c:manualLayout>
              <c:xMode val="edge"/>
              <c:yMode val="edge"/>
              <c:x val="0.40700812883826432"/>
              <c:y val="0.89878715160604916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79101312"/>
        <c:crosses val="autoZero"/>
        <c:auto val="1"/>
        <c:lblAlgn val="ctr"/>
        <c:lblOffset val="100"/>
        <c:tickLblSkip val="1"/>
        <c:tickMarkSkip val="1"/>
      </c:catAx>
      <c:valAx>
        <c:axId val="79101312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_(* #,##0_);_(* \(#,##0\);_(* &quot;-&quot;??_);_(@_)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7909939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4630685727390875"/>
          <c:y val="0.20616322959630445"/>
          <c:w val="0.13752057691817243"/>
          <c:h val="0.61435070616172971"/>
        </c:manualLayout>
      </c:layout>
      <c:spPr>
        <a:solidFill>
          <a:schemeClr val="lt1"/>
        </a:solidFill>
        <a:ln w="25400" cap="flat" cmpd="sng" algn="ctr">
          <a:solidFill>
            <a:schemeClr val="accent2"/>
          </a:solidFill>
          <a:prstDash val="solid"/>
        </a:ln>
        <a:effectLst/>
      </c:spPr>
      <c:txPr>
        <a:bodyPr/>
        <a:lstStyle/>
        <a:p>
          <a:pPr>
            <a:defRPr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</c:chart>
  <c:spPr>
    <a:blipFill dpi="0" rotWithShape="0">
      <a:blip xmlns:r="http://schemas.openxmlformats.org/officeDocument/2006/relationships" r:embed="rId1"/>
      <a:srcRect/>
      <a:tile tx="0" ty="0" sx="100000" sy="100000" flip="none" algn="tl"/>
    </a:blip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0.98425196899999956" l="0.78740157499999996" r="0.78740157499999996" t="0.98425196899999956" header="0.49212598500001375" footer="0.49212598500001375"/>
    <c:pageSetup paperSize="9" orientation="landscape" horizontalDpi="-4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t-BR" sz="900"/>
              <a:t>Volume 2016/15</a:t>
            </a:r>
          </a:p>
        </c:rich>
      </c:tx>
      <c:layout>
        <c:manualLayout>
          <c:xMode val="edge"/>
          <c:yMode val="edge"/>
          <c:x val="0.38582779094362085"/>
          <c:y val="4.0485811915020133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6535475453872042"/>
          <c:y val="0.19433236797105888"/>
          <c:w val="0.64879408730625165"/>
          <c:h val="0.55870555791680065"/>
        </c:manualLayout>
      </c:layout>
      <c:barChart>
        <c:barDir val="col"/>
        <c:grouping val="clustered"/>
        <c:ser>
          <c:idx val="0"/>
          <c:order val="0"/>
          <c:tx>
            <c:v>2016 Volume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'Exp. Torrado'!$D$7:$D$18</c:f>
              <c:numCache>
                <c:formatCode>_(* #,##0_);_(* \(#,##0\);_(* "-"??_);_(@_)</c:formatCode>
                <c:ptCount val="12"/>
                <c:pt idx="0">
                  <c:v>2257.29</c:v>
                </c:pt>
              </c:numCache>
            </c:numRef>
          </c:val>
        </c:ser>
        <c:ser>
          <c:idx val="1"/>
          <c:order val="1"/>
          <c:tx>
            <c:v>2015 Volume</c:v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('Exp. Torrado'!$G$7:$G$17,'Exp. Torrado'!$G$18)</c:f>
              <c:numCache>
                <c:formatCode>_(* #,##0_);_(* \(#,##0\);_(* "-"??_);_(@_)</c:formatCode>
                <c:ptCount val="12"/>
                <c:pt idx="0">
                  <c:v>912.33333333333337</c:v>
                </c:pt>
                <c:pt idx="1">
                  <c:v>2816.3333333333335</c:v>
                </c:pt>
                <c:pt idx="2">
                  <c:v>3946.8333333333335</c:v>
                </c:pt>
                <c:pt idx="3">
                  <c:v>1804.8333333333333</c:v>
                </c:pt>
                <c:pt idx="4">
                  <c:v>2419.6666666666665</c:v>
                </c:pt>
                <c:pt idx="5">
                  <c:v>4184.833333333333</c:v>
                </c:pt>
                <c:pt idx="6">
                  <c:v>3709</c:v>
                </c:pt>
                <c:pt idx="7">
                  <c:v>2307.6480000000001</c:v>
                </c:pt>
                <c:pt idx="8">
                  <c:v>2909</c:v>
                </c:pt>
                <c:pt idx="9">
                  <c:v>4042.26</c:v>
                </c:pt>
                <c:pt idx="10">
                  <c:v>1629</c:v>
                </c:pt>
                <c:pt idx="11">
                  <c:v>2625</c:v>
                </c:pt>
              </c:numCache>
            </c:numRef>
          </c:val>
        </c:ser>
        <c:axId val="81965056"/>
        <c:axId val="81966976"/>
      </c:barChart>
      <c:catAx>
        <c:axId val="8196505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Mês</a:t>
                </a:r>
              </a:p>
            </c:rich>
          </c:tx>
          <c:layout>
            <c:manualLayout>
              <c:xMode val="edge"/>
              <c:yMode val="edge"/>
              <c:x val="0.42519786968376538"/>
              <c:y val="0.86234982419652106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81966976"/>
        <c:crosses val="autoZero"/>
        <c:auto val="1"/>
        <c:lblAlgn val="ctr"/>
        <c:lblOffset val="100"/>
        <c:tickLblSkip val="1"/>
        <c:tickMarkSkip val="1"/>
      </c:catAx>
      <c:valAx>
        <c:axId val="81966976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_(* #,##0_);_(* \(#,##0\);_(* &quot;-&quot;??_);_(@_)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819650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420179395051347"/>
          <c:y val="0.19973109493388788"/>
          <c:w val="0.13161277170450617"/>
          <c:h val="0.5546560689347797"/>
        </c:manualLayout>
      </c:layout>
      <c:spPr>
        <a:solidFill>
          <a:schemeClr val="lt1"/>
        </a:solidFill>
        <a:ln w="25400" cap="flat" cmpd="sng" algn="ctr">
          <a:solidFill>
            <a:schemeClr val="accent2"/>
          </a:solidFill>
          <a:prstDash val="solid"/>
        </a:ln>
        <a:effectLst/>
      </c:spPr>
      <c:txPr>
        <a:bodyPr/>
        <a:lstStyle/>
        <a:p>
          <a:pPr>
            <a:defRPr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</c:chart>
  <c:spPr>
    <a:blipFill dpi="0" rotWithShape="0">
      <a:blip xmlns:r="http://schemas.openxmlformats.org/officeDocument/2006/relationships" r:embed="rId1"/>
      <a:srcRect/>
      <a:tile tx="0" ty="0" sx="100000" sy="100000" flip="none" algn="tl"/>
    </a:blip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0.98425196899999956" l="0.78740157499999996" r="0.78740157499999996" t="0.98425196899999956" header="0.49212598500001375" footer="0.49212598500001375"/>
    <c:pageSetup paperSize="9" orientation="landscape" horizontalDpi="-2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jpe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0.jpeg"/><Relationship Id="rId1" Type="http://schemas.openxmlformats.org/officeDocument/2006/relationships/image" Target="../media/image11.jpe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3.xml"/><Relationship Id="rId1" Type="http://schemas.openxmlformats.org/officeDocument/2006/relationships/chart" Target="../charts/chart12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jpeg"/><Relationship Id="rId1" Type="http://schemas.openxmlformats.org/officeDocument/2006/relationships/image" Target="../media/image6.emf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2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3248025</xdr:colOff>
      <xdr:row>6</xdr:row>
      <xdr:rowOff>200025</xdr:rowOff>
    </xdr:from>
    <xdr:to>
      <xdr:col>1</xdr:col>
      <xdr:colOff>5057775</xdr:colOff>
      <xdr:row>17</xdr:row>
      <xdr:rowOff>9525</xdr:rowOff>
    </xdr:to>
    <xdr:pic>
      <xdr:nvPicPr>
        <xdr:cNvPr id="5798942" name="Picture 8" descr="LOGO CAFÉ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9000" y="1419225"/>
          <a:ext cx="1809750" cy="2114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7</xdr:row>
      <xdr:rowOff>114300</xdr:rowOff>
    </xdr:from>
    <xdr:to>
      <xdr:col>1</xdr:col>
      <xdr:colOff>790575</xdr:colOff>
      <xdr:row>25</xdr:row>
      <xdr:rowOff>57150</xdr:rowOff>
    </xdr:to>
    <xdr:sp macro="" textlink="">
      <xdr:nvSpPr>
        <xdr:cNvPr id="5121" name="WordArt 1"/>
        <xdr:cNvSpPr>
          <a:spLocks noChangeArrowheads="1" noChangeShapeType="1" noTextEdit="1"/>
        </xdr:cNvSpPr>
      </xdr:nvSpPr>
      <xdr:spPr bwMode="auto">
        <a:xfrm rot="5400000">
          <a:off x="-1571625" y="3562350"/>
          <a:ext cx="4400550" cy="742950"/>
        </a:xfrm>
        <a:prstGeom prst="rect">
          <a:avLst/>
        </a:prstGeom>
      </xdr:spPr>
      <xdr:txBody>
        <a:bodyPr vert="wordArtVert"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 fontAlgn="auto"/>
          <a:r>
            <a:rPr lang="pt-BR" sz="3600" kern="10" spc="0">
              <a:ln w="12700">
                <a:solidFill>
                  <a:srgbClr val="0000FF"/>
                </a:solidFill>
                <a:round/>
                <a:headEnd/>
                <a:tailEnd/>
              </a:ln>
              <a:solidFill>
                <a:srgbClr val="FFCC00"/>
              </a:solidFill>
              <a:effectLst>
                <a:outerShdw dist="53882" dir="2700000" algn="ctr" rotWithShape="0">
                  <a:srgbClr val="CBCBCB"/>
                </a:outerShdw>
              </a:effectLst>
              <a:latin typeface="Times New Roman"/>
              <a:cs typeface="Times New Roman"/>
            </a:rPr>
            <a:t>C A F É</a:t>
          </a:r>
        </a:p>
      </xdr:txBody>
    </xdr:sp>
    <xdr:clientData/>
  </xdr:twoCellAnchor>
  <xdr:twoCellAnchor>
    <xdr:from>
      <xdr:col>1</xdr:col>
      <xdr:colOff>276225</xdr:colOff>
      <xdr:row>1</xdr:row>
      <xdr:rowOff>76200</xdr:rowOff>
    </xdr:from>
    <xdr:to>
      <xdr:col>7</xdr:col>
      <xdr:colOff>409575</xdr:colOff>
      <xdr:row>2</xdr:row>
      <xdr:rowOff>142875</xdr:rowOff>
    </xdr:to>
    <xdr:sp macro="" textlink="">
      <xdr:nvSpPr>
        <xdr:cNvPr id="5122" name="WordArt 2"/>
        <xdr:cNvSpPr>
          <a:spLocks noChangeArrowheads="1" noChangeShapeType="1" noTextEdit="1"/>
        </xdr:cNvSpPr>
      </xdr:nvSpPr>
      <xdr:spPr bwMode="auto">
        <a:xfrm>
          <a:off x="371475" y="228600"/>
          <a:ext cx="4229100" cy="25717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pt-BR" sz="16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FFFFFF"/>
              </a:solidFill>
              <a:effectLst/>
              <a:latin typeface="Arial Black"/>
            </a:rPr>
            <a:t>ACOMPANHAMENTO SEMANAL DE PREÇOS</a:t>
          </a:r>
        </a:p>
      </xdr:txBody>
    </xdr:sp>
    <xdr:clientData/>
  </xdr:twoCellAnchor>
  <xdr:twoCellAnchor>
    <xdr:from>
      <xdr:col>8</xdr:col>
      <xdr:colOff>152400</xdr:colOff>
      <xdr:row>1</xdr:row>
      <xdr:rowOff>9525</xdr:rowOff>
    </xdr:from>
    <xdr:to>
      <xdr:col>10</xdr:col>
      <xdr:colOff>1457325</xdr:colOff>
      <xdr:row>12</xdr:row>
      <xdr:rowOff>152400</xdr:rowOff>
    </xdr:to>
    <xdr:graphicFrame macro="">
      <xdr:nvGraphicFramePr>
        <xdr:cNvPr id="3247030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142876</xdr:colOff>
      <xdr:row>13</xdr:row>
      <xdr:rowOff>152400</xdr:rowOff>
    </xdr:from>
    <xdr:to>
      <xdr:col>10</xdr:col>
      <xdr:colOff>1476375</xdr:colOff>
      <xdr:row>26</xdr:row>
      <xdr:rowOff>19050</xdr:rowOff>
    </xdr:to>
    <xdr:graphicFrame macro="">
      <xdr:nvGraphicFramePr>
        <xdr:cNvPr id="3247031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171450</xdr:colOff>
      <xdr:row>1</xdr:row>
      <xdr:rowOff>123825</xdr:rowOff>
    </xdr:from>
    <xdr:to>
      <xdr:col>18</xdr:col>
      <xdr:colOff>28575</xdr:colOff>
      <xdr:row>3</xdr:row>
      <xdr:rowOff>76200</xdr:rowOff>
    </xdr:to>
    <xdr:pic>
      <xdr:nvPicPr>
        <xdr:cNvPr id="957858" name="Picture 8" descr="LOGO CAFÉ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553450" y="352425"/>
          <a:ext cx="371475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542925</xdr:colOff>
      <xdr:row>1</xdr:row>
      <xdr:rowOff>152400</xdr:rowOff>
    </xdr:from>
    <xdr:to>
      <xdr:col>9</xdr:col>
      <xdr:colOff>19050</xdr:colOff>
      <xdr:row>3</xdr:row>
      <xdr:rowOff>114300</xdr:rowOff>
    </xdr:to>
    <xdr:pic>
      <xdr:nvPicPr>
        <xdr:cNvPr id="1409410" name="Picture 8" descr="LOGO CAFÉ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191500" y="342900"/>
          <a:ext cx="37147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561975</xdr:colOff>
      <xdr:row>1</xdr:row>
      <xdr:rowOff>123825</xdr:rowOff>
    </xdr:from>
    <xdr:to>
      <xdr:col>9</xdr:col>
      <xdr:colOff>38100</xdr:colOff>
      <xdr:row>3</xdr:row>
      <xdr:rowOff>85725</xdr:rowOff>
    </xdr:to>
    <xdr:pic>
      <xdr:nvPicPr>
        <xdr:cNvPr id="1019297" name="Picture 8" descr="LOGO CAFÉ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172450" y="314325"/>
          <a:ext cx="37147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104775</xdr:colOff>
      <xdr:row>1</xdr:row>
      <xdr:rowOff>200025</xdr:rowOff>
    </xdr:from>
    <xdr:to>
      <xdr:col>9</xdr:col>
      <xdr:colOff>523875</xdr:colOff>
      <xdr:row>3</xdr:row>
      <xdr:rowOff>219075</xdr:rowOff>
    </xdr:to>
    <xdr:pic>
      <xdr:nvPicPr>
        <xdr:cNvPr id="2448266" name="Picture 8" descr="LOGO CAFÉ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115300" y="390525"/>
          <a:ext cx="4191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352425</xdr:colOff>
      <xdr:row>1</xdr:row>
      <xdr:rowOff>152400</xdr:rowOff>
    </xdr:from>
    <xdr:to>
      <xdr:col>12</xdr:col>
      <xdr:colOff>609600</xdr:colOff>
      <xdr:row>3</xdr:row>
      <xdr:rowOff>114300</xdr:rowOff>
    </xdr:to>
    <xdr:pic>
      <xdr:nvPicPr>
        <xdr:cNvPr id="5640318" name="Picture 8" descr="LOGO CAFÉ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077325" y="342900"/>
          <a:ext cx="25717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352425</xdr:colOff>
      <xdr:row>1</xdr:row>
      <xdr:rowOff>152400</xdr:rowOff>
    </xdr:from>
    <xdr:to>
      <xdr:col>12</xdr:col>
      <xdr:colOff>609600</xdr:colOff>
      <xdr:row>3</xdr:row>
      <xdr:rowOff>114300</xdr:rowOff>
    </xdr:to>
    <xdr:pic>
      <xdr:nvPicPr>
        <xdr:cNvPr id="5640319" name="Picture 8" descr="LOGO CAFÉ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077325" y="342900"/>
          <a:ext cx="25717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190500</xdr:colOff>
      <xdr:row>1</xdr:row>
      <xdr:rowOff>152400</xdr:rowOff>
    </xdr:from>
    <xdr:to>
      <xdr:col>12</xdr:col>
      <xdr:colOff>609600</xdr:colOff>
      <xdr:row>3</xdr:row>
      <xdr:rowOff>171450</xdr:rowOff>
    </xdr:to>
    <xdr:pic>
      <xdr:nvPicPr>
        <xdr:cNvPr id="5640320" name="Picture 8" descr="LOGO CAFÉS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915400" y="342900"/>
          <a:ext cx="4191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171450</xdr:colOff>
      <xdr:row>21</xdr:row>
      <xdr:rowOff>104775</xdr:rowOff>
    </xdr:from>
    <xdr:to>
      <xdr:col>6</xdr:col>
      <xdr:colOff>304800</xdr:colOff>
      <xdr:row>34</xdr:row>
      <xdr:rowOff>76200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542925</xdr:colOff>
      <xdr:row>21</xdr:row>
      <xdr:rowOff>104775</xdr:rowOff>
    </xdr:from>
    <xdr:to>
      <xdr:col>11</xdr:col>
      <xdr:colOff>752475</xdr:colOff>
      <xdr:row>34</xdr:row>
      <xdr:rowOff>95250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542925</xdr:colOff>
      <xdr:row>21</xdr:row>
      <xdr:rowOff>66675</xdr:rowOff>
    </xdr:from>
    <xdr:to>
      <xdr:col>11</xdr:col>
      <xdr:colOff>752475</xdr:colOff>
      <xdr:row>34</xdr:row>
      <xdr:rowOff>95250</xdr:rowOff>
    </xdr:to>
    <xdr:graphicFrame macro="">
      <xdr:nvGraphicFramePr>
        <xdr:cNvPr id="6168590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238125</xdr:colOff>
      <xdr:row>21</xdr:row>
      <xdr:rowOff>76200</xdr:rowOff>
    </xdr:from>
    <xdr:to>
      <xdr:col>6</xdr:col>
      <xdr:colOff>371475</xdr:colOff>
      <xdr:row>34</xdr:row>
      <xdr:rowOff>85725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171450</xdr:colOff>
      <xdr:row>21</xdr:row>
      <xdr:rowOff>66675</xdr:rowOff>
    </xdr:from>
    <xdr:to>
      <xdr:col>6</xdr:col>
      <xdr:colOff>304800</xdr:colOff>
      <xdr:row>34</xdr:row>
      <xdr:rowOff>76200</xdr:rowOff>
    </xdr:to>
    <xdr:graphicFrame macro="">
      <xdr:nvGraphicFramePr>
        <xdr:cNvPr id="617166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542925</xdr:colOff>
      <xdr:row>21</xdr:row>
      <xdr:rowOff>66675</xdr:rowOff>
    </xdr:from>
    <xdr:to>
      <xdr:col>11</xdr:col>
      <xdr:colOff>752475</xdr:colOff>
      <xdr:row>34</xdr:row>
      <xdr:rowOff>95250</xdr:rowOff>
    </xdr:to>
    <xdr:graphicFrame macro="">
      <xdr:nvGraphicFramePr>
        <xdr:cNvPr id="617166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171450</xdr:colOff>
      <xdr:row>21</xdr:row>
      <xdr:rowOff>66675</xdr:rowOff>
    </xdr:from>
    <xdr:to>
      <xdr:col>6</xdr:col>
      <xdr:colOff>304800</xdr:colOff>
      <xdr:row>34</xdr:row>
      <xdr:rowOff>76200</xdr:rowOff>
    </xdr:to>
    <xdr:graphicFrame macro="">
      <xdr:nvGraphicFramePr>
        <xdr:cNvPr id="617473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542925</xdr:colOff>
      <xdr:row>21</xdr:row>
      <xdr:rowOff>66675</xdr:rowOff>
    </xdr:from>
    <xdr:to>
      <xdr:col>11</xdr:col>
      <xdr:colOff>752475</xdr:colOff>
      <xdr:row>34</xdr:row>
      <xdr:rowOff>95250</xdr:rowOff>
    </xdr:to>
    <xdr:graphicFrame macro="">
      <xdr:nvGraphicFramePr>
        <xdr:cNvPr id="6174734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3248025</xdr:colOff>
      <xdr:row>6</xdr:row>
      <xdr:rowOff>200025</xdr:rowOff>
    </xdr:from>
    <xdr:to>
      <xdr:col>1</xdr:col>
      <xdr:colOff>3248025</xdr:colOff>
      <xdr:row>17</xdr:row>
      <xdr:rowOff>9525</xdr:rowOff>
    </xdr:to>
    <xdr:pic>
      <xdr:nvPicPr>
        <xdr:cNvPr id="5748765" name="Picture 8" descr="LOGO CAFÉS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429000" y="1419225"/>
          <a:ext cx="0" cy="2114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171451</xdr:colOff>
      <xdr:row>21</xdr:row>
      <xdr:rowOff>66675</xdr:rowOff>
    </xdr:from>
    <xdr:to>
      <xdr:col>9</xdr:col>
      <xdr:colOff>0</xdr:colOff>
      <xdr:row>33</xdr:row>
      <xdr:rowOff>171450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123825</xdr:colOff>
      <xdr:row>21</xdr:row>
      <xdr:rowOff>66675</xdr:rowOff>
    </xdr:from>
    <xdr:to>
      <xdr:col>16</xdr:col>
      <xdr:colOff>209550</xdr:colOff>
      <xdr:row>34</xdr:row>
      <xdr:rowOff>9525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0</xdr:rowOff>
    </xdr:from>
    <xdr:to>
      <xdr:col>10</xdr:col>
      <xdr:colOff>190500</xdr:colOff>
      <xdr:row>27</xdr:row>
      <xdr:rowOff>142875</xdr:rowOff>
    </xdr:to>
    <xdr:graphicFrame macro="">
      <xdr:nvGraphicFramePr>
        <xdr:cNvPr id="2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0.26818</cdr:x>
      <cdr:y>0.03819</cdr:y>
    </cdr:from>
    <cdr:to>
      <cdr:x>0.78333</cdr:x>
      <cdr:y>0.14236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1685926" y="104775"/>
          <a:ext cx="3238500" cy="285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algn="ctr"/>
          <a:r>
            <a:rPr lang="pt-BR" sz="1100" b="1">
              <a:latin typeface="Arial" pitchFamily="34" charset="0"/>
              <a:cs typeface="Arial" pitchFamily="34" charset="0"/>
            </a:rPr>
            <a:t>Evolução</a:t>
          </a:r>
          <a:r>
            <a:rPr lang="pt-BR" sz="1100" b="1" baseline="0">
              <a:latin typeface="Arial" pitchFamily="34" charset="0"/>
              <a:cs typeface="Arial" pitchFamily="34" charset="0"/>
            </a:rPr>
            <a:t> da Produção de Café Arábica, Conilon e Total</a:t>
          </a:r>
        </a:p>
        <a:p xmlns:a="http://schemas.openxmlformats.org/drawingml/2006/main">
          <a:pPr algn="ctr"/>
          <a:r>
            <a:rPr lang="pt-BR" sz="1000" baseline="0">
              <a:latin typeface="Arial" pitchFamily="34" charset="0"/>
              <a:cs typeface="Arial" pitchFamily="34" charset="0"/>
            </a:rPr>
            <a:t>Em milhões de sacas</a:t>
          </a:r>
          <a:endParaRPr lang="pt-BR" sz="100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3248025</xdr:colOff>
      <xdr:row>6</xdr:row>
      <xdr:rowOff>200025</xdr:rowOff>
    </xdr:from>
    <xdr:to>
      <xdr:col>2</xdr:col>
      <xdr:colOff>3248025</xdr:colOff>
      <xdr:row>16</xdr:row>
      <xdr:rowOff>28575</xdr:rowOff>
    </xdr:to>
    <xdr:pic>
      <xdr:nvPicPr>
        <xdr:cNvPr id="5812253" name="Picture 8" descr="LOGO CAFÉS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429000" y="1419225"/>
          <a:ext cx="0" cy="2114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3248025</xdr:colOff>
      <xdr:row>7</xdr:row>
      <xdr:rowOff>200025</xdr:rowOff>
    </xdr:from>
    <xdr:to>
      <xdr:col>2</xdr:col>
      <xdr:colOff>0</xdr:colOff>
      <xdr:row>17</xdr:row>
      <xdr:rowOff>28575</xdr:rowOff>
    </xdr:to>
    <xdr:pic>
      <xdr:nvPicPr>
        <xdr:cNvPr id="3" name="Picture 8" descr="LOGO CAFÉS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90950" y="1628775"/>
          <a:ext cx="0" cy="2114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407581</xdr:colOff>
      <xdr:row>1</xdr:row>
      <xdr:rowOff>76200</xdr:rowOff>
    </xdr:from>
    <xdr:to>
      <xdr:col>19</xdr:col>
      <xdr:colOff>9525</xdr:colOff>
      <xdr:row>4</xdr:row>
      <xdr:rowOff>152400</xdr:rowOff>
    </xdr:to>
    <xdr:pic>
      <xdr:nvPicPr>
        <xdr:cNvPr id="1482" name="Picture 8" descr="LOGO CAFÉ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18106" y="285750"/>
          <a:ext cx="563969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17</xdr:col>
      <xdr:colOff>407581</xdr:colOff>
      <xdr:row>1</xdr:row>
      <xdr:rowOff>76200</xdr:rowOff>
    </xdr:from>
    <xdr:to>
      <xdr:col>18</xdr:col>
      <xdr:colOff>447675</xdr:colOff>
      <xdr:row>4</xdr:row>
      <xdr:rowOff>152400</xdr:rowOff>
    </xdr:to>
    <xdr:pic>
      <xdr:nvPicPr>
        <xdr:cNvPr id="3" name="Picture 8" descr="LOGO CAFÉ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7156" y="285750"/>
          <a:ext cx="563969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9525</xdr:colOff>
      <xdr:row>1</xdr:row>
      <xdr:rowOff>104775</xdr:rowOff>
    </xdr:from>
    <xdr:to>
      <xdr:col>15</xdr:col>
      <xdr:colOff>47625</xdr:colOff>
      <xdr:row>4</xdr:row>
      <xdr:rowOff>76200</xdr:rowOff>
    </xdr:to>
    <xdr:pic>
      <xdr:nvPicPr>
        <xdr:cNvPr id="3600" name="Picture 8" descr="LOGO CAFÉ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048625" y="257175"/>
          <a:ext cx="58102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219075</xdr:colOff>
      <xdr:row>1</xdr:row>
      <xdr:rowOff>57150</xdr:rowOff>
    </xdr:from>
    <xdr:to>
      <xdr:col>13</xdr:col>
      <xdr:colOff>590550</xdr:colOff>
      <xdr:row>2</xdr:row>
      <xdr:rowOff>152400</xdr:rowOff>
    </xdr:to>
    <xdr:pic>
      <xdr:nvPicPr>
        <xdr:cNvPr id="993699" name="Picture 8" descr="LOGO CAFÉ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01050" y="285750"/>
          <a:ext cx="37147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828675</xdr:colOff>
      <xdr:row>2</xdr:row>
      <xdr:rowOff>0</xdr:rowOff>
    </xdr:from>
    <xdr:to>
      <xdr:col>10</xdr:col>
      <xdr:colOff>28575</xdr:colOff>
      <xdr:row>3</xdr:row>
      <xdr:rowOff>47625</xdr:rowOff>
    </xdr:to>
    <xdr:pic>
      <xdr:nvPicPr>
        <xdr:cNvPr id="917320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277100" y="571500"/>
          <a:ext cx="116205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4</xdr:row>
      <xdr:rowOff>104775</xdr:rowOff>
    </xdr:to>
    <xdr:pic>
      <xdr:nvPicPr>
        <xdr:cNvPr id="917321" name="Picture 8" descr="LOGO CAFÉS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95325" y="571500"/>
          <a:ext cx="609600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</xdr:row>
      <xdr:rowOff>200025</xdr:rowOff>
    </xdr:from>
    <xdr:to>
      <xdr:col>0</xdr:col>
      <xdr:colOff>0</xdr:colOff>
      <xdr:row>17</xdr:row>
      <xdr:rowOff>9525</xdr:rowOff>
    </xdr:to>
    <xdr:pic>
      <xdr:nvPicPr>
        <xdr:cNvPr id="5850163" name="Picture 8" descr="LOGO CAFÉS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429000" y="1419225"/>
          <a:ext cx="0" cy="2114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161926</xdr:colOff>
      <xdr:row>1</xdr:row>
      <xdr:rowOff>219075</xdr:rowOff>
    </xdr:from>
    <xdr:to>
      <xdr:col>13</xdr:col>
      <xdr:colOff>504826</xdr:colOff>
      <xdr:row>22</xdr:row>
      <xdr:rowOff>133350</xdr:rowOff>
    </xdr:to>
    <xdr:graphicFrame macro="">
      <xdr:nvGraphicFramePr>
        <xdr:cNvPr id="6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723900</xdr:colOff>
      <xdr:row>21</xdr:row>
      <xdr:rowOff>123825</xdr:rowOff>
    </xdr:from>
    <xdr:to>
      <xdr:col>5</xdr:col>
      <xdr:colOff>352494</xdr:colOff>
      <xdr:row>22</xdr:row>
      <xdr:rowOff>3</xdr:rowOff>
    </xdr:to>
    <xdr:sp macro="" textlink="">
      <xdr:nvSpPr>
        <xdr:cNvPr id="9" name="CaixaDeTexto 1"/>
        <xdr:cNvSpPr txBox="1"/>
      </xdr:nvSpPr>
      <xdr:spPr>
        <a:xfrm>
          <a:off x="904875" y="5314950"/>
          <a:ext cx="2162244" cy="123828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pt-BR" sz="1100"/>
            <a:t>ALTA ou BAIXA =</a:t>
          </a:r>
          <a:r>
            <a:rPr lang="pt-BR" sz="1100" baseline="0"/>
            <a:t> bienalidade</a:t>
          </a:r>
          <a:endParaRPr lang="pt-BR" sz="1100"/>
        </a:p>
      </xdr:txBody>
    </xdr:sp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0.26818</cdr:x>
      <cdr:y>0.03819</cdr:y>
    </cdr:from>
    <cdr:to>
      <cdr:x>0.78333</cdr:x>
      <cdr:y>0.14236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1685926" y="104775"/>
          <a:ext cx="3238500" cy="285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algn="ctr"/>
          <a:r>
            <a:rPr lang="pt-BR" sz="1100" b="1">
              <a:latin typeface="Arial" pitchFamily="34" charset="0"/>
              <a:cs typeface="Arial" pitchFamily="34" charset="0"/>
            </a:rPr>
            <a:t>Evolução</a:t>
          </a:r>
          <a:r>
            <a:rPr lang="pt-BR" sz="1100" b="1" baseline="0">
              <a:latin typeface="Arial" pitchFamily="34" charset="0"/>
              <a:cs typeface="Arial" pitchFamily="34" charset="0"/>
            </a:rPr>
            <a:t> da Produção de Café Arábica, Conilon e Total</a:t>
          </a:r>
        </a:p>
        <a:p xmlns:a="http://schemas.openxmlformats.org/drawingml/2006/main">
          <a:pPr algn="ctr"/>
          <a:r>
            <a:rPr lang="pt-BR" sz="1000" baseline="0">
              <a:latin typeface="Arial" pitchFamily="34" charset="0"/>
              <a:cs typeface="Arial" pitchFamily="34" charset="0"/>
            </a:rPr>
            <a:t>Em milhões de sacas</a:t>
          </a:r>
          <a:endParaRPr lang="pt-BR" sz="10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</cdr:y>
    </cdr:from>
    <cdr:to>
      <cdr:x>0.00291</cdr:x>
      <cdr:y>0.00476</cdr:y>
    </cdr:to>
    <cdr:pic>
      <cdr:nvPicPr>
        <cdr:cNvPr id="3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0" y="0"/>
          <a:ext cx="24386" cy="24386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2.xml"/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://www.agricultura.gov.br/agrostat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3.xml"/><Relationship Id="rId2" Type="http://schemas.openxmlformats.org/officeDocument/2006/relationships/printerSettings" Target="../printerSettings/printerSettings12.bin"/><Relationship Id="rId1" Type="http://schemas.openxmlformats.org/officeDocument/2006/relationships/hyperlink" Target="http://www.agricultura.gov.br/agrostat" TargetMode="Externa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agricultura.gov.br/vegetal/estatisticas" TargetMode="Externa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33"/>
  <sheetViews>
    <sheetView tabSelected="1" workbookViewId="0">
      <selection activeCell="E16" sqref="E16"/>
    </sheetView>
  </sheetViews>
  <sheetFormatPr defaultRowHeight="12.75"/>
  <cols>
    <col min="1" max="1" width="2.7109375" customWidth="1"/>
    <col min="2" max="2" width="126.42578125" customWidth="1"/>
    <col min="3" max="3" width="2.7109375" customWidth="1"/>
    <col min="4" max="4" width="8.85546875" bestFit="1" customWidth="1"/>
  </cols>
  <sheetData>
    <row r="1" spans="1:3" ht="16.5" customHeight="1">
      <c r="A1" s="64"/>
      <c r="B1" s="309"/>
      <c r="C1" s="64"/>
    </row>
    <row r="2" spans="1:3" ht="13.5" customHeight="1">
      <c r="A2" s="66"/>
      <c r="B2" s="403"/>
      <c r="C2" s="65"/>
    </row>
    <row r="3" spans="1:3" ht="17.100000000000001" customHeight="1">
      <c r="A3" s="66"/>
      <c r="B3" s="404"/>
      <c r="C3" s="65"/>
    </row>
    <row r="4" spans="1:3" ht="17.100000000000001" customHeight="1">
      <c r="A4" s="66"/>
      <c r="B4" s="404" t="s">
        <v>340</v>
      </c>
      <c r="C4" s="65"/>
    </row>
    <row r="5" spans="1:3" ht="17.100000000000001" customHeight="1">
      <c r="A5" s="66"/>
      <c r="B5" s="404" t="s">
        <v>316</v>
      </c>
      <c r="C5" s="65"/>
    </row>
    <row r="6" spans="1:3" ht="17.100000000000001" customHeight="1">
      <c r="A6" s="66"/>
      <c r="B6" s="404" t="s">
        <v>317</v>
      </c>
      <c r="C6" s="65"/>
    </row>
    <row r="7" spans="1:3" ht="17.100000000000001" customHeight="1">
      <c r="A7" s="66"/>
      <c r="B7" s="404"/>
      <c r="C7" s="65"/>
    </row>
    <row r="8" spans="1:3" ht="17.100000000000001" customHeight="1">
      <c r="A8" s="66"/>
      <c r="B8" s="404"/>
      <c r="C8" s="65"/>
    </row>
    <row r="9" spans="1:3" ht="17.100000000000001" customHeight="1">
      <c r="A9" s="66"/>
      <c r="B9" s="404"/>
      <c r="C9" s="65"/>
    </row>
    <row r="10" spans="1:3" ht="17.100000000000001" customHeight="1">
      <c r="A10" s="66"/>
      <c r="B10" s="404"/>
      <c r="C10" s="65"/>
    </row>
    <row r="11" spans="1:3" ht="17.100000000000001" customHeight="1">
      <c r="A11" s="66"/>
      <c r="B11" s="404"/>
      <c r="C11" s="65"/>
    </row>
    <row r="12" spans="1:3" ht="17.100000000000001" customHeight="1">
      <c r="A12" s="66"/>
      <c r="B12" s="404"/>
      <c r="C12" s="65"/>
    </row>
    <row r="13" spans="1:3" ht="17.100000000000001" customHeight="1">
      <c r="A13" s="66"/>
      <c r="B13" s="404"/>
      <c r="C13" s="65"/>
    </row>
    <row r="14" spans="1:3" ht="17.100000000000001" customHeight="1">
      <c r="A14" s="66"/>
      <c r="B14" s="404"/>
      <c r="C14" s="65"/>
    </row>
    <row r="15" spans="1:3" ht="17.100000000000001" customHeight="1">
      <c r="A15" s="66"/>
      <c r="B15" s="404"/>
      <c r="C15" s="65"/>
    </row>
    <row r="16" spans="1:3" ht="17.100000000000001" customHeight="1">
      <c r="A16" s="66"/>
      <c r="B16" s="404"/>
      <c r="C16" s="65"/>
    </row>
    <row r="17" spans="1:4" ht="17.100000000000001" customHeight="1">
      <c r="A17" s="66"/>
      <c r="B17" s="404"/>
      <c r="C17" s="65"/>
    </row>
    <row r="18" spans="1:4" ht="17.100000000000001" customHeight="1">
      <c r="A18" s="66"/>
      <c r="B18" s="404"/>
      <c r="C18" s="65"/>
    </row>
    <row r="19" spans="1:4" ht="17.100000000000001" customHeight="1">
      <c r="A19" s="66"/>
      <c r="B19" s="1140" t="s">
        <v>563</v>
      </c>
      <c r="C19" s="65"/>
    </row>
    <row r="20" spans="1:4" ht="17.100000000000001" customHeight="1">
      <c r="A20" s="66"/>
      <c r="B20" s="1140"/>
      <c r="C20" s="65"/>
    </row>
    <row r="21" spans="1:4" ht="17.100000000000001" customHeight="1">
      <c r="A21" s="66"/>
      <c r="B21" s="404"/>
      <c r="C21" s="65"/>
    </row>
    <row r="22" spans="1:4" ht="17.100000000000001" customHeight="1">
      <c r="A22" s="66"/>
      <c r="B22" s="404" t="s">
        <v>489</v>
      </c>
      <c r="C22" s="65"/>
    </row>
    <row r="23" spans="1:4" ht="17.100000000000001" customHeight="1">
      <c r="A23" s="66"/>
      <c r="B23" s="404"/>
      <c r="C23" s="65"/>
    </row>
    <row r="24" spans="1:4" ht="17.100000000000001" customHeight="1">
      <c r="A24" s="66"/>
      <c r="B24" s="404"/>
      <c r="C24" s="65"/>
    </row>
    <row r="25" spans="1:4" ht="17.100000000000001" customHeight="1">
      <c r="A25" s="66"/>
      <c r="B25" s="404"/>
      <c r="C25" s="65"/>
    </row>
    <row r="26" spans="1:4" ht="11.25" customHeight="1">
      <c r="A26" s="66"/>
      <c r="B26" s="405"/>
      <c r="C26" s="65"/>
    </row>
    <row r="27" spans="1:4" ht="17.100000000000001" customHeight="1">
      <c r="A27" s="66"/>
      <c r="B27" s="406"/>
      <c r="C27" s="66"/>
    </row>
    <row r="28" spans="1:4" ht="17.100000000000001" customHeight="1">
      <c r="A28" s="66"/>
      <c r="B28" s="407" t="s">
        <v>462</v>
      </c>
      <c r="C28" s="66"/>
    </row>
    <row r="29" spans="1:4" ht="16.5" customHeight="1">
      <c r="A29" s="65"/>
      <c r="B29" s="65"/>
      <c r="C29" s="65"/>
      <c r="D29" s="56"/>
    </row>
    <row r="30" spans="1:4" ht="15">
      <c r="D30" s="56"/>
    </row>
    <row r="31" spans="1:4" ht="15">
      <c r="D31" s="56"/>
    </row>
    <row r="32" spans="1:4" ht="15">
      <c r="D32" s="56"/>
    </row>
    <row r="33" spans="4:4" ht="15">
      <c r="D33" s="56"/>
    </row>
  </sheetData>
  <mergeCells count="1">
    <mergeCell ref="B19:B20"/>
  </mergeCells>
  <printOptions horizontalCentered="1" verticalCentered="1"/>
  <pageMargins left="0.51181102362204722" right="0.51181102362204722" top="0.78740157480314965" bottom="0.78740157480314965" header="0.31496062992125984" footer="0.31496062992125984"/>
  <pageSetup paperSize="9" orientation="landscape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Y26"/>
  <sheetViews>
    <sheetView workbookViewId="0">
      <selection sqref="A1:T1"/>
    </sheetView>
  </sheetViews>
  <sheetFormatPr defaultRowHeight="12.75"/>
  <cols>
    <col min="1" max="2" width="2.7109375" customWidth="1"/>
    <col min="3" max="3" width="12.28515625" customWidth="1"/>
    <col min="4" max="18" width="7.7109375" customWidth="1"/>
    <col min="19" max="20" width="2.7109375" customWidth="1"/>
    <col min="21" max="21" width="8.85546875" bestFit="1" customWidth="1"/>
  </cols>
  <sheetData>
    <row r="1" spans="1:25" ht="18" customHeight="1">
      <c r="A1" s="1152" t="s">
        <v>469</v>
      </c>
      <c r="B1" s="1152"/>
      <c r="C1" s="1152"/>
      <c r="D1" s="1152"/>
      <c r="E1" s="1152"/>
      <c r="F1" s="1152"/>
      <c r="G1" s="1152"/>
      <c r="H1" s="1152"/>
      <c r="I1" s="1152"/>
      <c r="J1" s="1152"/>
      <c r="K1" s="1152"/>
      <c r="L1" s="1152"/>
      <c r="M1" s="1152"/>
      <c r="N1" s="1152"/>
      <c r="O1" s="1152"/>
      <c r="P1" s="1152"/>
      <c r="Q1" s="1152"/>
      <c r="R1" s="1152"/>
      <c r="S1" s="1152"/>
      <c r="T1" s="1152"/>
    </row>
    <row r="2" spans="1:25" ht="25.5" customHeight="1">
      <c r="A2" s="68"/>
      <c r="B2" s="1156"/>
      <c r="C2" s="1156"/>
      <c r="D2" s="1156"/>
      <c r="E2" s="1156"/>
      <c r="F2" s="1156"/>
      <c r="G2" s="1156"/>
      <c r="H2" s="1156"/>
      <c r="I2" s="1156"/>
      <c r="J2" s="1156"/>
      <c r="K2" s="1156"/>
      <c r="L2" s="1156"/>
      <c r="M2" s="1156"/>
      <c r="N2" s="1156"/>
      <c r="O2" s="1156"/>
      <c r="P2" s="1156"/>
      <c r="Q2" s="1156"/>
      <c r="R2" s="1156"/>
      <c r="S2" s="1157"/>
      <c r="T2" s="65"/>
    </row>
    <row r="3" spans="1:25" ht="20.100000000000001" customHeight="1">
      <c r="A3" s="68"/>
      <c r="B3" s="103"/>
      <c r="C3" s="1201" t="s">
        <v>524</v>
      </c>
      <c r="D3" s="1201"/>
      <c r="E3" s="1201"/>
      <c r="F3" s="1201"/>
      <c r="G3" s="1201"/>
      <c r="H3" s="1201"/>
      <c r="I3" s="1201"/>
      <c r="J3" s="1201"/>
      <c r="K3" s="1201"/>
      <c r="L3" s="1201"/>
      <c r="M3" s="1201"/>
      <c r="N3" s="1201"/>
      <c r="O3" s="1201"/>
      <c r="P3" s="1201"/>
      <c r="Q3" s="1201"/>
      <c r="R3" s="1201"/>
      <c r="S3" s="104"/>
      <c r="T3" s="65"/>
    </row>
    <row r="4" spans="1:25" ht="28.5" customHeight="1">
      <c r="A4" s="68"/>
      <c r="B4" s="106"/>
      <c r="C4" s="141"/>
      <c r="D4" s="142"/>
      <c r="E4" s="142"/>
      <c r="F4" s="142"/>
      <c r="G4" s="142"/>
      <c r="H4" s="142"/>
      <c r="I4" s="142"/>
      <c r="J4" s="142"/>
      <c r="K4" s="142"/>
      <c r="L4" s="142"/>
      <c r="M4" s="141"/>
      <c r="N4" s="141"/>
      <c r="O4" s="141"/>
      <c r="P4" s="326"/>
      <c r="Q4" s="326"/>
      <c r="R4" s="143" t="s">
        <v>53</v>
      </c>
      <c r="S4" s="114"/>
      <c r="T4" s="66"/>
    </row>
    <row r="5" spans="1:25" ht="20.100000000000001" customHeight="1">
      <c r="A5" s="68"/>
      <c r="B5" s="106"/>
      <c r="C5" s="1202" t="s">
        <v>54</v>
      </c>
      <c r="D5" s="548">
        <v>2014</v>
      </c>
      <c r="E5" s="549">
        <v>2015</v>
      </c>
      <c r="F5" s="550">
        <v>2016</v>
      </c>
      <c r="G5" s="548">
        <v>2014</v>
      </c>
      <c r="H5" s="549">
        <v>2015</v>
      </c>
      <c r="I5" s="550">
        <v>2016</v>
      </c>
      <c r="J5" s="548">
        <v>2014</v>
      </c>
      <c r="K5" s="549">
        <v>2015</v>
      </c>
      <c r="L5" s="550">
        <v>2016</v>
      </c>
      <c r="M5" s="548">
        <v>2014</v>
      </c>
      <c r="N5" s="549">
        <v>2015</v>
      </c>
      <c r="O5" s="550">
        <v>2016</v>
      </c>
      <c r="P5" s="548">
        <v>2014</v>
      </c>
      <c r="Q5" s="549">
        <v>2015</v>
      </c>
      <c r="R5" s="549">
        <v>2016</v>
      </c>
      <c r="S5" s="114"/>
      <c r="T5" s="66"/>
    </row>
    <row r="6" spans="1:25" ht="20.100000000000001" customHeight="1">
      <c r="A6" s="68"/>
      <c r="B6" s="107"/>
      <c r="C6" s="1203"/>
      <c r="D6" s="1192" t="s">
        <v>55</v>
      </c>
      <c r="E6" s="1193"/>
      <c r="F6" s="1194"/>
      <c r="G6" s="551"/>
      <c r="H6" s="559" t="s">
        <v>362</v>
      </c>
      <c r="I6" s="553"/>
      <c r="J6" s="552"/>
      <c r="K6" s="559" t="s">
        <v>363</v>
      </c>
      <c r="L6" s="553"/>
      <c r="M6" s="547" t="s">
        <v>360</v>
      </c>
      <c r="N6" s="547"/>
      <c r="O6" s="547"/>
      <c r="P6" s="554" t="s">
        <v>361</v>
      </c>
      <c r="Q6" s="547"/>
      <c r="R6" s="547"/>
      <c r="S6" s="111"/>
      <c r="T6" s="66"/>
    </row>
    <row r="7" spans="1:25" ht="20.100000000000001" customHeight="1">
      <c r="A7" s="68"/>
      <c r="B7" s="107"/>
      <c r="C7" s="1203"/>
      <c r="D7" s="1192" t="s">
        <v>56</v>
      </c>
      <c r="E7" s="1193"/>
      <c r="F7" s="1194"/>
      <c r="G7" s="1192" t="s">
        <v>57</v>
      </c>
      <c r="H7" s="1193"/>
      <c r="I7" s="1194"/>
      <c r="J7" s="547" t="s">
        <v>359</v>
      </c>
      <c r="K7" s="547"/>
      <c r="L7" s="555"/>
      <c r="M7" s="547" t="s">
        <v>523</v>
      </c>
      <c r="N7" s="547"/>
      <c r="O7" s="547"/>
      <c r="P7" s="554" t="s">
        <v>58</v>
      </c>
      <c r="Q7" s="547"/>
      <c r="R7" s="547"/>
      <c r="S7" s="111"/>
      <c r="T7" s="66"/>
    </row>
    <row r="8" spans="1:25" ht="20.100000000000001" customHeight="1">
      <c r="A8" s="68"/>
      <c r="B8" s="107"/>
      <c r="C8" s="1204"/>
      <c r="D8" s="1195" t="s">
        <v>59</v>
      </c>
      <c r="E8" s="1196"/>
      <c r="F8" s="1197"/>
      <c r="G8" s="1196" t="s">
        <v>60</v>
      </c>
      <c r="H8" s="1196"/>
      <c r="I8" s="1196"/>
      <c r="J8" s="1198" t="s">
        <v>61</v>
      </c>
      <c r="K8" s="1199"/>
      <c r="L8" s="1200"/>
      <c r="M8" s="1196" t="s">
        <v>62</v>
      </c>
      <c r="N8" s="1196"/>
      <c r="O8" s="1196"/>
      <c r="P8" s="1195" t="s">
        <v>62</v>
      </c>
      <c r="Q8" s="1196"/>
      <c r="R8" s="1196"/>
      <c r="S8" s="111"/>
      <c r="T8" s="66"/>
    </row>
    <row r="9" spans="1:25" ht="20.100000000000001" customHeight="1">
      <c r="A9" s="68"/>
      <c r="B9" s="107"/>
      <c r="C9" s="556" t="s">
        <v>63</v>
      </c>
      <c r="D9" s="10">
        <v>289.44</v>
      </c>
      <c r="E9" s="1085">
        <v>465.92</v>
      </c>
      <c r="F9" s="1087">
        <v>491.31</v>
      </c>
      <c r="G9" s="10">
        <v>226.82</v>
      </c>
      <c r="H9" s="244">
        <v>283.29000000000002</v>
      </c>
      <c r="I9" s="1087">
        <v>389.07</v>
      </c>
      <c r="J9" s="10">
        <v>244.45</v>
      </c>
      <c r="K9" s="244">
        <v>340</v>
      </c>
      <c r="L9" s="1090">
        <v>482</v>
      </c>
      <c r="M9" s="10">
        <v>214.09</v>
      </c>
      <c r="N9" s="244">
        <v>273.81</v>
      </c>
      <c r="O9" s="1087">
        <v>465.25</v>
      </c>
      <c r="P9" s="10">
        <v>231.82</v>
      </c>
      <c r="Q9" s="244">
        <v>280.95</v>
      </c>
      <c r="R9">
        <v>372.7</v>
      </c>
      <c r="S9" s="111"/>
      <c r="T9" s="66"/>
    </row>
    <row r="10" spans="1:25" ht="20.100000000000001" customHeight="1">
      <c r="A10" s="68"/>
      <c r="B10" s="107"/>
      <c r="C10" s="557" t="s">
        <v>64</v>
      </c>
      <c r="D10" s="10">
        <v>366.32</v>
      </c>
      <c r="E10" s="1085">
        <v>459.99</v>
      </c>
      <c r="F10" s="629"/>
      <c r="G10" s="10">
        <v>243.48</v>
      </c>
      <c r="H10" s="1085">
        <v>299.58</v>
      </c>
      <c r="I10" s="629"/>
      <c r="J10" s="10">
        <v>268.5</v>
      </c>
      <c r="K10" s="1085">
        <v>328.33</v>
      </c>
      <c r="L10" s="629"/>
      <c r="M10" s="10">
        <v>236.25</v>
      </c>
      <c r="N10" s="1085">
        <v>278.89</v>
      </c>
      <c r="O10" s="629"/>
      <c r="P10" s="10">
        <v>243</v>
      </c>
      <c r="Q10" s="244">
        <v>285</v>
      </c>
      <c r="S10" s="111"/>
      <c r="T10" s="66"/>
    </row>
    <row r="11" spans="1:25" ht="20.100000000000001" customHeight="1">
      <c r="A11" s="68"/>
      <c r="B11" s="107"/>
      <c r="C11" s="557" t="s">
        <v>65</v>
      </c>
      <c r="D11" s="10">
        <v>437.24</v>
      </c>
      <c r="E11" s="1085">
        <v>477.1</v>
      </c>
      <c r="F11" s="629"/>
      <c r="G11" s="10">
        <v>263.25</v>
      </c>
      <c r="H11" s="1085">
        <v>303.44</v>
      </c>
      <c r="I11" s="629"/>
      <c r="J11" s="10">
        <v>332.63</v>
      </c>
      <c r="K11" s="1085">
        <v>330</v>
      </c>
      <c r="L11" s="629"/>
      <c r="M11" s="10">
        <v>288.68</v>
      </c>
      <c r="N11" s="1085">
        <v>290</v>
      </c>
      <c r="O11" s="629"/>
      <c r="P11" s="10">
        <v>282.37</v>
      </c>
      <c r="Q11" s="245">
        <v>280</v>
      </c>
      <c r="S11" s="111"/>
      <c r="T11" s="66"/>
    </row>
    <row r="12" spans="1:25" ht="20.100000000000001" customHeight="1">
      <c r="A12" s="68"/>
      <c r="B12" s="107"/>
      <c r="C12" s="557" t="s">
        <v>66</v>
      </c>
      <c r="D12" s="10">
        <v>449.45</v>
      </c>
      <c r="E12" s="1085">
        <v>445.69</v>
      </c>
      <c r="F12" s="629"/>
      <c r="G12" s="10">
        <v>256.77</v>
      </c>
      <c r="H12" s="1085">
        <v>295.88</v>
      </c>
      <c r="I12" s="629"/>
      <c r="J12" s="10">
        <v>329.5</v>
      </c>
      <c r="K12" s="1085">
        <v>330</v>
      </c>
      <c r="L12" s="629"/>
      <c r="M12" s="10">
        <v>278</v>
      </c>
      <c r="N12" s="1085">
        <v>299</v>
      </c>
      <c r="O12" s="629"/>
      <c r="P12" s="10">
        <v>265</v>
      </c>
      <c r="Q12" s="245">
        <v>297.5</v>
      </c>
      <c r="S12" s="111"/>
      <c r="T12" s="66"/>
    </row>
    <row r="13" spans="1:25" ht="20.100000000000001" customHeight="1">
      <c r="A13" s="68"/>
      <c r="B13" s="107"/>
      <c r="C13" s="557" t="s">
        <v>67</v>
      </c>
      <c r="D13" s="10">
        <v>429.28</v>
      </c>
      <c r="E13" s="1085">
        <v>421.95</v>
      </c>
      <c r="F13" s="629"/>
      <c r="G13" s="10">
        <v>245.82</v>
      </c>
      <c r="H13" s="1085">
        <v>293.33</v>
      </c>
      <c r="I13" s="629"/>
      <c r="J13" s="10">
        <v>342.14</v>
      </c>
      <c r="K13" s="1085">
        <v>318</v>
      </c>
      <c r="L13" s="629"/>
      <c r="M13" s="10">
        <v>279.05</v>
      </c>
      <c r="N13" s="1085">
        <v>292</v>
      </c>
      <c r="O13" s="629"/>
      <c r="P13" s="10">
        <v>258.10000000000002</v>
      </c>
      <c r="Q13" s="245">
        <v>292</v>
      </c>
      <c r="S13" s="111"/>
      <c r="T13" s="66"/>
      <c r="U13" s="56"/>
    </row>
    <row r="14" spans="1:25" ht="20.100000000000001" customHeight="1">
      <c r="A14" s="68"/>
      <c r="B14" s="107"/>
      <c r="C14" s="557" t="s">
        <v>68</v>
      </c>
      <c r="D14" s="10">
        <v>396.74</v>
      </c>
      <c r="E14" s="10">
        <v>424.02</v>
      </c>
      <c r="F14" s="629"/>
      <c r="G14" s="10">
        <v>235.14</v>
      </c>
      <c r="H14" s="10">
        <v>301.02999999999997</v>
      </c>
      <c r="I14" s="629"/>
      <c r="J14" s="10">
        <v>318</v>
      </c>
      <c r="K14" s="10">
        <v>315.24</v>
      </c>
      <c r="L14" s="629"/>
      <c r="M14" s="10">
        <v>262.25</v>
      </c>
      <c r="N14" s="10">
        <v>280</v>
      </c>
      <c r="O14" s="629"/>
      <c r="P14" s="10">
        <v>241.2</v>
      </c>
      <c r="Q14" s="522">
        <v>287.62</v>
      </c>
      <c r="S14" s="111"/>
      <c r="T14" s="66"/>
      <c r="U14" s="56"/>
    </row>
    <row r="15" spans="1:25" ht="20.100000000000001" customHeight="1">
      <c r="A15" s="68"/>
      <c r="B15" s="107"/>
      <c r="C15" s="557" t="s">
        <v>69</v>
      </c>
      <c r="D15" s="10">
        <v>387.87</v>
      </c>
      <c r="E15" s="10">
        <v>414.5</v>
      </c>
      <c r="F15" s="629"/>
      <c r="G15" s="10">
        <v>242.44</v>
      </c>
      <c r="H15" s="10">
        <v>307.41000000000003</v>
      </c>
      <c r="I15" s="629"/>
      <c r="J15" s="10">
        <v>300.43</v>
      </c>
      <c r="K15" s="10">
        <v>320</v>
      </c>
      <c r="L15" s="629"/>
      <c r="M15" s="10">
        <v>243.91</v>
      </c>
      <c r="N15" s="10">
        <v>280</v>
      </c>
      <c r="O15" s="629"/>
      <c r="P15" s="10">
        <v>239.48</v>
      </c>
      <c r="Q15" s="522">
        <v>297.39</v>
      </c>
      <c r="S15" s="111"/>
      <c r="T15" s="66"/>
      <c r="U15" s="56"/>
    </row>
    <row r="16" spans="1:25" ht="20.100000000000001" customHeight="1">
      <c r="A16" s="68"/>
      <c r="B16" s="107"/>
      <c r="C16" s="557" t="s">
        <v>70</v>
      </c>
      <c r="D16" s="10">
        <v>437.19</v>
      </c>
      <c r="E16" s="10">
        <v>455.5</v>
      </c>
      <c r="F16" s="629"/>
      <c r="G16" s="10">
        <v>248.42</v>
      </c>
      <c r="H16" s="10">
        <v>324.95</v>
      </c>
      <c r="I16" s="629"/>
      <c r="J16" s="10">
        <v>315.70999999999998</v>
      </c>
      <c r="K16" s="194">
        <v>335</v>
      </c>
      <c r="L16" s="629"/>
      <c r="M16" s="10">
        <v>272.86</v>
      </c>
      <c r="N16" s="194">
        <v>292</v>
      </c>
      <c r="O16" s="629"/>
      <c r="P16" s="10">
        <v>251.43</v>
      </c>
      <c r="Q16" s="194">
        <v>313.95999999999998</v>
      </c>
      <c r="S16" s="111"/>
      <c r="T16" s="65"/>
      <c r="U16" s="56"/>
      <c r="V16" s="632"/>
      <c r="W16" s="632"/>
      <c r="X16" s="632"/>
      <c r="Y16" s="632"/>
    </row>
    <row r="17" spans="1:25" ht="20.100000000000001" customHeight="1">
      <c r="A17" s="68"/>
      <c r="B17" s="107"/>
      <c r="C17" s="557" t="s">
        <v>71</v>
      </c>
      <c r="D17" s="10">
        <v>433.48</v>
      </c>
      <c r="E17" s="1085">
        <v>456.95</v>
      </c>
      <c r="F17" s="629"/>
      <c r="G17" s="10">
        <v>250.1</v>
      </c>
      <c r="H17" s="1085">
        <v>340.62</v>
      </c>
      <c r="I17" s="629"/>
      <c r="J17" s="10">
        <v>324.32</v>
      </c>
      <c r="K17" s="1086">
        <v>495.95</v>
      </c>
      <c r="L17" s="629"/>
      <c r="M17" s="10">
        <v>272.73</v>
      </c>
      <c r="N17" s="1086">
        <v>432.14</v>
      </c>
      <c r="O17" s="629"/>
      <c r="P17" s="10">
        <v>255.45</v>
      </c>
      <c r="Q17" s="592">
        <v>332.05</v>
      </c>
      <c r="S17" s="111"/>
      <c r="T17" s="65"/>
      <c r="U17" s="56"/>
      <c r="V17" s="632"/>
      <c r="W17" s="632"/>
      <c r="X17" s="632"/>
      <c r="Y17" s="632"/>
    </row>
    <row r="18" spans="1:25" ht="20.100000000000001" customHeight="1">
      <c r="A18" s="68"/>
      <c r="B18" s="107"/>
      <c r="C18" s="557" t="s">
        <v>72</v>
      </c>
      <c r="D18" s="10">
        <v>480.13</v>
      </c>
      <c r="E18" s="1085">
        <v>478.11</v>
      </c>
      <c r="F18" s="629"/>
      <c r="G18" s="10">
        <v>264.25</v>
      </c>
      <c r="H18" s="1085">
        <v>363.9</v>
      </c>
      <c r="I18" s="629"/>
      <c r="J18" s="10">
        <v>338.7</v>
      </c>
      <c r="K18" s="1085">
        <v>502.86</v>
      </c>
      <c r="L18" s="629"/>
      <c r="M18" s="10">
        <v>284.35000000000002</v>
      </c>
      <c r="N18" s="1085">
        <v>443.76</v>
      </c>
      <c r="O18" s="629"/>
      <c r="P18" s="10">
        <v>272.61</v>
      </c>
      <c r="Q18" s="245">
        <v>351.05</v>
      </c>
      <c r="S18" s="111"/>
      <c r="T18" s="65"/>
      <c r="U18" s="56"/>
      <c r="V18" s="632"/>
      <c r="W18" s="632"/>
      <c r="X18" s="632"/>
      <c r="Y18" s="632"/>
    </row>
    <row r="19" spans="1:25" ht="20.100000000000001" customHeight="1">
      <c r="A19" s="68"/>
      <c r="B19" s="107"/>
      <c r="C19" s="557" t="s">
        <v>73</v>
      </c>
      <c r="D19" s="10">
        <v>460.96</v>
      </c>
      <c r="E19" s="1085">
        <v>469.39</v>
      </c>
      <c r="F19" s="629"/>
      <c r="G19" s="10">
        <v>277.02</v>
      </c>
      <c r="H19" s="1085">
        <v>375.28</v>
      </c>
      <c r="I19" s="629"/>
      <c r="J19" s="10">
        <v>345.5</v>
      </c>
      <c r="K19" s="1085">
        <v>492.45</v>
      </c>
      <c r="L19" s="629"/>
      <c r="M19" s="10">
        <v>281.75</v>
      </c>
      <c r="N19" s="1085">
        <v>438.25</v>
      </c>
      <c r="O19" s="629"/>
      <c r="P19" s="10">
        <v>280.75</v>
      </c>
      <c r="Q19" s="245">
        <v>362.29</v>
      </c>
      <c r="S19" s="111"/>
      <c r="T19" s="65"/>
      <c r="U19" s="56"/>
      <c r="V19" s="632"/>
      <c r="W19" s="632"/>
      <c r="X19" s="632"/>
      <c r="Y19" s="632"/>
    </row>
    <row r="20" spans="1:25" ht="20.100000000000001" customHeight="1">
      <c r="A20" s="68"/>
      <c r="B20" s="107"/>
      <c r="C20" s="557" t="s">
        <v>74</v>
      </c>
      <c r="D20" s="194">
        <v>455.2</v>
      </c>
      <c r="E20" s="246">
        <v>479.32</v>
      </c>
      <c r="F20" s="629"/>
      <c r="G20" s="194">
        <v>275.25</v>
      </c>
      <c r="H20" s="246">
        <v>378.98</v>
      </c>
      <c r="I20" s="629"/>
      <c r="J20" s="194">
        <v>340.5</v>
      </c>
      <c r="K20" s="246">
        <v>477.75</v>
      </c>
      <c r="L20" s="629"/>
      <c r="M20" s="194">
        <v>290</v>
      </c>
      <c r="N20" s="246">
        <v>446.15</v>
      </c>
      <c r="O20" s="629"/>
      <c r="P20" s="194">
        <v>285</v>
      </c>
      <c r="Q20" s="246">
        <v>364.55</v>
      </c>
      <c r="S20" s="111"/>
      <c r="T20" s="65"/>
      <c r="U20" s="56"/>
    </row>
    <row r="21" spans="1:25" ht="20.100000000000001" customHeight="1">
      <c r="A21" s="68"/>
      <c r="B21" s="107"/>
      <c r="C21" s="558" t="s">
        <v>75</v>
      </c>
      <c r="D21" s="327">
        <f t="shared" ref="D21:J21" si="0">AVERAGE(D9:D20)</f>
        <v>418.60833333333335</v>
      </c>
      <c r="E21" s="327">
        <f t="shared" si="0"/>
        <v>454.03666666666663</v>
      </c>
      <c r="F21" s="328">
        <f t="shared" si="0"/>
        <v>491.31</v>
      </c>
      <c r="G21" s="327">
        <f t="shared" si="0"/>
        <v>252.39666666666665</v>
      </c>
      <c r="H21" s="327">
        <f t="shared" si="0"/>
        <v>322.3075</v>
      </c>
      <c r="I21" s="328">
        <f t="shared" si="0"/>
        <v>389.07</v>
      </c>
      <c r="J21" s="327">
        <f t="shared" si="0"/>
        <v>316.69833333333332</v>
      </c>
      <c r="K21" s="327">
        <f>AVERAGE(K17:K20)</f>
        <v>492.2525</v>
      </c>
      <c r="L21" s="328">
        <f t="shared" ref="L21:R21" si="1">AVERAGE(L9:L20)</f>
        <v>482</v>
      </c>
      <c r="M21" s="327">
        <f t="shared" si="1"/>
        <v>266.99333333333334</v>
      </c>
      <c r="N21" s="327">
        <f t="shared" si="1"/>
        <v>337.16666666666663</v>
      </c>
      <c r="O21" s="328">
        <f t="shared" si="1"/>
        <v>465.25</v>
      </c>
      <c r="P21" s="327">
        <f t="shared" si="1"/>
        <v>258.85083333333336</v>
      </c>
      <c r="Q21" s="327">
        <f t="shared" si="1"/>
        <v>312.03000000000003</v>
      </c>
      <c r="R21" s="327">
        <f t="shared" si="1"/>
        <v>372.7</v>
      </c>
      <c r="S21" s="111"/>
      <c r="T21" s="65"/>
      <c r="U21" s="56"/>
    </row>
    <row r="22" spans="1:25" ht="20.100000000000001" customHeight="1">
      <c r="A22" s="68"/>
      <c r="B22" s="125"/>
      <c r="C22" s="1088" t="s">
        <v>525</v>
      </c>
      <c r="D22" s="329"/>
      <c r="E22" s="329"/>
      <c r="F22" s="329"/>
      <c r="G22" s="329"/>
      <c r="H22" s="329"/>
      <c r="I22" s="329"/>
      <c r="J22" s="330"/>
      <c r="K22" s="330"/>
      <c r="L22" s="329"/>
      <c r="M22" s="330"/>
      <c r="N22" s="330"/>
      <c r="O22" s="329"/>
      <c r="P22" s="330"/>
      <c r="Q22" s="330"/>
      <c r="R22" s="329"/>
      <c r="S22" s="137"/>
      <c r="T22" s="65"/>
      <c r="U22" s="56"/>
    </row>
    <row r="23" spans="1:25" ht="20.100000000000001" customHeight="1">
      <c r="A23" s="68"/>
      <c r="B23" s="195"/>
      <c r="C23" s="1089" t="s">
        <v>364</v>
      </c>
      <c r="D23" s="331"/>
      <c r="E23" s="331"/>
      <c r="F23" s="331"/>
      <c r="G23" s="331"/>
      <c r="H23" s="331"/>
      <c r="I23" s="331"/>
      <c r="J23" s="332"/>
      <c r="K23" s="332"/>
      <c r="L23" s="331"/>
      <c r="M23" s="332"/>
      <c r="N23" s="332"/>
      <c r="O23" s="331"/>
      <c r="P23" s="332"/>
      <c r="Q23" s="332"/>
      <c r="R23" s="331"/>
      <c r="S23" s="196"/>
      <c r="T23" s="65"/>
      <c r="U23" s="56"/>
    </row>
    <row r="24" spans="1:25" ht="18" customHeight="1">
      <c r="A24" s="65"/>
      <c r="B24" s="140"/>
      <c r="C24" s="140"/>
      <c r="D24" s="140"/>
      <c r="E24" s="140"/>
      <c r="F24" s="140"/>
      <c r="G24" s="140"/>
      <c r="H24" s="140"/>
      <c r="I24" s="140"/>
      <c r="J24" s="140"/>
      <c r="K24" s="140"/>
      <c r="L24" s="140"/>
      <c r="M24" s="140"/>
      <c r="N24" s="140"/>
      <c r="O24" s="140"/>
      <c r="P24" s="140"/>
      <c r="Q24" s="140"/>
      <c r="R24" s="140"/>
      <c r="S24" s="140"/>
      <c r="T24" s="65"/>
      <c r="U24" s="56"/>
    </row>
    <row r="25" spans="1:25" ht="15">
      <c r="U25" s="56"/>
    </row>
    <row r="26" spans="1:25">
      <c r="K26" s="632"/>
      <c r="L26" s="632"/>
      <c r="M26" s="632"/>
      <c r="N26" s="632"/>
      <c r="O26" s="632"/>
    </row>
  </sheetData>
  <mergeCells count="12">
    <mergeCell ref="A1:T1"/>
    <mergeCell ref="D6:F6"/>
    <mergeCell ref="D7:F7"/>
    <mergeCell ref="D8:F8"/>
    <mergeCell ref="G8:I8"/>
    <mergeCell ref="B2:S2"/>
    <mergeCell ref="G7:I7"/>
    <mergeCell ref="J8:L8"/>
    <mergeCell ref="M8:O8"/>
    <mergeCell ref="P8:R8"/>
    <mergeCell ref="C3:R3"/>
    <mergeCell ref="C5:C8"/>
  </mergeCells>
  <printOptions horizontalCentered="1" verticalCentered="1"/>
  <pageMargins left="0.51181102362204722" right="0.51181102362204722" top="0.78740157480314965" bottom="0.78740157480314965" header="0.31496062992125984" footer="0.31496062992125984"/>
  <pageSetup paperSize="9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dimension ref="A1:M32"/>
  <sheetViews>
    <sheetView workbookViewId="0">
      <selection sqref="A1:K1"/>
    </sheetView>
  </sheetViews>
  <sheetFormatPr defaultRowHeight="12.75"/>
  <cols>
    <col min="1" max="1" width="3.28515625" customWidth="1"/>
    <col min="2" max="2" width="5.7109375" customWidth="1"/>
    <col min="3" max="3" width="12.28515625" customWidth="1"/>
    <col min="4" max="4" width="44.5703125" customWidth="1"/>
    <col min="5" max="5" width="14.7109375" customWidth="1"/>
    <col min="6" max="6" width="9.7109375" customWidth="1"/>
    <col min="7" max="7" width="14.7109375" customWidth="1"/>
    <col min="8" max="8" width="9.7109375" customWidth="1"/>
    <col min="9" max="9" width="13.42578125" customWidth="1"/>
    <col min="10" max="10" width="5.7109375" customWidth="1"/>
    <col min="11" max="11" width="3.5703125" customWidth="1"/>
  </cols>
  <sheetData>
    <row r="1" spans="1:13" ht="15" customHeight="1">
      <c r="A1" s="1152" t="s">
        <v>471</v>
      </c>
      <c r="B1" s="1152"/>
      <c r="C1" s="1152"/>
      <c r="D1" s="1152"/>
      <c r="E1" s="1152"/>
      <c r="F1" s="1152"/>
      <c r="G1" s="1152"/>
      <c r="H1" s="1152"/>
      <c r="I1" s="1152"/>
      <c r="J1" s="1152"/>
      <c r="K1" s="1152"/>
    </row>
    <row r="2" spans="1:13" ht="18" customHeight="1">
      <c r="A2" s="66"/>
      <c r="B2" s="312"/>
      <c r="C2" s="428"/>
      <c r="D2" s="428"/>
      <c r="E2" s="428"/>
      <c r="F2" s="428"/>
      <c r="G2" s="428"/>
      <c r="H2" s="428"/>
      <c r="I2" s="428"/>
      <c r="J2" s="313"/>
      <c r="K2" s="65"/>
    </row>
    <row r="3" spans="1:13" ht="18" customHeight="1">
      <c r="A3" s="66"/>
      <c r="B3" s="1206" t="s">
        <v>76</v>
      </c>
      <c r="C3" s="1207"/>
      <c r="D3" s="1207"/>
      <c r="E3" s="1207"/>
      <c r="F3" s="1207"/>
      <c r="G3" s="1207"/>
      <c r="H3" s="1207"/>
      <c r="I3" s="1207"/>
      <c r="J3" s="1208"/>
      <c r="K3" s="65"/>
    </row>
    <row r="4" spans="1:13" ht="18" customHeight="1">
      <c r="A4" s="66"/>
      <c r="B4" s="1206" t="s">
        <v>529</v>
      </c>
      <c r="C4" s="1207"/>
      <c r="D4" s="1207"/>
      <c r="E4" s="1207"/>
      <c r="F4" s="1207"/>
      <c r="G4" s="1207"/>
      <c r="H4" s="1207"/>
      <c r="I4" s="1207"/>
      <c r="J4" s="1208"/>
      <c r="K4" s="65"/>
    </row>
    <row r="5" spans="1:13" ht="18" customHeight="1">
      <c r="A5" s="66"/>
      <c r="B5" s="423"/>
      <c r="C5" s="1209" t="s">
        <v>77</v>
      </c>
      <c r="D5" s="1210"/>
      <c r="E5" s="1213" t="s">
        <v>528</v>
      </c>
      <c r="F5" s="1214"/>
      <c r="G5" s="1213" t="s">
        <v>204</v>
      </c>
      <c r="H5" s="1214"/>
      <c r="I5" s="1215" t="s">
        <v>78</v>
      </c>
      <c r="J5" s="138"/>
      <c r="K5" s="65"/>
    </row>
    <row r="6" spans="1:13" ht="18" customHeight="1">
      <c r="A6" s="66"/>
      <c r="B6" s="423"/>
      <c r="C6" s="1211"/>
      <c r="D6" s="1212"/>
      <c r="E6" s="12" t="s">
        <v>79</v>
      </c>
      <c r="F6" s="12" t="s">
        <v>80</v>
      </c>
      <c r="G6" s="12" t="s">
        <v>81</v>
      </c>
      <c r="H6" s="11" t="s">
        <v>80</v>
      </c>
      <c r="I6" s="1216"/>
      <c r="J6" s="138"/>
      <c r="K6" s="65"/>
    </row>
    <row r="7" spans="1:13" ht="15" customHeight="1">
      <c r="A7" s="66"/>
      <c r="B7" s="315"/>
      <c r="C7" s="424" t="s">
        <v>20</v>
      </c>
      <c r="D7" s="182"/>
      <c r="E7" s="619">
        <v>27957062</v>
      </c>
      <c r="F7" s="186">
        <f t="shared" ref="F7:F30" si="0">E7/$E$30</f>
        <v>0.31688684039890319</v>
      </c>
      <c r="G7" s="189">
        <v>31403497</v>
      </c>
      <c r="H7" s="186">
        <f t="shared" ref="H7:H30" si="1">G7/$G$30</f>
        <v>0.32459105745168726</v>
      </c>
      <c r="I7" s="561">
        <f>(E7/G7-1)*100</f>
        <v>-10.974685398890449</v>
      </c>
      <c r="J7" s="138"/>
      <c r="K7" s="65"/>
    </row>
    <row r="8" spans="1:13" ht="15" customHeight="1">
      <c r="A8" s="66"/>
      <c r="B8" s="315"/>
      <c r="C8" s="424" t="s">
        <v>82</v>
      </c>
      <c r="D8" s="183"/>
      <c r="E8" s="620">
        <v>14724197</v>
      </c>
      <c r="F8" s="187">
        <f t="shared" si="0"/>
        <v>0.16689537207954858</v>
      </c>
      <c r="G8" s="190">
        <v>17429297</v>
      </c>
      <c r="H8" s="187">
        <f t="shared" si="1"/>
        <v>0.18015171825830481</v>
      </c>
      <c r="I8" s="561">
        <f t="shared" ref="I8:I29" si="2">(E8/G8-1)*100</f>
        <v>-15.520419440898847</v>
      </c>
      <c r="J8" s="138"/>
      <c r="K8" s="65"/>
    </row>
    <row r="9" spans="1:13" ht="15" customHeight="1">
      <c r="A9" s="66"/>
      <c r="B9" s="315"/>
      <c r="C9" s="424" t="s">
        <v>83</v>
      </c>
      <c r="D9" s="183"/>
      <c r="E9" s="620">
        <v>8532375</v>
      </c>
      <c r="F9" s="187">
        <f t="shared" si="0"/>
        <v>9.671249986313267E-2</v>
      </c>
      <c r="G9" s="190">
        <v>10366872</v>
      </c>
      <c r="H9" s="187">
        <f t="shared" si="1"/>
        <v>0.10715347863794557</v>
      </c>
      <c r="I9" s="561">
        <f t="shared" si="2"/>
        <v>-17.695762038925533</v>
      </c>
      <c r="J9" s="138"/>
      <c r="K9" s="65"/>
    </row>
    <row r="10" spans="1:13" ht="15" customHeight="1">
      <c r="A10" s="66"/>
      <c r="B10" s="315"/>
      <c r="C10" s="424" t="s">
        <v>84</v>
      </c>
      <c r="D10" s="183"/>
      <c r="E10" s="620">
        <v>10333743</v>
      </c>
      <c r="F10" s="187">
        <f t="shared" si="0"/>
        <v>0.11713059007288687</v>
      </c>
      <c r="G10" s="190">
        <v>9950706</v>
      </c>
      <c r="H10" s="187">
        <f t="shared" si="1"/>
        <v>0.10285192706184439</v>
      </c>
      <c r="I10" s="561">
        <f t="shared" si="2"/>
        <v>3.8493449610510044</v>
      </c>
      <c r="J10" s="138"/>
      <c r="K10" s="65"/>
    </row>
    <row r="11" spans="1:13" ht="15" customHeight="1">
      <c r="A11" s="66"/>
      <c r="B11" s="315"/>
      <c r="C11" s="425" t="s">
        <v>85</v>
      </c>
      <c r="D11" s="184"/>
      <c r="E11" s="621">
        <f>E12+E13+E14+E15+E16</f>
        <v>6158740</v>
      </c>
      <c r="F11" s="188">
        <f t="shared" si="0"/>
        <v>6.9807895387517499E-2</v>
      </c>
      <c r="G11" s="621">
        <v>6661872</v>
      </c>
      <c r="H11" s="188">
        <f t="shared" si="1"/>
        <v>6.8858066255735359E-2</v>
      </c>
      <c r="I11" s="561">
        <f t="shared" si="2"/>
        <v>-7.5524116944906794</v>
      </c>
      <c r="J11" s="138"/>
      <c r="K11" s="65"/>
    </row>
    <row r="12" spans="1:13" ht="15" customHeight="1">
      <c r="A12" s="66"/>
      <c r="B12" s="315"/>
      <c r="C12" s="425"/>
      <c r="D12" s="184" t="s">
        <v>86</v>
      </c>
      <c r="E12" s="621">
        <v>5555415</v>
      </c>
      <c r="F12" s="188">
        <f t="shared" si="0"/>
        <v>6.296934586526555E-2</v>
      </c>
      <c r="G12" s="564">
        <v>6041101</v>
      </c>
      <c r="H12" s="188">
        <f t="shared" si="1"/>
        <v>6.2441687999347503E-2</v>
      </c>
      <c r="I12" s="561">
        <f t="shared" si="2"/>
        <v>-8.0396934267445648</v>
      </c>
      <c r="J12" s="138"/>
      <c r="K12" s="65"/>
    </row>
    <row r="13" spans="1:13" ht="15" customHeight="1">
      <c r="A13" s="66"/>
      <c r="B13" s="315"/>
      <c r="C13" s="425"/>
      <c r="D13" s="184" t="s">
        <v>87</v>
      </c>
      <c r="E13" s="621">
        <v>556404</v>
      </c>
      <c r="F13" s="188">
        <f t="shared" si="0"/>
        <v>6.3067108248109661E-3</v>
      </c>
      <c r="G13" s="564">
        <v>563324</v>
      </c>
      <c r="H13" s="188">
        <f t="shared" si="1"/>
        <v>5.8225978096615883E-3</v>
      </c>
      <c r="I13" s="561">
        <f t="shared" si="2"/>
        <v>-1.2284227194296671</v>
      </c>
      <c r="J13" s="138"/>
      <c r="K13" s="65"/>
    </row>
    <row r="14" spans="1:13" ht="15" customHeight="1">
      <c r="A14" s="66"/>
      <c r="B14" s="315"/>
      <c r="C14" s="425"/>
      <c r="D14" s="184" t="s">
        <v>88</v>
      </c>
      <c r="E14" s="621">
        <v>10079</v>
      </c>
      <c r="F14" s="188">
        <f t="shared" si="0"/>
        <v>1.1424313700704835E-4</v>
      </c>
      <c r="G14" s="564">
        <v>11603</v>
      </c>
      <c r="H14" s="188">
        <f t="shared" si="1"/>
        <v>1.199302752687679E-4</v>
      </c>
      <c r="I14" s="561">
        <f t="shared" si="2"/>
        <v>-13.134534172196844</v>
      </c>
      <c r="J14" s="138"/>
      <c r="K14" s="65"/>
      <c r="M14" s="560"/>
    </row>
    <row r="15" spans="1:13" ht="15" customHeight="1">
      <c r="A15" s="66"/>
      <c r="B15" s="315"/>
      <c r="C15" s="425"/>
      <c r="D15" s="184" t="s">
        <v>89</v>
      </c>
      <c r="E15" s="621">
        <v>36754</v>
      </c>
      <c r="F15" s="188">
        <f t="shared" si="0"/>
        <v>4.1659810075970381E-4</v>
      </c>
      <c r="G15" s="564">
        <v>45830</v>
      </c>
      <c r="H15" s="188">
        <f t="shared" si="1"/>
        <v>4.7370546544580136E-4</v>
      </c>
      <c r="I15" s="561">
        <f t="shared" si="2"/>
        <v>-19.80362208160593</v>
      </c>
      <c r="J15" s="138"/>
      <c r="K15" s="65"/>
    </row>
    <row r="16" spans="1:13" ht="15" customHeight="1">
      <c r="A16" s="66"/>
      <c r="B16" s="315"/>
      <c r="C16" s="425"/>
      <c r="D16" s="184" t="s">
        <v>90</v>
      </c>
      <c r="E16" s="621">
        <v>88</v>
      </c>
      <c r="F16" s="188">
        <f t="shared" si="0"/>
        <v>9.9745967423556454E-7</v>
      </c>
      <c r="G16" s="564">
        <v>15</v>
      </c>
      <c r="H16" s="188">
        <f t="shared" si="1"/>
        <v>1.5504215539356361E-7</v>
      </c>
      <c r="I16" s="561">
        <f t="shared" si="2"/>
        <v>486.66666666666663</v>
      </c>
      <c r="J16" s="138"/>
      <c r="K16" s="65"/>
    </row>
    <row r="17" spans="1:11" ht="15" customHeight="1">
      <c r="A17" s="66"/>
      <c r="B17" s="315"/>
      <c r="C17" s="424" t="s">
        <v>91</v>
      </c>
      <c r="D17" s="183"/>
      <c r="E17" s="620">
        <v>5878405</v>
      </c>
      <c r="F17" s="187">
        <f t="shared" si="0"/>
        <v>6.6630362912780836E-2</v>
      </c>
      <c r="G17" s="190">
        <v>4641435</v>
      </c>
      <c r="H17" s="187">
        <f t="shared" si="1"/>
        <v>4.7974539101274992E-2</v>
      </c>
      <c r="I17" s="561">
        <f t="shared" si="2"/>
        <v>26.65059405119321</v>
      </c>
      <c r="J17" s="138"/>
      <c r="K17" s="65"/>
    </row>
    <row r="18" spans="1:11" ht="15" customHeight="1">
      <c r="A18" s="66"/>
      <c r="B18" s="315"/>
      <c r="C18" s="424" t="s">
        <v>92</v>
      </c>
      <c r="D18" s="183"/>
      <c r="E18" s="620">
        <v>2713224</v>
      </c>
      <c r="F18" s="187">
        <f t="shared" si="0"/>
        <v>3.0753767354183129E-2</v>
      </c>
      <c r="G18" s="190">
        <v>3449009</v>
      </c>
      <c r="H18" s="187">
        <f t="shared" si="1"/>
        <v>3.5649452622119965E-2</v>
      </c>
      <c r="I18" s="561">
        <f t="shared" si="2"/>
        <v>-21.333229342109572</v>
      </c>
      <c r="J18" s="138"/>
      <c r="K18" s="65"/>
    </row>
    <row r="19" spans="1:11" ht="15" customHeight="1">
      <c r="A19" s="66"/>
      <c r="B19" s="315"/>
      <c r="C19" s="424" t="s">
        <v>93</v>
      </c>
      <c r="D19" s="183"/>
      <c r="E19" s="620">
        <v>2186217</v>
      </c>
      <c r="F19" s="187">
        <f t="shared" si="0"/>
        <v>2.4780264734411965E-2</v>
      </c>
      <c r="G19" s="190">
        <v>2501868</v>
      </c>
      <c r="H19" s="187">
        <f t="shared" si="1"/>
        <v>2.5859667148678947E-2</v>
      </c>
      <c r="I19" s="561">
        <f t="shared" si="2"/>
        <v>-12.616612866865873</v>
      </c>
      <c r="J19" s="138"/>
      <c r="K19" s="65"/>
    </row>
    <row r="20" spans="1:11" ht="15" customHeight="1">
      <c r="A20" s="66"/>
      <c r="B20" s="315"/>
      <c r="C20" s="424" t="s">
        <v>94</v>
      </c>
      <c r="D20" s="183"/>
      <c r="E20" s="620">
        <v>2050442</v>
      </c>
      <c r="F20" s="187">
        <f t="shared" si="0"/>
        <v>2.3241286469987719E-2</v>
      </c>
      <c r="G20" s="190">
        <v>2168269</v>
      </c>
      <c r="H20" s="187">
        <f t="shared" si="1"/>
        <v>2.2411539948869786E-2</v>
      </c>
      <c r="I20" s="561">
        <f t="shared" si="2"/>
        <v>-5.4341504674927377</v>
      </c>
      <c r="J20" s="138"/>
      <c r="K20" s="65"/>
    </row>
    <row r="21" spans="1:11" ht="15" customHeight="1">
      <c r="A21" s="66"/>
      <c r="B21" s="315"/>
      <c r="C21" s="424" t="s">
        <v>95</v>
      </c>
      <c r="D21" s="183"/>
      <c r="E21" s="620">
        <v>1776262</v>
      </c>
      <c r="F21" s="187">
        <f t="shared" si="0"/>
        <v>2.0133519498602412E-2</v>
      </c>
      <c r="G21" s="190">
        <v>1841766</v>
      </c>
      <c r="H21" s="187">
        <f t="shared" si="1"/>
        <v>1.9036758024705471E-2</v>
      </c>
      <c r="I21" s="561">
        <f t="shared" si="2"/>
        <v>-3.5565864501788003</v>
      </c>
      <c r="J21" s="138"/>
      <c r="K21" s="65"/>
    </row>
    <row r="22" spans="1:11" ht="15" customHeight="1">
      <c r="A22" s="66"/>
      <c r="B22" s="315"/>
      <c r="C22" s="424" t="s">
        <v>96</v>
      </c>
      <c r="D22" s="183"/>
      <c r="E22" s="620">
        <v>888817</v>
      </c>
      <c r="F22" s="187">
        <f t="shared" si="0"/>
        <v>1.0074535400852633E-2</v>
      </c>
      <c r="G22" s="190">
        <v>841296</v>
      </c>
      <c r="H22" s="187">
        <f t="shared" si="1"/>
        <v>8.6957563442655664E-3</v>
      </c>
      <c r="I22" s="561">
        <f t="shared" si="2"/>
        <v>5.6485470036705232</v>
      </c>
      <c r="J22" s="138"/>
      <c r="K22" s="65"/>
    </row>
    <row r="23" spans="1:11" ht="15" customHeight="1">
      <c r="A23" s="66"/>
      <c r="B23" s="426"/>
      <c r="C23" s="424" t="s">
        <v>97</v>
      </c>
      <c r="D23" s="183"/>
      <c r="E23" s="620">
        <v>278158</v>
      </c>
      <c r="F23" s="187">
        <f t="shared" si="0"/>
        <v>3.1528566825683654E-3</v>
      </c>
      <c r="G23" s="190">
        <v>742199</v>
      </c>
      <c r="H23" s="187">
        <f t="shared" si="1"/>
        <v>7.6714755127298339E-3</v>
      </c>
      <c r="I23" s="561">
        <f t="shared" si="2"/>
        <v>-62.522450178456189</v>
      </c>
      <c r="J23" s="138"/>
      <c r="K23" s="65"/>
    </row>
    <row r="24" spans="1:11" ht="15" customHeight="1">
      <c r="A24" s="66"/>
      <c r="B24" s="426"/>
      <c r="C24" s="424" t="s">
        <v>98</v>
      </c>
      <c r="D24" s="183"/>
      <c r="E24" s="622">
        <v>480905</v>
      </c>
      <c r="F24" s="187">
        <f>E25/$E$30</f>
        <v>4.8084470507259707E-3</v>
      </c>
      <c r="G24" s="190">
        <v>485415</v>
      </c>
      <c r="H24" s="187">
        <f t="shared" si="1"/>
        <v>5.0173191906911115E-3</v>
      </c>
      <c r="I24" s="561">
        <f t="shared" si="2"/>
        <v>-0.92910190249579916</v>
      </c>
      <c r="J24" s="138"/>
      <c r="K24" s="65"/>
    </row>
    <row r="25" spans="1:11" ht="15" customHeight="1">
      <c r="A25" s="66"/>
      <c r="B25" s="146"/>
      <c r="C25" s="424" t="s">
        <v>99</v>
      </c>
      <c r="D25" s="183"/>
      <c r="E25" s="620">
        <v>424221</v>
      </c>
      <c r="F25" s="187">
        <f>E26/$E$30</f>
        <v>3.6178995861426465E-3</v>
      </c>
      <c r="G25" s="190">
        <v>428043</v>
      </c>
      <c r="H25" s="187">
        <f t="shared" si="1"/>
        <v>4.4243139547418099E-3</v>
      </c>
      <c r="I25" s="561">
        <f t="shared" si="2"/>
        <v>-0.892900946867492</v>
      </c>
      <c r="J25" s="138"/>
      <c r="K25" s="65"/>
    </row>
    <row r="26" spans="1:11" ht="15" customHeight="1">
      <c r="A26" s="65"/>
      <c r="B26" s="180"/>
      <c r="C26" s="424" t="s">
        <v>100</v>
      </c>
      <c r="D26" s="183"/>
      <c r="E26" s="620">
        <v>319186</v>
      </c>
      <c r="F26" s="187">
        <f t="shared" si="0"/>
        <v>3.6178995861426465E-3</v>
      </c>
      <c r="G26" s="190">
        <v>345407</v>
      </c>
      <c r="H26" s="187">
        <f t="shared" si="1"/>
        <v>3.570176384534975E-3</v>
      </c>
      <c r="I26" s="561">
        <f t="shared" si="2"/>
        <v>-7.5913342810076223</v>
      </c>
      <c r="J26" s="138"/>
      <c r="K26" s="65"/>
    </row>
    <row r="27" spans="1:11" ht="15" customHeight="1">
      <c r="A27" s="65"/>
      <c r="B27" s="180"/>
      <c r="C27" s="424" t="s">
        <v>101</v>
      </c>
      <c r="D27" s="183"/>
      <c r="E27" s="620">
        <v>374780</v>
      </c>
      <c r="F27" s="187">
        <f t="shared" si="0"/>
        <v>4.2480447353409646E-3</v>
      </c>
      <c r="G27" s="190">
        <v>337424</v>
      </c>
      <c r="H27" s="187">
        <f t="shared" si="1"/>
        <v>3.4876629494345205E-3</v>
      </c>
      <c r="I27" s="561">
        <f t="shared" si="2"/>
        <v>11.070937455545549</v>
      </c>
      <c r="J27" s="138"/>
      <c r="K27" s="65"/>
    </row>
    <row r="28" spans="1:11" ht="15" customHeight="1">
      <c r="A28" s="65"/>
      <c r="B28" s="180"/>
      <c r="C28" s="424" t="s">
        <v>102</v>
      </c>
      <c r="D28" s="183"/>
      <c r="E28" s="620">
        <v>220162</v>
      </c>
      <c r="F28" s="187">
        <f t="shared" si="0"/>
        <v>2.4954854181710269E-3</v>
      </c>
      <c r="G28" s="190">
        <v>207219</v>
      </c>
      <c r="H28" s="187">
        <f t="shared" si="1"/>
        <v>2.141845359899924E-3</v>
      </c>
      <c r="I28" s="561">
        <f t="shared" si="2"/>
        <v>6.246048866175391</v>
      </c>
      <c r="J28" s="138"/>
      <c r="K28" s="65"/>
    </row>
    <row r="29" spans="1:11" ht="15" customHeight="1">
      <c r="A29" s="65"/>
      <c r="B29" s="180"/>
      <c r="C29" s="424" t="s">
        <v>103</v>
      </c>
      <c r="D29" s="185"/>
      <c r="E29" s="191">
        <f>E30-SUM(E7:E11,E17:E28)</f>
        <v>2927222</v>
      </c>
      <c r="F29" s="352">
        <f t="shared" si="0"/>
        <v>3.3179385256081564E-2</v>
      </c>
      <c r="G29" s="191">
        <f>G30-SUM(G7:G11,G17:G28)</f>
        <v>2946287</v>
      </c>
      <c r="H29" s="187">
        <f t="shared" si="1"/>
        <v>3.0453245792535756E-2</v>
      </c>
      <c r="I29" s="561">
        <f t="shared" si="2"/>
        <v>-0.64708563693897103</v>
      </c>
      <c r="J29" s="138"/>
      <c r="K29" s="65"/>
    </row>
    <row r="30" spans="1:11" ht="15" customHeight="1">
      <c r="A30" s="65"/>
      <c r="B30" s="180"/>
      <c r="C30" s="13" t="s">
        <v>104</v>
      </c>
      <c r="D30" s="14"/>
      <c r="E30" s="15">
        <v>88224118</v>
      </c>
      <c r="F30" s="1128">
        <f t="shared" si="0"/>
        <v>1</v>
      </c>
      <c r="G30" s="15">
        <v>96747881</v>
      </c>
      <c r="H30" s="1129">
        <f t="shared" si="1"/>
        <v>1</v>
      </c>
      <c r="I30" s="1130">
        <f t="shared" ref="I30" si="3">(E30/G30-1)*100</f>
        <v>-8.8102839172260481</v>
      </c>
      <c r="J30" s="138"/>
      <c r="K30" s="65"/>
    </row>
    <row r="31" spans="1:11" ht="15" customHeight="1">
      <c r="A31" s="65"/>
      <c r="B31" s="119"/>
      <c r="C31" s="1205" t="s">
        <v>105</v>
      </c>
      <c r="D31" s="1205"/>
      <c r="E31" s="1205"/>
      <c r="F31" s="1205"/>
      <c r="G31" s="181"/>
      <c r="H31" s="181"/>
      <c r="I31" s="181"/>
      <c r="J31" s="139"/>
      <c r="K31" s="65"/>
    </row>
    <row r="32" spans="1:11" ht="15" customHeight="1">
      <c r="A32" s="65"/>
      <c r="B32" s="65"/>
      <c r="C32" s="65"/>
      <c r="D32" s="65"/>
      <c r="E32" s="65"/>
      <c r="F32" s="65"/>
      <c r="G32" s="65"/>
      <c r="H32" s="65"/>
      <c r="I32" s="65"/>
      <c r="J32" s="65"/>
      <c r="K32" s="65"/>
    </row>
  </sheetData>
  <mergeCells count="8">
    <mergeCell ref="A1:K1"/>
    <mergeCell ref="C31:F31"/>
    <mergeCell ref="B3:J3"/>
    <mergeCell ref="B4:J4"/>
    <mergeCell ref="C5:D6"/>
    <mergeCell ref="E5:F5"/>
    <mergeCell ref="G5:H5"/>
    <mergeCell ref="I5:I6"/>
  </mergeCells>
  <conditionalFormatting sqref="I7:I30">
    <cfRule type="cellIs" dxfId="1" priority="7" stopIfTrue="1" operator="lessThan">
      <formula>0</formula>
    </cfRule>
  </conditionalFormatting>
  <hyperlinks>
    <hyperlink ref="D31:F31" r:id="rId1" display="Fonte: AgroStat Brasil a partir de dados da SECEX/MDIC"/>
  </hyperlinks>
  <printOptions horizontalCentered="1" verticalCentered="1"/>
  <pageMargins left="0.51181102362204722" right="0.51181102362204722" top="0.78740157480314965" bottom="0.78740157480314965" header="0.31496062992125984" footer="0.31496062992125984"/>
  <pageSetup paperSize="9" orientation="landscape" r:id="rId2"/>
  <drawing r:id="rId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M32"/>
  <sheetViews>
    <sheetView workbookViewId="0">
      <selection activeCell="O26" sqref="O26"/>
    </sheetView>
  </sheetViews>
  <sheetFormatPr defaultRowHeight="12.75"/>
  <cols>
    <col min="1" max="1" width="2.7109375" customWidth="1"/>
    <col min="2" max="2" width="5.7109375" customWidth="1"/>
    <col min="3" max="3" width="12.28515625" customWidth="1"/>
    <col min="4" max="4" width="44.5703125" customWidth="1"/>
    <col min="5" max="5" width="14.7109375" customWidth="1"/>
    <col min="6" max="6" width="9.7109375" customWidth="1"/>
    <col min="7" max="7" width="14.7109375" customWidth="1"/>
    <col min="8" max="8" width="9.7109375" customWidth="1"/>
    <col min="9" max="9" width="13.42578125" customWidth="1"/>
    <col min="10" max="10" width="5.7109375" customWidth="1"/>
    <col min="11" max="11" width="2.7109375" customWidth="1"/>
    <col min="13" max="13" width="10.42578125" bestFit="1" customWidth="1"/>
  </cols>
  <sheetData>
    <row r="1" spans="1:13" ht="15" customHeight="1">
      <c r="A1" s="1152" t="s">
        <v>470</v>
      </c>
      <c r="B1" s="1152"/>
      <c r="C1" s="1152"/>
      <c r="D1" s="1152"/>
      <c r="E1" s="1152"/>
      <c r="F1" s="1152"/>
      <c r="G1" s="1152"/>
      <c r="H1" s="1152"/>
      <c r="I1" s="1152"/>
      <c r="J1" s="1152"/>
      <c r="K1" s="1152"/>
    </row>
    <row r="2" spans="1:13" ht="18" customHeight="1">
      <c r="A2" s="66"/>
      <c r="B2" s="1217"/>
      <c r="C2" s="1218"/>
      <c r="D2" s="1218"/>
      <c r="E2" s="1218"/>
      <c r="F2" s="1218"/>
      <c r="G2" s="1218"/>
      <c r="H2" s="1218"/>
      <c r="I2" s="1218"/>
      <c r="J2" s="1219"/>
      <c r="K2" s="65"/>
    </row>
    <row r="3" spans="1:13" ht="18" customHeight="1">
      <c r="A3" s="66"/>
      <c r="B3" s="1206" t="s">
        <v>76</v>
      </c>
      <c r="C3" s="1207"/>
      <c r="D3" s="1207"/>
      <c r="E3" s="1207"/>
      <c r="F3" s="1207"/>
      <c r="G3" s="1207"/>
      <c r="H3" s="1207"/>
      <c r="I3" s="1207"/>
      <c r="J3" s="1208"/>
      <c r="K3" s="65"/>
    </row>
    <row r="4" spans="1:13" ht="18" customHeight="1">
      <c r="A4" s="66"/>
      <c r="B4" s="1206" t="s">
        <v>530</v>
      </c>
      <c r="C4" s="1207"/>
      <c r="D4" s="1207"/>
      <c r="E4" s="1207"/>
      <c r="F4" s="1207"/>
      <c r="G4" s="1207"/>
      <c r="H4" s="1207"/>
      <c r="I4" s="1207"/>
      <c r="J4" s="1208"/>
      <c r="K4" s="65"/>
    </row>
    <row r="5" spans="1:13" ht="15" customHeight="1">
      <c r="A5" s="66"/>
      <c r="B5" s="423"/>
      <c r="C5" s="1209" t="s">
        <v>77</v>
      </c>
      <c r="D5" s="1210"/>
      <c r="E5" s="1213" t="s">
        <v>527</v>
      </c>
      <c r="F5" s="1214"/>
      <c r="G5" s="1213" t="s">
        <v>526</v>
      </c>
      <c r="H5" s="1214"/>
      <c r="I5" s="1215" t="s">
        <v>78</v>
      </c>
      <c r="J5" s="138"/>
      <c r="K5" s="65"/>
    </row>
    <row r="6" spans="1:13" ht="15" customHeight="1">
      <c r="A6" s="66"/>
      <c r="B6" s="423"/>
      <c r="C6" s="1211"/>
      <c r="D6" s="1212"/>
      <c r="E6" s="12" t="s">
        <v>79</v>
      </c>
      <c r="F6" s="11" t="s">
        <v>80</v>
      </c>
      <c r="G6" s="12" t="s">
        <v>81</v>
      </c>
      <c r="H6" s="12" t="s">
        <v>80</v>
      </c>
      <c r="I6" s="1216"/>
      <c r="J6" s="138"/>
      <c r="K6" s="65"/>
    </row>
    <row r="7" spans="1:13" ht="15" customHeight="1">
      <c r="A7" s="66"/>
      <c r="B7" s="315"/>
      <c r="C7" s="424" t="s">
        <v>20</v>
      </c>
      <c r="D7" s="182"/>
      <c r="E7" s="189">
        <v>621132.76800000004</v>
      </c>
      <c r="F7" s="186">
        <f>E7/$E$30</f>
        <v>0.12465110088982392</v>
      </c>
      <c r="G7" s="189">
        <v>1032525</v>
      </c>
      <c r="H7" s="1124">
        <f t="shared" ref="H7:H30" si="0">G7/$G$30</f>
        <v>0.18294484997468069</v>
      </c>
      <c r="I7" s="561">
        <f>(E7/G7-1)*100</f>
        <v>-39.843319241664844</v>
      </c>
      <c r="J7" s="138"/>
      <c r="K7" s="65"/>
    </row>
    <row r="8" spans="1:13" ht="15" customHeight="1">
      <c r="A8" s="66"/>
      <c r="B8" s="315"/>
      <c r="C8" s="424" t="s">
        <v>82</v>
      </c>
      <c r="D8" s="183"/>
      <c r="E8" s="190">
        <v>926762.978</v>
      </c>
      <c r="F8" s="187">
        <f>E8/$E$30</f>
        <v>0.18598604263562482</v>
      </c>
      <c r="G8" s="190">
        <v>925554</v>
      </c>
      <c r="H8" s="1125">
        <f t="shared" si="0"/>
        <v>0.16399151369067635</v>
      </c>
      <c r="I8" s="561">
        <f t="shared" ref="I8:I30" si="1">(E8/G8-1)*100</f>
        <v>0.13062209228202892</v>
      </c>
      <c r="J8" s="138"/>
      <c r="K8" s="65"/>
    </row>
    <row r="9" spans="1:13" ht="15" customHeight="1">
      <c r="A9" s="66"/>
      <c r="B9" s="315"/>
      <c r="C9" s="424" t="s">
        <v>83</v>
      </c>
      <c r="D9" s="183"/>
      <c r="E9" s="190">
        <v>489374.36900000001</v>
      </c>
      <c r="F9" s="187">
        <f t="shared" ref="F9:F30" si="2">E9/$E$30</f>
        <v>9.8209363578630124E-2</v>
      </c>
      <c r="G9" s="190">
        <v>763758</v>
      </c>
      <c r="H9" s="1125">
        <f t="shared" si="0"/>
        <v>0.13532417396863242</v>
      </c>
      <c r="I9" s="561">
        <f t="shared" si="1"/>
        <v>-35.92546736008002</v>
      </c>
      <c r="J9" s="138"/>
      <c r="K9" s="65"/>
      <c r="M9" s="349"/>
    </row>
    <row r="10" spans="1:13" ht="15" customHeight="1">
      <c r="A10" s="66"/>
      <c r="B10" s="315"/>
      <c r="C10" s="424" t="s">
        <v>84</v>
      </c>
      <c r="D10" s="183"/>
      <c r="E10" s="190">
        <v>808565.85699999996</v>
      </c>
      <c r="F10" s="187">
        <f t="shared" si="2"/>
        <v>0.16226583012437998</v>
      </c>
      <c r="G10" s="190">
        <v>749958</v>
      </c>
      <c r="H10" s="1125">
        <f t="shared" si="0"/>
        <v>0.13287906229612995</v>
      </c>
      <c r="I10" s="561">
        <f t="shared" si="1"/>
        <v>7.8148185631728762</v>
      </c>
      <c r="J10" s="138"/>
      <c r="K10" s="65"/>
      <c r="M10" s="349"/>
    </row>
    <row r="11" spans="1:13" ht="15" customHeight="1">
      <c r="A11" s="66"/>
      <c r="B11" s="315"/>
      <c r="C11" s="425" t="s">
        <v>85</v>
      </c>
      <c r="D11" s="184"/>
      <c r="E11" s="350">
        <f>SUM(E12+E13+E14+E15+E16)</f>
        <v>403561.34</v>
      </c>
      <c r="F11" s="187">
        <f t="shared" si="2"/>
        <v>8.0988104152915227E-2</v>
      </c>
      <c r="G11" s="350">
        <f>SUM(G12+G13+G14+G15+G16)</f>
        <v>589036.69999999995</v>
      </c>
      <c r="H11" s="1125">
        <f t="shared" si="0"/>
        <v>0.10436670367408149</v>
      </c>
      <c r="I11" s="561">
        <f t="shared" si="1"/>
        <v>-31.487912383048446</v>
      </c>
      <c r="J11" s="138"/>
      <c r="K11" s="65"/>
      <c r="M11" s="349"/>
    </row>
    <row r="12" spans="1:13" ht="15" customHeight="1">
      <c r="A12" s="66"/>
      <c r="B12" s="315"/>
      <c r="C12" s="425"/>
      <c r="D12" s="427" t="s">
        <v>86</v>
      </c>
      <c r="E12" s="350">
        <f>Exportações!D14</f>
        <v>363398.93</v>
      </c>
      <c r="F12" s="187">
        <f t="shared" si="2"/>
        <v>7.2928170948926743E-2</v>
      </c>
      <c r="G12" s="564">
        <v>546288.19999999995</v>
      </c>
      <c r="H12" s="1125">
        <f t="shared" si="0"/>
        <v>9.6792438722489382E-2</v>
      </c>
      <c r="I12" s="561">
        <f t="shared" si="1"/>
        <v>-33.478532027600082</v>
      </c>
      <c r="J12" s="138"/>
      <c r="K12" s="65"/>
      <c r="M12" s="349"/>
    </row>
    <row r="13" spans="1:13" ht="15" customHeight="1">
      <c r="A13" s="66"/>
      <c r="B13" s="315"/>
      <c r="C13" s="425"/>
      <c r="D13" s="427" t="s">
        <v>87</v>
      </c>
      <c r="E13" s="350">
        <f>Exportações!D15</f>
        <v>37861.644</v>
      </c>
      <c r="F13" s="187">
        <f t="shared" si="2"/>
        <v>7.5982074191561508E-3</v>
      </c>
      <c r="G13" s="564">
        <v>39831</v>
      </c>
      <c r="H13" s="1125">
        <f t="shared" si="0"/>
        <v>7.0573364512641406E-3</v>
      </c>
      <c r="I13" s="561">
        <f t="shared" si="1"/>
        <v>-4.9442795812307043</v>
      </c>
      <c r="J13" s="138"/>
      <c r="K13" s="65"/>
      <c r="M13" s="349"/>
    </row>
    <row r="14" spans="1:13" ht="15" customHeight="1">
      <c r="A14" s="66"/>
      <c r="B14" s="315"/>
      <c r="C14" s="425"/>
      <c r="D14" s="427" t="s">
        <v>88</v>
      </c>
      <c r="E14" s="350">
        <f>Exportações!D16</f>
        <v>596.52300000000002</v>
      </c>
      <c r="F14" s="187">
        <f t="shared" si="2"/>
        <v>1.1971232639283399E-4</v>
      </c>
      <c r="G14" s="564">
        <v>302.3</v>
      </c>
      <c r="H14" s="1125">
        <f t="shared" si="0"/>
        <v>5.356212018822399E-5</v>
      </c>
      <c r="I14" s="561">
        <f t="shared" si="1"/>
        <v>97.328150843532924</v>
      </c>
      <c r="J14" s="138"/>
      <c r="K14" s="65"/>
    </row>
    <row r="15" spans="1:13" ht="15" customHeight="1">
      <c r="A15" s="66"/>
      <c r="B15" s="315"/>
      <c r="C15" s="425"/>
      <c r="D15" s="427" t="s">
        <v>89</v>
      </c>
      <c r="E15" s="350">
        <f>Exportações!D17</f>
        <v>1704.2429999999999</v>
      </c>
      <c r="F15" s="187">
        <f t="shared" si="2"/>
        <v>3.4201345843949449E-4</v>
      </c>
      <c r="G15" s="564">
        <v>2615.1999999999998</v>
      </c>
      <c r="H15" s="1125">
        <f t="shared" si="0"/>
        <v>4.6336638013973989E-4</v>
      </c>
      <c r="I15" s="561">
        <f t="shared" si="1"/>
        <v>-34.833167635362493</v>
      </c>
      <c r="J15" s="138"/>
      <c r="K15" s="65"/>
    </row>
    <row r="16" spans="1:13" ht="15" customHeight="1">
      <c r="A16" s="66"/>
      <c r="B16" s="315"/>
      <c r="C16" s="425"/>
      <c r="D16" s="427" t="s">
        <v>90</v>
      </c>
      <c r="E16" s="350">
        <v>0</v>
      </c>
      <c r="F16" s="350">
        <v>0</v>
      </c>
      <c r="G16" s="350">
        <v>0</v>
      </c>
      <c r="H16" s="350">
        <v>0</v>
      </c>
      <c r="I16" s="1123">
        <v>0</v>
      </c>
      <c r="J16" s="138"/>
      <c r="K16" s="65"/>
    </row>
    <row r="17" spans="1:11" ht="15" customHeight="1">
      <c r="A17" s="66"/>
      <c r="B17" s="315"/>
      <c r="C17" s="424" t="s">
        <v>91</v>
      </c>
      <c r="D17" s="183"/>
      <c r="E17" s="1127">
        <v>798735.29700000002</v>
      </c>
      <c r="F17" s="187">
        <f t="shared" si="2"/>
        <v>0.16029299888846063</v>
      </c>
      <c r="G17" s="190">
        <v>521651</v>
      </c>
      <c r="H17" s="1125">
        <f t="shared" si="0"/>
        <v>9.2427170222650457E-2</v>
      </c>
      <c r="I17" s="561">
        <f t="shared" si="1"/>
        <v>53.116795903774758</v>
      </c>
      <c r="J17" s="138"/>
      <c r="K17" s="65"/>
    </row>
    <row r="18" spans="1:11" ht="15" customHeight="1">
      <c r="A18" s="66"/>
      <c r="B18" s="315"/>
      <c r="C18" s="424" t="s">
        <v>92</v>
      </c>
      <c r="D18" s="183"/>
      <c r="E18" s="1127">
        <v>187376.28599999999</v>
      </c>
      <c r="F18" s="187">
        <f t="shared" si="2"/>
        <v>3.7603329809427315E-2</v>
      </c>
      <c r="G18" s="190">
        <v>218161</v>
      </c>
      <c r="H18" s="1125">
        <f t="shared" si="0"/>
        <v>3.865420344817444E-2</v>
      </c>
      <c r="I18" s="561">
        <f t="shared" si="1"/>
        <v>-14.111007008585407</v>
      </c>
      <c r="J18" s="138"/>
      <c r="K18" s="65"/>
    </row>
    <row r="19" spans="1:11" ht="15" customHeight="1">
      <c r="A19" s="66"/>
      <c r="B19" s="315"/>
      <c r="C19" s="424" t="s">
        <v>93</v>
      </c>
      <c r="D19" s="183"/>
      <c r="E19" s="1127">
        <v>72980.112999999998</v>
      </c>
      <c r="F19" s="187">
        <f t="shared" si="2"/>
        <v>1.4645904864761134E-2</v>
      </c>
      <c r="G19" s="190">
        <v>172473</v>
      </c>
      <c r="H19" s="1125">
        <f t="shared" si="0"/>
        <v>3.0559111992138788E-2</v>
      </c>
      <c r="I19" s="561">
        <f t="shared" si="1"/>
        <v>-57.686065065256599</v>
      </c>
      <c r="J19" s="138"/>
      <c r="K19" s="65"/>
    </row>
    <row r="20" spans="1:11" ht="15" customHeight="1">
      <c r="A20" s="66"/>
      <c r="B20" s="315"/>
      <c r="C20" s="424" t="s">
        <v>94</v>
      </c>
      <c r="D20" s="183"/>
      <c r="E20" s="1127">
        <v>105355.52099999999</v>
      </c>
      <c r="F20" s="187">
        <f t="shared" si="2"/>
        <v>2.1143115214734508E-2</v>
      </c>
      <c r="G20" s="190">
        <v>136920</v>
      </c>
      <c r="H20" s="1125">
        <f t="shared" si="0"/>
        <v>2.425976015935041E-2</v>
      </c>
      <c r="I20" s="561">
        <f t="shared" si="1"/>
        <v>-23.053227432077129</v>
      </c>
      <c r="J20" s="138"/>
      <c r="K20" s="65"/>
    </row>
    <row r="21" spans="1:11" ht="15" customHeight="1">
      <c r="A21" s="66"/>
      <c r="B21" s="315"/>
      <c r="C21" s="424" t="s">
        <v>95</v>
      </c>
      <c r="D21" s="183"/>
      <c r="E21" s="1127">
        <v>172744.356</v>
      </c>
      <c r="F21" s="187">
        <f t="shared" si="2"/>
        <v>3.4666942813591277E-2</v>
      </c>
      <c r="G21" s="190">
        <v>117228</v>
      </c>
      <c r="H21" s="1125">
        <f t="shared" si="0"/>
        <v>2.0770692111892562E-2</v>
      </c>
      <c r="I21" s="561">
        <f t="shared" si="1"/>
        <v>47.357590336779595</v>
      </c>
      <c r="J21" s="138"/>
      <c r="K21" s="65"/>
    </row>
    <row r="22" spans="1:11" ht="15" customHeight="1">
      <c r="A22" s="66"/>
      <c r="B22" s="315"/>
      <c r="C22" s="424" t="s">
        <v>96</v>
      </c>
      <c r="D22" s="183"/>
      <c r="E22" s="1127">
        <v>52789.883999999998</v>
      </c>
      <c r="F22" s="187">
        <f t="shared" si="2"/>
        <v>1.0594058944328792E-2</v>
      </c>
      <c r="G22" s="190">
        <v>57910</v>
      </c>
      <c r="H22" s="1125">
        <f t="shared" si="0"/>
        <v>1.0260609924247606E-2</v>
      </c>
      <c r="I22" s="561">
        <f t="shared" si="1"/>
        <v>-8.8415057848385441</v>
      </c>
      <c r="J22" s="138"/>
      <c r="K22" s="65"/>
    </row>
    <row r="23" spans="1:11" ht="15" customHeight="1">
      <c r="A23" s="66"/>
      <c r="B23" s="426"/>
      <c r="C23" s="424" t="s">
        <v>97</v>
      </c>
      <c r="D23" s="183"/>
      <c r="E23" s="1127">
        <v>19322.446</v>
      </c>
      <c r="F23" s="187">
        <f t="shared" si="2"/>
        <v>3.87769618650062E-3</v>
      </c>
      <c r="G23" s="190">
        <v>49080</v>
      </c>
      <c r="H23" s="1125">
        <f t="shared" si="0"/>
        <v>8.6960928178565437E-3</v>
      </c>
      <c r="I23" s="561">
        <f t="shared" si="1"/>
        <v>-60.630713121434397</v>
      </c>
      <c r="J23" s="138"/>
      <c r="K23" s="65"/>
    </row>
    <row r="24" spans="1:11" ht="15" customHeight="1">
      <c r="A24" s="65"/>
      <c r="B24" s="426"/>
      <c r="C24" s="424" t="s">
        <v>98</v>
      </c>
      <c r="D24" s="183"/>
      <c r="E24" s="1127">
        <v>44825.057999999997</v>
      </c>
      <c r="F24" s="187">
        <f t="shared" si="2"/>
        <v>8.9956497467385387E-3</v>
      </c>
      <c r="G24" s="190">
        <v>25960</v>
      </c>
      <c r="H24" s="1125">
        <f t="shared" si="0"/>
        <v>4.5996448563886691E-3</v>
      </c>
      <c r="I24" s="561">
        <f t="shared" si="1"/>
        <v>72.669714946070869</v>
      </c>
      <c r="J24" s="138"/>
      <c r="K24" s="65"/>
    </row>
    <row r="25" spans="1:11" ht="15" customHeight="1">
      <c r="A25" s="65"/>
      <c r="B25" s="146"/>
      <c r="C25" s="424" t="s">
        <v>99</v>
      </c>
      <c r="D25" s="183"/>
      <c r="E25" s="1127">
        <v>19638.885999999999</v>
      </c>
      <c r="F25" s="187">
        <f t="shared" si="2"/>
        <v>3.9412004747908427E-3</v>
      </c>
      <c r="G25" s="190">
        <v>22343</v>
      </c>
      <c r="H25" s="1125">
        <f t="shared" si="0"/>
        <v>3.9587775433856717E-3</v>
      </c>
      <c r="I25" s="561">
        <f t="shared" si="1"/>
        <v>-12.10273463724657</v>
      </c>
      <c r="J25" s="138"/>
      <c r="K25" s="65"/>
    </row>
    <row r="26" spans="1:11" ht="15" customHeight="1">
      <c r="A26" s="65"/>
      <c r="B26" s="180"/>
      <c r="C26" s="424" t="s">
        <v>100</v>
      </c>
      <c r="D26" s="183"/>
      <c r="E26" s="1127">
        <v>9870.5010000000002</v>
      </c>
      <c r="F26" s="187">
        <f t="shared" si="2"/>
        <v>1.9808467357885517E-3</v>
      </c>
      <c r="G26" s="190">
        <v>21112</v>
      </c>
      <c r="H26" s="1125">
        <f t="shared" si="0"/>
        <v>3.7406664949182428E-3</v>
      </c>
      <c r="I26" s="561">
        <f t="shared" si="1"/>
        <v>-53.246963812050019</v>
      </c>
      <c r="J26" s="138"/>
      <c r="K26" s="65"/>
    </row>
    <row r="27" spans="1:11" ht="15" customHeight="1">
      <c r="A27" s="65"/>
      <c r="B27" s="180"/>
      <c r="C27" s="424" t="s">
        <v>101</v>
      </c>
      <c r="D27" s="183"/>
      <c r="E27" s="1127">
        <v>25050.368999999999</v>
      </c>
      <c r="F27" s="187">
        <f t="shared" si="2"/>
        <v>5.0271958499319052E-3</v>
      </c>
      <c r="G27" s="190">
        <v>11119</v>
      </c>
      <c r="H27" s="1125">
        <f t="shared" si="0"/>
        <v>1.9700867164170115E-3</v>
      </c>
      <c r="I27" s="561">
        <f t="shared" si="1"/>
        <v>125.29336271247415</v>
      </c>
      <c r="J27" s="138"/>
      <c r="K27" s="65"/>
    </row>
    <row r="28" spans="1:11" ht="15" customHeight="1">
      <c r="A28" s="65"/>
      <c r="B28" s="180"/>
      <c r="C28" s="424" t="s">
        <v>102</v>
      </c>
      <c r="D28" s="183"/>
      <c r="E28" s="1127">
        <v>13237.404</v>
      </c>
      <c r="F28" s="187">
        <f t="shared" si="2"/>
        <v>2.6565286304833279E-3</v>
      </c>
      <c r="G28" s="190">
        <v>7515</v>
      </c>
      <c r="H28" s="1125">
        <f t="shared" si="0"/>
        <v>1.3315227694823131E-3</v>
      </c>
      <c r="I28" s="561">
        <f t="shared" si="1"/>
        <v>76.146427145708586</v>
      </c>
      <c r="J28" s="138"/>
      <c r="K28" s="65"/>
    </row>
    <row r="29" spans="1:11" ht="15" customHeight="1">
      <c r="A29" s="65"/>
      <c r="B29" s="180"/>
      <c r="C29" s="424" t="s">
        <v>103</v>
      </c>
      <c r="D29" s="185"/>
      <c r="E29" s="351">
        <f>E30-SUM(E7:E11,E17:E28)</f>
        <v>211647.14300000016</v>
      </c>
      <c r="F29" s="1126">
        <f t="shared" si="2"/>
        <v>4.2474090459088461E-2</v>
      </c>
      <c r="G29" s="351">
        <f>G30-SUM(G7:G11,G17:G28)</f>
        <v>221610.29999999981</v>
      </c>
      <c r="H29" s="1126">
        <f t="shared" si="0"/>
        <v>3.9265357338896342E-2</v>
      </c>
      <c r="I29" s="1131">
        <f t="shared" si="1"/>
        <v>-4.4958005110771744</v>
      </c>
      <c r="J29" s="138"/>
      <c r="K29" s="65"/>
    </row>
    <row r="30" spans="1:11" ht="15" customHeight="1">
      <c r="A30" s="65"/>
      <c r="B30" s="180"/>
      <c r="C30" s="13" t="s">
        <v>104</v>
      </c>
      <c r="D30" s="14"/>
      <c r="E30" s="1122">
        <v>4982970.5760000004</v>
      </c>
      <c r="F30" s="1138">
        <f t="shared" si="2"/>
        <v>1</v>
      </c>
      <c r="G30" s="1139">
        <v>5643914</v>
      </c>
      <c r="H30" s="1138">
        <f t="shared" si="0"/>
        <v>1</v>
      </c>
      <c r="I30" s="1132">
        <f t="shared" si="1"/>
        <v>-11.710728122363301</v>
      </c>
      <c r="J30" s="138"/>
      <c r="K30" s="65"/>
    </row>
    <row r="31" spans="1:11">
      <c r="A31" s="65"/>
      <c r="B31" s="119"/>
      <c r="C31" s="1205" t="s">
        <v>105</v>
      </c>
      <c r="D31" s="1205"/>
      <c r="E31" s="1205"/>
      <c r="F31" s="1205"/>
      <c r="G31" s="181"/>
      <c r="H31" s="181"/>
      <c r="I31" s="181"/>
      <c r="J31" s="139"/>
      <c r="K31" s="65"/>
    </row>
    <row r="32" spans="1:11" ht="15" customHeight="1">
      <c r="A32" s="65"/>
      <c r="B32" s="65"/>
      <c r="C32" s="65"/>
      <c r="D32" s="65"/>
      <c r="E32" s="65"/>
      <c r="F32" s="65"/>
      <c r="G32" s="65"/>
      <c r="H32" s="65"/>
      <c r="I32" s="65"/>
      <c r="J32" s="65"/>
      <c r="K32" s="65"/>
    </row>
  </sheetData>
  <mergeCells count="9">
    <mergeCell ref="A1:K1"/>
    <mergeCell ref="C31:F31"/>
    <mergeCell ref="B2:J2"/>
    <mergeCell ref="C5:D6"/>
    <mergeCell ref="E5:F5"/>
    <mergeCell ref="G5:H5"/>
    <mergeCell ref="I5:I6"/>
    <mergeCell ref="B3:J3"/>
    <mergeCell ref="B4:J4"/>
  </mergeCells>
  <conditionalFormatting sqref="I7:I15 I17:I30">
    <cfRule type="cellIs" dxfId="0" priority="2" stopIfTrue="1" operator="lessThan">
      <formula>0</formula>
    </cfRule>
  </conditionalFormatting>
  <hyperlinks>
    <hyperlink ref="D31:F31" r:id="rId1" display="Fonte: AgroStat Brasil a partir de dados da SECEX/MDIC"/>
  </hyperlinks>
  <printOptions horizontalCentered="1" verticalCentered="1"/>
  <pageMargins left="0.51181102362204722" right="0.51181102362204722" top="0.78740157480314965" bottom="0.78740157480314965" header="0.31496062992125984" footer="0.31496062992125984"/>
  <pageSetup paperSize="9" orientation="landscape" r:id="rId2"/>
  <drawing r:id="rId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K30"/>
  <sheetViews>
    <sheetView workbookViewId="0">
      <selection activeCell="M19" sqref="M19"/>
    </sheetView>
  </sheetViews>
  <sheetFormatPr defaultRowHeight="12.75"/>
  <cols>
    <col min="1" max="1" width="2.7109375" customWidth="1"/>
    <col min="2" max="2" width="12.140625" customWidth="1"/>
    <col min="3" max="3" width="22.42578125" customWidth="1"/>
    <col min="4" max="9" width="13.7109375" customWidth="1"/>
    <col min="10" max="10" width="10.5703125" customWidth="1"/>
    <col min="11" max="11" width="2.7109375" customWidth="1"/>
  </cols>
  <sheetData>
    <row r="1" spans="1:11" ht="15" customHeight="1">
      <c r="A1" s="1152" t="s">
        <v>472</v>
      </c>
      <c r="B1" s="1152"/>
      <c r="C1" s="1152"/>
      <c r="D1" s="1152"/>
      <c r="E1" s="1152"/>
      <c r="F1" s="1152"/>
      <c r="G1" s="1152"/>
      <c r="H1" s="1152"/>
      <c r="I1" s="1152"/>
      <c r="J1" s="1152"/>
      <c r="K1" s="1152"/>
    </row>
    <row r="2" spans="1:11" ht="18" customHeight="1">
      <c r="A2" s="66"/>
      <c r="B2" s="312"/>
      <c r="C2" s="428"/>
      <c r="D2" s="428"/>
      <c r="E2" s="428"/>
      <c r="F2" s="428"/>
      <c r="G2" s="428"/>
      <c r="H2" s="428"/>
      <c r="I2" s="428"/>
      <c r="J2" s="313"/>
      <c r="K2" s="66"/>
    </row>
    <row r="3" spans="1:11" ht="18" customHeight="1">
      <c r="A3" s="66"/>
      <c r="B3" s="180"/>
      <c r="C3" s="133"/>
      <c r="D3" s="133"/>
      <c r="E3" s="133"/>
      <c r="F3" s="133"/>
      <c r="G3" s="133"/>
      <c r="H3" s="133"/>
      <c r="I3" s="133"/>
      <c r="J3" s="138"/>
      <c r="K3" s="66"/>
    </row>
    <row r="4" spans="1:11" ht="18" customHeight="1">
      <c r="A4" s="66"/>
      <c r="B4" s="1224" t="s">
        <v>158</v>
      </c>
      <c r="C4" s="1225"/>
      <c r="D4" s="1225"/>
      <c r="E4" s="1225"/>
      <c r="F4" s="1225"/>
      <c r="G4" s="1225"/>
      <c r="H4" s="1225"/>
      <c r="I4" s="1225"/>
      <c r="J4" s="1226"/>
      <c r="K4" s="65"/>
    </row>
    <row r="5" spans="1:11" ht="24.75" customHeight="1" thickBot="1">
      <c r="A5" s="66"/>
      <c r="B5" s="1224"/>
      <c r="C5" s="1225"/>
      <c r="D5" s="1225"/>
      <c r="E5" s="1225"/>
      <c r="F5" s="1225"/>
      <c r="G5" s="1225"/>
      <c r="H5" s="1225"/>
      <c r="I5" s="1225"/>
      <c r="J5" s="1226"/>
      <c r="K5" s="65"/>
    </row>
    <row r="6" spans="1:11" ht="18" customHeight="1">
      <c r="A6" s="66"/>
      <c r="B6" s="423"/>
      <c r="C6" s="1220" t="s">
        <v>85</v>
      </c>
      <c r="D6" s="1227">
        <v>42370</v>
      </c>
      <c r="E6" s="1223"/>
      <c r="F6" s="1227">
        <v>42005</v>
      </c>
      <c r="G6" s="1223"/>
      <c r="H6" s="1228" t="s">
        <v>106</v>
      </c>
      <c r="I6" s="1229"/>
      <c r="J6" s="138"/>
      <c r="K6" s="65"/>
    </row>
    <row r="7" spans="1:11" ht="18" customHeight="1">
      <c r="A7" s="66"/>
      <c r="B7" s="423"/>
      <c r="C7" s="1221"/>
      <c r="D7" s="339" t="s">
        <v>107</v>
      </c>
      <c r="E7" s="339" t="s">
        <v>352</v>
      </c>
      <c r="F7" s="339" t="s">
        <v>107</v>
      </c>
      <c r="G7" s="339" t="s">
        <v>352</v>
      </c>
      <c r="H7" s="1230" t="s">
        <v>540</v>
      </c>
      <c r="I7" s="1231"/>
      <c r="J7" s="138"/>
      <c r="K7" s="65"/>
    </row>
    <row r="8" spans="1:11" ht="18" customHeight="1" thickBot="1">
      <c r="A8" s="66"/>
      <c r="B8" s="423"/>
      <c r="C8" s="249"/>
      <c r="D8" s="340" t="s">
        <v>112</v>
      </c>
      <c r="E8" s="340" t="s">
        <v>111</v>
      </c>
      <c r="F8" s="340" t="s">
        <v>112</v>
      </c>
      <c r="G8" s="340" t="s">
        <v>111</v>
      </c>
      <c r="H8" s="340" t="s">
        <v>107</v>
      </c>
      <c r="I8" s="341" t="s">
        <v>352</v>
      </c>
      <c r="J8" s="138"/>
      <c r="K8" s="65"/>
    </row>
    <row r="9" spans="1:11" ht="18" customHeight="1">
      <c r="A9" s="66"/>
      <c r="B9" s="315"/>
      <c r="C9" s="610" t="s">
        <v>14</v>
      </c>
      <c r="D9" s="1114">
        <v>0</v>
      </c>
      <c r="E9" s="1114">
        <v>0</v>
      </c>
      <c r="F9" s="1114">
        <v>0</v>
      </c>
      <c r="G9" s="1114">
        <v>0</v>
      </c>
      <c r="H9" s="611">
        <v>0</v>
      </c>
      <c r="I9" s="612">
        <v>0</v>
      </c>
      <c r="J9" s="138"/>
      <c r="K9" s="65"/>
    </row>
    <row r="10" spans="1:11" ht="18" customHeight="1">
      <c r="A10" s="66"/>
      <c r="B10" s="315"/>
      <c r="C10" s="610" t="s">
        <v>113</v>
      </c>
      <c r="D10" s="1115">
        <v>0</v>
      </c>
      <c r="E10" s="1115">
        <v>0</v>
      </c>
      <c r="F10" s="1115">
        <v>897</v>
      </c>
      <c r="G10" s="1115">
        <v>0.69</v>
      </c>
      <c r="H10" s="611">
        <v>0</v>
      </c>
      <c r="I10" s="612">
        <v>0</v>
      </c>
      <c r="J10" s="138"/>
      <c r="K10" s="65"/>
    </row>
    <row r="11" spans="1:11" ht="18" customHeight="1">
      <c r="A11" s="66"/>
      <c r="B11" s="315"/>
      <c r="C11" s="610" t="s">
        <v>159</v>
      </c>
      <c r="D11" s="1115">
        <v>3351688</v>
      </c>
      <c r="E11" s="1115">
        <v>4090.8629999999998</v>
      </c>
      <c r="F11" s="1115">
        <v>3400697</v>
      </c>
      <c r="G11" s="1115">
        <v>4119.12</v>
      </c>
      <c r="H11" s="613">
        <f t="shared" ref="H11:I12" si="0">SUM(D11-F11)*100/F11</f>
        <v>-1.4411457415935616</v>
      </c>
      <c r="I11" s="614">
        <f t="shared" si="0"/>
        <v>-0.68599603798869813</v>
      </c>
      <c r="J11" s="138"/>
      <c r="K11" s="65"/>
    </row>
    <row r="12" spans="1:11" ht="18" customHeight="1">
      <c r="A12" s="66"/>
      <c r="B12" s="315"/>
      <c r="C12" s="615" t="s">
        <v>115</v>
      </c>
      <c r="D12" s="1115">
        <v>290396</v>
      </c>
      <c r="E12" s="1115">
        <v>1315.34</v>
      </c>
      <c r="F12" s="1115">
        <v>468272</v>
      </c>
      <c r="G12" s="1115">
        <v>1608.62</v>
      </c>
      <c r="H12" s="617">
        <f t="shared" si="0"/>
        <v>-37.985615198004581</v>
      </c>
      <c r="I12" s="618">
        <f t="shared" si="0"/>
        <v>-18.231776305155972</v>
      </c>
      <c r="J12" s="138"/>
      <c r="K12" s="65"/>
    </row>
    <row r="13" spans="1:11" ht="18" customHeight="1" thickBot="1">
      <c r="A13" s="66"/>
      <c r="B13" s="315"/>
      <c r="C13" s="1025" t="s">
        <v>282</v>
      </c>
      <c r="D13" s="1116">
        <v>0</v>
      </c>
      <c r="E13" s="1116">
        <v>0</v>
      </c>
      <c r="F13" s="1116">
        <v>0</v>
      </c>
      <c r="G13" s="1116">
        <v>0</v>
      </c>
      <c r="H13" s="623">
        <v>0</v>
      </c>
      <c r="I13" s="624">
        <v>0</v>
      </c>
      <c r="J13" s="138"/>
      <c r="K13" s="65"/>
    </row>
    <row r="14" spans="1:11" ht="18" customHeight="1" thickBot="1">
      <c r="A14" s="66"/>
      <c r="B14" s="315"/>
      <c r="C14" s="342" t="s">
        <v>116</v>
      </c>
      <c r="D14" s="625">
        <f>SUM(D9:D13)</f>
        <v>3642084</v>
      </c>
      <c r="E14" s="625">
        <f>SUM(E9:E13)</f>
        <v>5406.2029999999995</v>
      </c>
      <c r="F14" s="625">
        <f>SUM(F9:F13)</f>
        <v>3869866</v>
      </c>
      <c r="G14" s="625">
        <f>SUM(G9:G13)</f>
        <v>5728.4299999999994</v>
      </c>
      <c r="H14" s="626">
        <f t="shared" ref="H14:I14" si="1">SUM(D14-F14)*100/F14</f>
        <v>-5.8860435994424609</v>
      </c>
      <c r="I14" s="627">
        <f t="shared" si="1"/>
        <v>-5.6250490972220994</v>
      </c>
      <c r="J14" s="138"/>
      <c r="K14" s="65"/>
    </row>
    <row r="15" spans="1:11" ht="18" customHeight="1" thickBot="1">
      <c r="A15" s="66"/>
      <c r="B15" s="315"/>
      <c r="C15" s="213"/>
      <c r="D15" s="213"/>
      <c r="E15" s="213"/>
      <c r="F15" s="214"/>
      <c r="G15" s="214"/>
      <c r="H15" s="214"/>
      <c r="I15" s="215"/>
      <c r="J15" s="138"/>
      <c r="K15" s="65"/>
    </row>
    <row r="16" spans="1:11" ht="18" customHeight="1">
      <c r="A16" s="66"/>
      <c r="B16" s="315"/>
      <c r="C16" s="1220" t="s">
        <v>85</v>
      </c>
      <c r="D16" s="1222" t="s">
        <v>166</v>
      </c>
      <c r="E16" s="1223"/>
      <c r="F16" s="1222" t="s">
        <v>204</v>
      </c>
      <c r="G16" s="1223"/>
      <c r="H16" s="1222" t="s">
        <v>528</v>
      </c>
      <c r="I16" s="1223"/>
      <c r="J16" s="138"/>
      <c r="K16" s="65"/>
    </row>
    <row r="17" spans="1:11" ht="18" customHeight="1">
      <c r="A17" s="66"/>
      <c r="B17" s="315"/>
      <c r="C17" s="1221"/>
      <c r="D17" s="339" t="s">
        <v>107</v>
      </c>
      <c r="E17" s="339" t="s">
        <v>352</v>
      </c>
      <c r="F17" s="339" t="s">
        <v>107</v>
      </c>
      <c r="G17" s="339" t="s">
        <v>352</v>
      </c>
      <c r="H17" s="339" t="s">
        <v>107</v>
      </c>
      <c r="I17" s="470" t="s">
        <v>352</v>
      </c>
      <c r="J17" s="138"/>
      <c r="K17" s="65"/>
    </row>
    <row r="18" spans="1:11" ht="18" customHeight="1" thickBot="1">
      <c r="A18" s="66"/>
      <c r="B18" s="315"/>
      <c r="C18" s="249"/>
      <c r="D18" s="340" t="s">
        <v>112</v>
      </c>
      <c r="E18" s="340" t="s">
        <v>111</v>
      </c>
      <c r="F18" s="340" t="s">
        <v>112</v>
      </c>
      <c r="G18" s="340" t="s">
        <v>111</v>
      </c>
      <c r="H18" s="340" t="s">
        <v>112</v>
      </c>
      <c r="I18" s="341" t="s">
        <v>111</v>
      </c>
      <c r="J18" s="138"/>
      <c r="K18" s="65"/>
    </row>
    <row r="19" spans="1:11" ht="18" customHeight="1">
      <c r="A19" s="66"/>
      <c r="B19" s="315"/>
      <c r="C19" s="16" t="s">
        <v>14</v>
      </c>
      <c r="D19" s="17">
        <v>139325</v>
      </c>
      <c r="E19" s="17">
        <v>500</v>
      </c>
      <c r="F19" s="595">
        <v>35635</v>
      </c>
      <c r="G19" s="595">
        <v>256.95</v>
      </c>
      <c r="H19" s="595">
        <v>28836</v>
      </c>
      <c r="I19" s="612">
        <v>942.63400000000001</v>
      </c>
      <c r="J19" s="133"/>
      <c r="K19" s="123"/>
    </row>
    <row r="20" spans="1:11" ht="18" customHeight="1">
      <c r="A20" s="66"/>
      <c r="B20" s="315"/>
      <c r="C20" s="16" t="s">
        <v>113</v>
      </c>
      <c r="D20" s="17">
        <v>361438</v>
      </c>
      <c r="E20" s="17">
        <v>435</v>
      </c>
      <c r="F20" s="595">
        <v>95261</v>
      </c>
      <c r="G20" s="595">
        <v>577.70000000000005</v>
      </c>
      <c r="H20" s="595">
        <v>359174</v>
      </c>
      <c r="I20" s="612">
        <v>1506</v>
      </c>
      <c r="J20" s="133"/>
      <c r="K20" s="123"/>
    </row>
    <row r="21" spans="1:11" ht="18" customHeight="1">
      <c r="A21" s="66"/>
      <c r="B21" s="315"/>
      <c r="C21" s="16" t="s">
        <v>159</v>
      </c>
      <c r="D21" s="17">
        <v>32092593</v>
      </c>
      <c r="E21" s="17">
        <v>32780</v>
      </c>
      <c r="F21" s="595">
        <v>47884086</v>
      </c>
      <c r="G21" s="595">
        <v>48577.17</v>
      </c>
      <c r="H21" s="595">
        <v>67041713</v>
      </c>
      <c r="I21" s="612">
        <v>80517.600000000006</v>
      </c>
      <c r="J21" s="133"/>
      <c r="K21" s="123"/>
    </row>
    <row r="22" spans="1:11" ht="18" customHeight="1">
      <c r="A22" s="66"/>
      <c r="B22" s="315"/>
      <c r="C22" s="248" t="s">
        <v>115</v>
      </c>
      <c r="D22" s="469">
        <v>7538246</v>
      </c>
      <c r="E22" s="469">
        <v>28903</v>
      </c>
      <c r="F22" s="616">
        <v>11985311</v>
      </c>
      <c r="G22" s="616">
        <v>43141.06</v>
      </c>
      <c r="H22" s="616">
        <v>16590835</v>
      </c>
      <c r="I22" s="618">
        <v>66068.639999999999</v>
      </c>
      <c r="J22" s="133"/>
      <c r="K22" s="123"/>
    </row>
    <row r="23" spans="1:11" ht="18" customHeight="1" thickBot="1">
      <c r="A23" s="66"/>
      <c r="B23" s="315"/>
      <c r="C23" s="252" t="s">
        <v>282</v>
      </c>
      <c r="D23" s="17">
        <v>1662</v>
      </c>
      <c r="E23" s="17">
        <v>6</v>
      </c>
      <c r="F23" s="600">
        <v>1260</v>
      </c>
      <c r="G23" s="600">
        <v>8.23</v>
      </c>
      <c r="H23" s="600">
        <v>2389</v>
      </c>
      <c r="I23" s="624">
        <v>20.3</v>
      </c>
      <c r="J23" s="133"/>
      <c r="K23" s="123"/>
    </row>
    <row r="24" spans="1:11" ht="18" customHeight="1" thickBot="1">
      <c r="A24" s="66"/>
      <c r="B24" s="315"/>
      <c r="C24" s="342" t="s">
        <v>116</v>
      </c>
      <c r="D24" s="354">
        <f>SUM(D19:D23)</f>
        <v>40133264</v>
      </c>
      <c r="E24" s="354">
        <f>SUM(E19:E23)</f>
        <v>62624</v>
      </c>
      <c r="F24" s="354">
        <f>SUM(D19:D23)</f>
        <v>40133264</v>
      </c>
      <c r="G24" s="354">
        <f>SUM(E19:E23)</f>
        <v>62624</v>
      </c>
      <c r="H24" s="471">
        <f>SUM(H19:H23)</f>
        <v>84022947</v>
      </c>
      <c r="I24" s="472">
        <f>SUM(I19:I23)</f>
        <v>149055.174</v>
      </c>
      <c r="J24" s="138"/>
      <c r="K24" s="65"/>
    </row>
    <row r="25" spans="1:11" ht="18" customHeight="1">
      <c r="A25" s="65"/>
      <c r="B25" s="315"/>
      <c r="C25" s="444" t="s">
        <v>117</v>
      </c>
      <c r="D25" s="213"/>
      <c r="E25" s="213"/>
      <c r="F25" s="214"/>
      <c r="G25" s="214"/>
      <c r="H25" s="214"/>
      <c r="I25" s="215"/>
      <c r="J25" s="138"/>
      <c r="K25" s="65"/>
    </row>
    <row r="26" spans="1:11" ht="9" customHeight="1">
      <c r="A26" s="65"/>
      <c r="B26" s="315"/>
      <c r="C26" s="444" t="s">
        <v>341</v>
      </c>
      <c r="D26" s="213"/>
      <c r="E26" s="213"/>
      <c r="F26" s="214"/>
      <c r="G26" s="214"/>
      <c r="H26" s="214"/>
      <c r="I26" s="215"/>
      <c r="J26" s="138"/>
      <c r="K26" s="65"/>
    </row>
    <row r="27" spans="1:11" ht="8.25" customHeight="1">
      <c r="A27" s="65"/>
      <c r="B27" s="119"/>
      <c r="C27" s="473"/>
      <c r="D27" s="474"/>
      <c r="E27" s="474"/>
      <c r="F27" s="475"/>
      <c r="G27" s="475"/>
      <c r="H27" s="475"/>
      <c r="I27" s="476"/>
      <c r="J27" s="139"/>
      <c r="K27" s="65"/>
    </row>
    <row r="28" spans="1:11" ht="15" customHeight="1">
      <c r="A28" s="65"/>
      <c r="B28" s="65"/>
      <c r="C28" s="65"/>
      <c r="D28" s="65"/>
      <c r="E28" s="65"/>
      <c r="F28" s="65"/>
      <c r="G28" s="65"/>
      <c r="H28" s="65"/>
      <c r="I28" s="65"/>
      <c r="J28" s="65"/>
      <c r="K28" s="65"/>
    </row>
    <row r="29" spans="1:11">
      <c r="C29" s="3"/>
      <c r="D29" s="3"/>
      <c r="E29" s="3"/>
      <c r="F29" s="3"/>
      <c r="G29" s="3"/>
    </row>
    <row r="30" spans="1:11">
      <c r="C30" s="3"/>
      <c r="D30" s="3"/>
      <c r="E30" s="3"/>
      <c r="F30" s="3"/>
      <c r="G30" s="3"/>
    </row>
  </sheetData>
  <mergeCells count="12">
    <mergeCell ref="A1:K1"/>
    <mergeCell ref="C16:C17"/>
    <mergeCell ref="D16:E16"/>
    <mergeCell ref="F16:G16"/>
    <mergeCell ref="H16:I16"/>
    <mergeCell ref="B4:J4"/>
    <mergeCell ref="C6:C7"/>
    <mergeCell ref="D6:E6"/>
    <mergeCell ref="F6:G6"/>
    <mergeCell ref="B5:J5"/>
    <mergeCell ref="H6:I6"/>
    <mergeCell ref="H7:I7"/>
  </mergeCells>
  <printOptions horizontalCentered="1" verticalCentered="1"/>
  <pageMargins left="0.51181102362204722" right="0.51181102362204722" top="0.78740157480314965" bottom="0.78740157480314965" header="0.31496062992125984" footer="0.31496062992125984"/>
  <pageSetup paperSize="9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dimension ref="A1:N30"/>
  <sheetViews>
    <sheetView workbookViewId="0">
      <selection activeCell="P17" sqref="P17"/>
    </sheetView>
  </sheetViews>
  <sheetFormatPr defaultRowHeight="12.75"/>
  <cols>
    <col min="1" max="1" width="3.28515625" customWidth="1"/>
    <col min="2" max="2" width="11.7109375" customWidth="1"/>
    <col min="3" max="3" width="22.42578125" customWidth="1"/>
    <col min="4" max="5" width="11.28515625" bestFit="1" customWidth="1"/>
    <col min="6" max="6" width="10.140625" customWidth="1"/>
    <col min="7" max="8" width="11.28515625" bestFit="1" customWidth="1"/>
    <col min="9" max="9" width="10.140625" bestFit="1" customWidth="1"/>
    <col min="10" max="10" width="8.140625" bestFit="1" customWidth="1"/>
    <col min="11" max="11" width="10.28515625" bestFit="1" customWidth="1"/>
    <col min="12" max="12" width="9.5703125" bestFit="1" customWidth="1"/>
    <col min="13" max="13" width="11.7109375" customWidth="1"/>
    <col min="14" max="14" width="3.5703125" customWidth="1"/>
  </cols>
  <sheetData>
    <row r="1" spans="1:14" ht="15" customHeight="1">
      <c r="A1" s="1152" t="s">
        <v>473</v>
      </c>
      <c r="B1" s="1152"/>
      <c r="C1" s="1152"/>
      <c r="D1" s="1152"/>
      <c r="E1" s="1152"/>
      <c r="F1" s="1152"/>
      <c r="G1" s="1152"/>
      <c r="H1" s="1152"/>
      <c r="I1" s="1152"/>
      <c r="J1" s="1152"/>
      <c r="K1" s="1152"/>
      <c r="L1" s="1152"/>
      <c r="M1" s="1152"/>
      <c r="N1" s="1152"/>
    </row>
    <row r="2" spans="1:14" ht="18" customHeight="1">
      <c r="A2" s="68"/>
      <c r="B2" s="312"/>
      <c r="C2" s="428"/>
      <c r="D2" s="428"/>
      <c r="E2" s="428"/>
      <c r="F2" s="428"/>
      <c r="G2" s="428"/>
      <c r="H2" s="428"/>
      <c r="I2" s="428"/>
      <c r="J2" s="428"/>
      <c r="K2" s="428"/>
      <c r="L2" s="428"/>
      <c r="M2" s="313"/>
      <c r="N2" s="123"/>
    </row>
    <row r="3" spans="1:14" ht="18" customHeight="1">
      <c r="A3" s="68"/>
      <c r="B3" s="1206"/>
      <c r="C3" s="1207"/>
      <c r="D3" s="1207"/>
      <c r="E3" s="1207"/>
      <c r="F3" s="1207"/>
      <c r="G3" s="1207"/>
      <c r="H3" s="1207"/>
      <c r="I3" s="1207"/>
      <c r="J3" s="1207"/>
      <c r="K3" s="1207"/>
      <c r="L3" s="1207"/>
      <c r="M3" s="1208"/>
      <c r="N3" s="65"/>
    </row>
    <row r="4" spans="1:14" ht="18" customHeight="1">
      <c r="A4" s="68"/>
      <c r="B4" s="1033"/>
      <c r="C4" s="1033"/>
      <c r="D4" s="1033"/>
      <c r="E4" s="1033"/>
      <c r="F4" s="1033"/>
      <c r="G4" s="1033"/>
      <c r="H4" s="1033"/>
      <c r="I4" s="1033"/>
      <c r="J4" s="1033"/>
      <c r="K4" s="1033"/>
      <c r="L4" s="1033"/>
      <c r="M4" s="1034"/>
      <c r="N4" s="65"/>
    </row>
    <row r="5" spans="1:14" ht="18" customHeight="1">
      <c r="A5" s="68"/>
      <c r="B5" s="1033"/>
      <c r="C5" s="1033"/>
      <c r="D5" s="1033"/>
      <c r="E5" s="1033"/>
      <c r="F5" s="1033"/>
      <c r="G5" s="1033"/>
      <c r="H5" s="1033"/>
      <c r="I5" s="1033"/>
      <c r="J5" s="1033"/>
      <c r="K5" s="1033"/>
      <c r="L5" s="1033"/>
      <c r="M5" s="1034"/>
      <c r="N5" s="65"/>
    </row>
    <row r="6" spans="1:14" ht="18" customHeight="1">
      <c r="A6" s="68"/>
      <c r="B6" s="1033"/>
      <c r="C6" s="1033"/>
      <c r="D6" s="1033"/>
      <c r="E6" s="1033"/>
      <c r="F6" s="1033"/>
      <c r="G6" s="1033"/>
      <c r="H6" s="1033"/>
      <c r="I6" s="1033"/>
      <c r="J6" s="1033"/>
      <c r="K6" s="1033"/>
      <c r="L6" s="1033"/>
      <c r="M6" s="1034"/>
      <c r="N6" s="65"/>
    </row>
    <row r="7" spans="1:14" ht="18" customHeight="1">
      <c r="A7" s="68"/>
      <c r="B7" s="106"/>
      <c r="C7" s="1232"/>
      <c r="D7" s="1232"/>
      <c r="E7" s="320"/>
      <c r="F7" s="1232"/>
      <c r="G7" s="1232"/>
      <c r="H7" s="320"/>
      <c r="I7" s="1232"/>
      <c r="J7" s="1232"/>
      <c r="K7" s="1232"/>
      <c r="L7" s="320"/>
      <c r="M7" s="138"/>
      <c r="N7" s="65"/>
    </row>
    <row r="8" spans="1:14" ht="18" customHeight="1">
      <c r="A8" s="68"/>
      <c r="B8" s="106"/>
      <c r="C8" s="1232"/>
      <c r="D8" s="1232"/>
      <c r="E8" s="320"/>
      <c r="F8" s="320"/>
      <c r="G8" s="320"/>
      <c r="H8" s="320"/>
      <c r="I8" s="320"/>
      <c r="J8" s="320"/>
      <c r="K8" s="1232"/>
      <c r="L8" s="320"/>
      <c r="M8" s="138"/>
      <c r="N8" s="65"/>
    </row>
    <row r="9" spans="1:14" ht="16.5" customHeight="1">
      <c r="A9" s="68"/>
      <c r="B9" s="107"/>
      <c r="C9" s="1237" t="s">
        <v>281</v>
      </c>
      <c r="D9" s="1237"/>
      <c r="E9" s="1237"/>
      <c r="F9" s="1237"/>
      <c r="G9" s="1237"/>
      <c r="H9" s="1237"/>
      <c r="I9" s="1237"/>
      <c r="J9" s="1237"/>
      <c r="K9" s="1237"/>
      <c r="L9" s="1237"/>
      <c r="M9" s="138"/>
      <c r="N9" s="65"/>
    </row>
    <row r="10" spans="1:14" ht="14.1" customHeight="1" thickBot="1">
      <c r="A10" s="68"/>
      <c r="B10" s="107"/>
      <c r="C10" s="336"/>
      <c r="D10" s="336"/>
      <c r="E10" s="336"/>
      <c r="F10" s="336"/>
      <c r="G10" s="336"/>
      <c r="H10" s="336"/>
      <c r="I10" s="336"/>
      <c r="J10" s="336"/>
      <c r="K10" s="336"/>
      <c r="L10" s="336"/>
      <c r="M10" s="138"/>
      <c r="N10" s="65"/>
    </row>
    <row r="11" spans="1:14" ht="20.100000000000001" customHeight="1">
      <c r="A11" s="68"/>
      <c r="B11" s="107"/>
      <c r="C11" s="1220" t="s">
        <v>85</v>
      </c>
      <c r="D11" s="1233" t="s">
        <v>538</v>
      </c>
      <c r="E11" s="1234"/>
      <c r="F11" s="1235"/>
      <c r="G11" s="1233" t="s">
        <v>539</v>
      </c>
      <c r="H11" s="1234"/>
      <c r="I11" s="1235"/>
      <c r="J11" s="1228" t="s">
        <v>307</v>
      </c>
      <c r="K11" s="1236"/>
      <c r="L11" s="1236"/>
      <c r="M11" s="138"/>
      <c r="N11" s="65"/>
    </row>
    <row r="12" spans="1:14" ht="20.100000000000001" customHeight="1">
      <c r="A12" s="68"/>
      <c r="B12" s="107"/>
      <c r="C12" s="1221"/>
      <c r="D12" s="339" t="s">
        <v>107</v>
      </c>
      <c r="E12" s="339" t="s">
        <v>108</v>
      </c>
      <c r="F12" s="247" t="s">
        <v>280</v>
      </c>
      <c r="G12" s="339" t="s">
        <v>107</v>
      </c>
      <c r="H12" s="339" t="s">
        <v>108</v>
      </c>
      <c r="I12" s="247" t="s">
        <v>280</v>
      </c>
      <c r="J12" s="1230" t="s">
        <v>540</v>
      </c>
      <c r="K12" s="1231"/>
      <c r="L12" s="1231"/>
      <c r="M12" s="138"/>
      <c r="N12" s="65"/>
    </row>
    <row r="13" spans="1:14" ht="20.100000000000001" customHeight="1" thickBot="1">
      <c r="A13" s="68"/>
      <c r="B13" s="107"/>
      <c r="C13" s="249"/>
      <c r="D13" s="340" t="s">
        <v>283</v>
      </c>
      <c r="E13" s="340" t="s">
        <v>111</v>
      </c>
      <c r="F13" s="250" t="s">
        <v>112</v>
      </c>
      <c r="G13" s="340" t="s">
        <v>283</v>
      </c>
      <c r="H13" s="340" t="s">
        <v>111</v>
      </c>
      <c r="I13" s="250" t="s">
        <v>112</v>
      </c>
      <c r="J13" s="340" t="s">
        <v>107</v>
      </c>
      <c r="K13" s="341" t="s">
        <v>108</v>
      </c>
      <c r="L13" s="251" t="s">
        <v>280</v>
      </c>
      <c r="M13" s="138"/>
      <c r="N13" s="65"/>
    </row>
    <row r="14" spans="1:14" ht="20.100000000000001" customHeight="1">
      <c r="A14" s="68"/>
      <c r="B14" s="107"/>
      <c r="C14" s="248" t="s">
        <v>14</v>
      </c>
      <c r="D14" s="595">
        <f>'Exp. Verde'!C19</f>
        <v>363398.93</v>
      </c>
      <c r="E14" s="595">
        <f>'Exp. Verde'!D19</f>
        <v>2485113.2999999998</v>
      </c>
      <c r="F14" s="596">
        <f t="shared" ref="F14:F19" si="0">(D14*1000)/E14</f>
        <v>146.23032680240374</v>
      </c>
      <c r="G14" s="595">
        <f>'Exp. Verde'!F7</f>
        <v>546288</v>
      </c>
      <c r="H14" s="595">
        <f>'Exp. Verde'!G7</f>
        <v>2724750</v>
      </c>
      <c r="I14" s="597">
        <f t="shared" ref="I14:I19" si="1">(G14*1000)/H14</f>
        <v>200.49105422515828</v>
      </c>
      <c r="J14" s="598">
        <f t="shared" ref="J14:L19" si="2">SUM(D14-G14)*100/G14</f>
        <v>-33.478507673608057</v>
      </c>
      <c r="K14" s="598">
        <f t="shared" si="2"/>
        <v>-8.7948142031379088</v>
      </c>
      <c r="L14" s="599">
        <f t="shared" si="2"/>
        <v>-27.063914463643798</v>
      </c>
      <c r="M14" s="138"/>
      <c r="N14" s="65"/>
    </row>
    <row r="15" spans="1:14" ht="20.100000000000001" customHeight="1">
      <c r="A15" s="68"/>
      <c r="B15" s="107"/>
      <c r="C15" s="16" t="s">
        <v>113</v>
      </c>
      <c r="D15" s="595">
        <f>'Exp. Solúvel'!C19</f>
        <v>37861.644</v>
      </c>
      <c r="E15" s="595">
        <f>'Exp. Solúvel'!D19</f>
        <v>250387.41</v>
      </c>
      <c r="F15" s="596">
        <f t="shared" si="0"/>
        <v>151.21225144666818</v>
      </c>
      <c r="G15" s="595">
        <f>'Exp. Solúvel'!F7</f>
        <v>39831</v>
      </c>
      <c r="H15" s="595">
        <f>'Exp. Solúvel'!G7</f>
        <v>228973.33333333334</v>
      </c>
      <c r="I15" s="597">
        <f t="shared" si="1"/>
        <v>173.95475455657134</v>
      </c>
      <c r="J15" s="598">
        <f t="shared" si="2"/>
        <v>-4.944279581230699</v>
      </c>
      <c r="K15" s="598">
        <f t="shared" si="2"/>
        <v>9.3522142316426926</v>
      </c>
      <c r="L15" s="599">
        <f t="shared" si="2"/>
        <v>-13.07380368411094</v>
      </c>
      <c r="M15" s="138"/>
      <c r="N15" s="65"/>
    </row>
    <row r="16" spans="1:14" ht="20.100000000000001" customHeight="1">
      <c r="A16" s="68"/>
      <c r="B16" s="107"/>
      <c r="C16" s="16" t="s">
        <v>159</v>
      </c>
      <c r="D16" s="595">
        <f>'Exp. Torrado'!C19</f>
        <v>596.52300000000002</v>
      </c>
      <c r="E16" s="595">
        <f>'Exp. Torrado'!D19</f>
        <v>2257.29</v>
      </c>
      <c r="F16" s="596">
        <f t="shared" si="0"/>
        <v>264.26511436279787</v>
      </c>
      <c r="G16" s="595">
        <f>'Exp. Torrado'!F7</f>
        <v>302</v>
      </c>
      <c r="H16" s="595">
        <f>'Exp. Torrado'!G7</f>
        <v>912.33333333333337</v>
      </c>
      <c r="I16" s="597">
        <f t="shared" si="1"/>
        <v>331.01936426744612</v>
      </c>
      <c r="J16" s="598">
        <f t="shared" si="2"/>
        <v>97.524172185430473</v>
      </c>
      <c r="K16" s="598">
        <f t="shared" si="2"/>
        <v>147.41943734015342</v>
      </c>
      <c r="L16" s="599">
        <f t="shared" si="2"/>
        <v>-20.166267327706649</v>
      </c>
      <c r="M16" s="138"/>
      <c r="N16" s="65"/>
    </row>
    <row r="17" spans="1:14" ht="20.100000000000001" customHeight="1">
      <c r="A17" s="68"/>
      <c r="B17" s="107"/>
      <c r="C17" s="16" t="s">
        <v>115</v>
      </c>
      <c r="D17" s="595">
        <f>'Exp. Extrato'!C19</f>
        <v>1704.2429999999999</v>
      </c>
      <c r="E17" s="595">
        <f>'Exp. Extrato'!D19</f>
        <v>17190.07</v>
      </c>
      <c r="F17" s="596">
        <f t="shared" si="0"/>
        <v>99.141132060544251</v>
      </c>
      <c r="G17" s="595">
        <f>'Exp. Extrato'!F7</f>
        <v>2615</v>
      </c>
      <c r="H17" s="595">
        <f>'Exp. Extrato'!G7</f>
        <v>25696.666666666668</v>
      </c>
      <c r="I17" s="597">
        <f t="shared" si="1"/>
        <v>101.76417174730834</v>
      </c>
      <c r="J17" s="598">
        <f t="shared" si="2"/>
        <v>-34.828183556405357</v>
      </c>
      <c r="K17" s="598">
        <f t="shared" si="2"/>
        <v>-33.10389155532495</v>
      </c>
      <c r="L17" s="599">
        <f t="shared" si="2"/>
        <v>-2.5775669783638437</v>
      </c>
      <c r="M17" s="138"/>
      <c r="N17" s="65"/>
    </row>
    <row r="18" spans="1:14" ht="20.100000000000001" customHeight="1" thickBot="1">
      <c r="A18" s="68"/>
      <c r="B18" s="107"/>
      <c r="C18" s="252" t="s">
        <v>279</v>
      </c>
      <c r="D18" s="600">
        <v>0</v>
      </c>
      <c r="E18" s="600">
        <v>0</v>
      </c>
      <c r="F18" s="601">
        <v>0</v>
      </c>
      <c r="G18" s="600">
        <v>0</v>
      </c>
      <c r="H18" s="600">
        <v>0</v>
      </c>
      <c r="I18" s="602">
        <v>0</v>
      </c>
      <c r="J18" s="602">
        <v>0</v>
      </c>
      <c r="K18" s="602">
        <v>0</v>
      </c>
      <c r="L18" s="1117">
        <v>0</v>
      </c>
      <c r="M18" s="138"/>
      <c r="N18" s="65"/>
    </row>
    <row r="19" spans="1:14" ht="20.100000000000001" customHeight="1" thickBot="1">
      <c r="A19" s="68"/>
      <c r="B19" s="107"/>
      <c r="C19" s="337" t="s">
        <v>116</v>
      </c>
      <c r="D19" s="603">
        <f>SUM(D14:D18)</f>
        <v>403561.34</v>
      </c>
      <c r="E19" s="603">
        <f>SUM(E14:E18)</f>
        <v>2754948.07</v>
      </c>
      <c r="F19" s="604">
        <f t="shared" si="0"/>
        <v>146.48600617724168</v>
      </c>
      <c r="G19" s="603">
        <f>SUM(G14:G18)</f>
        <v>589036</v>
      </c>
      <c r="H19" s="603">
        <f>SUM(H14:H18)</f>
        <v>2980332.3333333335</v>
      </c>
      <c r="I19" s="605">
        <f t="shared" si="1"/>
        <v>197.64104607126026</v>
      </c>
      <c r="J19" s="606">
        <f>SUM(D19-G19)*100/G19</f>
        <v>-31.487830964491128</v>
      </c>
      <c r="K19" s="606">
        <f>SUM(E19-H19)*100/H19</f>
        <v>-7.5623869463327296</v>
      </c>
      <c r="L19" s="607">
        <f t="shared" si="2"/>
        <v>-25.882801629968316</v>
      </c>
      <c r="M19" s="138"/>
      <c r="N19" s="65"/>
    </row>
    <row r="20" spans="1:14" ht="15" customHeight="1">
      <c r="A20" s="68"/>
      <c r="B20" s="107"/>
      <c r="C20" s="338" t="s">
        <v>117</v>
      </c>
      <c r="D20" s="199"/>
      <c r="E20" s="199"/>
      <c r="F20" s="199"/>
      <c r="G20" s="199"/>
      <c r="H20" s="199"/>
      <c r="I20" s="199"/>
      <c r="J20" s="199"/>
      <c r="K20" s="199"/>
      <c r="L20" s="199"/>
      <c r="M20" s="138"/>
      <c r="N20" s="65"/>
    </row>
    <row r="21" spans="1:14" ht="15" customHeight="1">
      <c r="A21" s="68"/>
      <c r="B21" s="107"/>
      <c r="C21" s="338"/>
      <c r="D21" s="199"/>
      <c r="E21" s="199"/>
      <c r="F21" s="199"/>
      <c r="G21" s="199"/>
      <c r="H21" s="199"/>
      <c r="I21" s="199"/>
      <c r="J21" s="199"/>
      <c r="K21" s="199"/>
      <c r="L21" s="199"/>
      <c r="M21" s="138"/>
      <c r="N21" s="65"/>
    </row>
    <row r="22" spans="1:14" ht="15" customHeight="1">
      <c r="A22" s="68"/>
      <c r="B22" s="107"/>
      <c r="C22" s="338"/>
      <c r="D22" s="199"/>
      <c r="E22" s="199"/>
      <c r="F22" s="199"/>
      <c r="G22" s="199"/>
      <c r="H22" s="199"/>
      <c r="I22" s="199"/>
      <c r="J22" s="199"/>
      <c r="K22" s="199"/>
      <c r="L22" s="199"/>
      <c r="M22" s="138"/>
      <c r="N22" s="65"/>
    </row>
    <row r="23" spans="1:14" ht="15" customHeight="1">
      <c r="A23" s="68"/>
      <c r="B23" s="107"/>
      <c r="C23" s="338"/>
      <c r="D23" s="199"/>
      <c r="E23" s="199"/>
      <c r="F23" s="199"/>
      <c r="G23" s="199"/>
      <c r="H23" s="199"/>
      <c r="I23" s="199"/>
      <c r="J23" s="199"/>
      <c r="K23" s="199"/>
      <c r="L23" s="199"/>
      <c r="M23" s="138"/>
      <c r="N23" s="65"/>
    </row>
    <row r="24" spans="1:14" ht="15" customHeight="1">
      <c r="A24" s="68"/>
      <c r="B24" s="107"/>
      <c r="C24" s="338"/>
      <c r="D24" s="199"/>
      <c r="E24" s="199"/>
      <c r="F24" s="199"/>
      <c r="G24" s="199"/>
      <c r="H24" s="199"/>
      <c r="I24" s="199"/>
      <c r="J24" s="199"/>
      <c r="K24" s="199"/>
      <c r="L24" s="199"/>
      <c r="M24" s="138"/>
      <c r="N24" s="65"/>
    </row>
    <row r="25" spans="1:14" ht="15" customHeight="1">
      <c r="A25" s="68"/>
      <c r="B25" s="107"/>
      <c r="C25" s="338"/>
      <c r="D25" s="199"/>
      <c r="E25" s="199"/>
      <c r="F25" s="199"/>
      <c r="G25" s="199"/>
      <c r="H25" s="199"/>
      <c r="I25" s="199"/>
      <c r="J25" s="199"/>
      <c r="K25" s="199"/>
      <c r="L25" s="199"/>
      <c r="M25" s="138"/>
      <c r="N25" s="65"/>
    </row>
    <row r="26" spans="1:14" ht="15" customHeight="1">
      <c r="A26" s="68"/>
      <c r="B26" s="107"/>
      <c r="C26" s="338"/>
      <c r="D26" s="199"/>
      <c r="E26" s="199"/>
      <c r="F26" s="199"/>
      <c r="G26" s="199"/>
      <c r="H26" s="199"/>
      <c r="I26" s="199"/>
      <c r="J26" s="199"/>
      <c r="K26" s="199"/>
      <c r="L26" s="199"/>
      <c r="M26" s="138"/>
      <c r="N26" s="65"/>
    </row>
    <row r="27" spans="1:14" ht="15" customHeight="1">
      <c r="A27" s="68"/>
      <c r="B27" s="107"/>
      <c r="C27" s="338"/>
      <c r="D27" s="199"/>
      <c r="E27" s="199"/>
      <c r="F27" s="199"/>
      <c r="G27" s="199"/>
      <c r="H27" s="199"/>
      <c r="I27" s="199"/>
      <c r="J27" s="199"/>
      <c r="K27" s="199"/>
      <c r="L27" s="199"/>
      <c r="M27" s="138"/>
      <c r="N27" s="65"/>
    </row>
    <row r="28" spans="1:14" ht="15" customHeight="1">
      <c r="A28" s="65"/>
      <c r="B28" s="180"/>
      <c r="C28" s="216"/>
      <c r="D28" s="216"/>
      <c r="E28" s="216"/>
      <c r="F28" s="217"/>
      <c r="G28" s="214"/>
      <c r="H28" s="214"/>
      <c r="I28" s="217"/>
      <c r="J28" s="214"/>
      <c r="K28" s="215"/>
      <c r="L28" s="215"/>
      <c r="M28" s="138"/>
      <c r="N28" s="65"/>
    </row>
    <row r="29" spans="1:14" ht="15" customHeight="1">
      <c r="A29" s="65"/>
      <c r="B29" s="119"/>
      <c r="C29" s="1205"/>
      <c r="D29" s="1205"/>
      <c r="E29" s="1205"/>
      <c r="F29" s="1205"/>
      <c r="G29" s="1205"/>
      <c r="H29" s="335"/>
      <c r="I29" s="181"/>
      <c r="J29" s="181"/>
      <c r="K29" s="181"/>
      <c r="L29" s="181"/>
      <c r="M29" s="139"/>
      <c r="N29" s="65"/>
    </row>
    <row r="30" spans="1:14" ht="15" customHeight="1">
      <c r="A30" s="65"/>
      <c r="B30" s="65"/>
      <c r="C30" s="65"/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</row>
  </sheetData>
  <mergeCells count="13">
    <mergeCell ref="A1:N1"/>
    <mergeCell ref="C29:G29"/>
    <mergeCell ref="C11:C12"/>
    <mergeCell ref="B3:M3"/>
    <mergeCell ref="C7:D8"/>
    <mergeCell ref="F7:G7"/>
    <mergeCell ref="I7:J7"/>
    <mergeCell ref="K7:K8"/>
    <mergeCell ref="D11:F11"/>
    <mergeCell ref="G11:I11"/>
    <mergeCell ref="J11:L11"/>
    <mergeCell ref="J12:L12"/>
    <mergeCell ref="C9:L9"/>
  </mergeCells>
  <pageMargins left="0.51181102362204722" right="0.51181102362204722" top="0.78740157480314965" bottom="0.78740157480314965" header="0.31496062992125984" footer="0.31496062992125984"/>
  <pageSetup paperSize="9" scale="95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>
  <dimension ref="A1:M93"/>
  <sheetViews>
    <sheetView workbookViewId="0">
      <selection sqref="A1:M1"/>
    </sheetView>
  </sheetViews>
  <sheetFormatPr defaultColWidth="11.42578125" defaultRowHeight="14.25"/>
  <cols>
    <col min="1" max="1" width="2.7109375" style="2" customWidth="1"/>
    <col min="2" max="2" width="15.42578125" style="2" customWidth="1"/>
    <col min="3" max="3" width="10.7109375" style="2" customWidth="1"/>
    <col min="4" max="4" width="11.28515625" style="2" bestFit="1" customWidth="1"/>
    <col min="5" max="5" width="8.7109375" style="2" customWidth="1"/>
    <col min="6" max="6" width="11.42578125" style="2" customWidth="1"/>
    <col min="7" max="7" width="11.85546875" style="2" customWidth="1"/>
    <col min="8" max="8" width="8.7109375" style="2" customWidth="1"/>
    <col min="9" max="9" width="10.7109375" style="2" customWidth="1"/>
    <col min="10" max="10" width="13.7109375" style="2" customWidth="1"/>
    <col min="11" max="11" width="11.28515625" style="2" bestFit="1" customWidth="1"/>
    <col min="12" max="12" width="13.7109375" style="2" customWidth="1"/>
    <col min="13" max="13" width="2.7109375" style="2" customWidth="1"/>
    <col min="14" max="16384" width="11.42578125" style="2"/>
  </cols>
  <sheetData>
    <row r="1" spans="1:13" ht="15" customHeight="1">
      <c r="A1" s="1238" t="s">
        <v>474</v>
      </c>
      <c r="B1" s="1238"/>
      <c r="C1" s="1238"/>
      <c r="D1" s="1238"/>
      <c r="E1" s="1238"/>
      <c r="F1" s="1238"/>
      <c r="G1" s="1238"/>
      <c r="H1" s="1238"/>
      <c r="I1" s="1238"/>
      <c r="J1" s="1238"/>
      <c r="K1" s="1238"/>
      <c r="L1" s="1238"/>
      <c r="M1" s="1238"/>
    </row>
    <row r="2" spans="1:13" ht="8.25" customHeight="1">
      <c r="A2" s="445"/>
      <c r="B2" s="1239"/>
      <c r="C2" s="1240"/>
      <c r="D2" s="1240"/>
      <c r="E2" s="1240"/>
      <c r="F2" s="1240"/>
      <c r="G2" s="1240"/>
      <c r="H2" s="1240"/>
      <c r="I2" s="1240"/>
      <c r="J2" s="1240"/>
      <c r="K2" s="1240"/>
      <c r="L2" s="1241"/>
      <c r="M2" s="445"/>
    </row>
    <row r="3" spans="1:13" ht="20.25" customHeight="1">
      <c r="A3" s="445"/>
      <c r="B3" s="1242" t="s">
        <v>118</v>
      </c>
      <c r="C3" s="1243"/>
      <c r="D3" s="1243"/>
      <c r="E3" s="1243"/>
      <c r="F3" s="1243"/>
      <c r="G3" s="1243"/>
      <c r="H3" s="1243"/>
      <c r="I3" s="1243"/>
      <c r="J3" s="1243"/>
      <c r="K3" s="1243"/>
      <c r="L3" s="1244"/>
      <c r="M3" s="445"/>
    </row>
    <row r="4" spans="1:13" ht="14.1" customHeight="1">
      <c r="A4" s="445"/>
      <c r="B4" s="448"/>
      <c r="C4" s="449"/>
      <c r="D4" s="449"/>
      <c r="E4" s="450"/>
      <c r="F4" s="450"/>
      <c r="G4" s="450"/>
      <c r="H4" s="450"/>
      <c r="I4" s="450"/>
      <c r="J4" s="450"/>
      <c r="K4" s="450"/>
      <c r="L4" s="451"/>
      <c r="M4" s="445"/>
    </row>
    <row r="5" spans="1:13" ht="12.95" customHeight="1">
      <c r="A5" s="445"/>
      <c r="B5" s="452" t="s">
        <v>119</v>
      </c>
      <c r="C5" s="1245">
        <v>2016</v>
      </c>
      <c r="D5" s="1246"/>
      <c r="E5" s="1247"/>
      <c r="F5" s="1245">
        <v>2015</v>
      </c>
      <c r="G5" s="1246"/>
      <c r="H5" s="1247"/>
      <c r="I5" s="1245" t="s">
        <v>541</v>
      </c>
      <c r="J5" s="1247"/>
      <c r="K5" s="1245" t="s">
        <v>542</v>
      </c>
      <c r="L5" s="1247"/>
      <c r="M5" s="445"/>
    </row>
    <row r="6" spans="1:13" ht="12.95" customHeight="1">
      <c r="A6" s="445"/>
      <c r="B6" s="453"/>
      <c r="C6" s="433" t="s">
        <v>120</v>
      </c>
      <c r="D6" s="434" t="s">
        <v>121</v>
      </c>
      <c r="E6" s="435" t="s">
        <v>12</v>
      </c>
      <c r="F6" s="433" t="s">
        <v>120</v>
      </c>
      <c r="G6" s="434" t="s">
        <v>121</v>
      </c>
      <c r="H6" s="435" t="s">
        <v>12</v>
      </c>
      <c r="I6" s="436" t="s">
        <v>120</v>
      </c>
      <c r="J6" s="437" t="s">
        <v>121</v>
      </c>
      <c r="K6" s="433" t="s">
        <v>120</v>
      </c>
      <c r="L6" s="454" t="s">
        <v>121</v>
      </c>
      <c r="M6" s="445"/>
    </row>
    <row r="7" spans="1:13" ht="12.95" customHeight="1">
      <c r="A7" s="445"/>
      <c r="B7" s="83" t="s">
        <v>122</v>
      </c>
      <c r="C7" s="455">
        <v>363398.93</v>
      </c>
      <c r="D7" s="455">
        <v>2485113.2999999998</v>
      </c>
      <c r="E7" s="440">
        <f>(C7*1000)/D7</f>
        <v>146.23032680240374</v>
      </c>
      <c r="F7" s="455">
        <v>546288</v>
      </c>
      <c r="G7" s="455">
        <v>2724750</v>
      </c>
      <c r="H7" s="440">
        <f t="shared" ref="H7:H18" si="0">(F7*1000)/G7</f>
        <v>200.49105422515828</v>
      </c>
      <c r="I7" s="438">
        <f>C7+SUM(F14:F18)</f>
        <v>2657344.4300000002</v>
      </c>
      <c r="J7" s="438">
        <f>D7+SUM(G14:G18)</f>
        <v>17472914.100000001</v>
      </c>
      <c r="K7" s="438">
        <f>C7+SUM(F8:F18)</f>
        <v>5372525.4299999997</v>
      </c>
      <c r="L7" s="438">
        <f>D7+SUM(G8:G18)</f>
        <v>33177597.433333334</v>
      </c>
      <c r="M7" s="593"/>
    </row>
    <row r="8" spans="1:13" ht="12.95" customHeight="1">
      <c r="A8" s="445"/>
      <c r="B8" s="96" t="s">
        <v>123</v>
      </c>
      <c r="C8" s="455"/>
      <c r="D8" s="455"/>
      <c r="E8" s="466"/>
      <c r="F8" s="455">
        <v>493482</v>
      </c>
      <c r="G8" s="455">
        <v>2513466.6666666665</v>
      </c>
      <c r="H8" s="466">
        <f t="shared" si="0"/>
        <v>196.33520768129014</v>
      </c>
      <c r="I8" s="438"/>
      <c r="J8" s="438"/>
      <c r="K8" s="438"/>
      <c r="L8" s="438"/>
      <c r="M8" s="593"/>
    </row>
    <row r="9" spans="1:13" ht="12.95" customHeight="1">
      <c r="A9" s="445"/>
      <c r="B9" s="96" t="s">
        <v>124</v>
      </c>
      <c r="C9" s="455"/>
      <c r="D9" s="455"/>
      <c r="E9" s="466"/>
      <c r="F9" s="455">
        <v>519708</v>
      </c>
      <c r="G9" s="455">
        <v>2860383.3333333335</v>
      </c>
      <c r="H9" s="466">
        <f t="shared" si="0"/>
        <v>181.69173129475652</v>
      </c>
      <c r="I9" s="438"/>
      <c r="J9" s="438"/>
      <c r="K9" s="438"/>
      <c r="L9" s="438"/>
      <c r="M9" s="593"/>
    </row>
    <row r="10" spans="1:13" ht="12.95" customHeight="1">
      <c r="A10" s="445"/>
      <c r="B10" s="96" t="s">
        <v>125</v>
      </c>
      <c r="C10" s="438"/>
      <c r="D10" s="438"/>
      <c r="E10" s="466"/>
      <c r="F10" s="438">
        <v>468848</v>
      </c>
      <c r="G10" s="438">
        <v>2815050</v>
      </c>
      <c r="H10" s="466">
        <f t="shared" si="0"/>
        <v>166.55050531962132</v>
      </c>
      <c r="I10" s="438"/>
      <c r="J10" s="438"/>
      <c r="K10" s="438"/>
      <c r="L10" s="438"/>
      <c r="M10" s="593"/>
    </row>
    <row r="11" spans="1:13" ht="12.95" customHeight="1">
      <c r="A11" s="445"/>
      <c r="B11" s="96" t="s">
        <v>126</v>
      </c>
      <c r="C11" s="438"/>
      <c r="D11" s="438"/>
      <c r="E11" s="466"/>
      <c r="F11" s="438">
        <v>434545</v>
      </c>
      <c r="G11" s="438">
        <v>2630416.6666666665</v>
      </c>
      <c r="H11" s="466">
        <f t="shared" si="0"/>
        <v>165.20006336131792</v>
      </c>
      <c r="I11" s="438"/>
      <c r="J11" s="438"/>
      <c r="K11" s="438"/>
      <c r="L11" s="438"/>
      <c r="M11" s="593"/>
    </row>
    <row r="12" spans="1:13" ht="12.95" customHeight="1">
      <c r="A12" s="445"/>
      <c r="B12" s="96" t="s">
        <v>127</v>
      </c>
      <c r="C12" s="438"/>
      <c r="D12" s="438"/>
      <c r="E12" s="466"/>
      <c r="F12" s="438">
        <v>392821</v>
      </c>
      <c r="G12" s="438">
        <v>2386266.6666666665</v>
      </c>
      <c r="H12" s="466">
        <f t="shared" si="0"/>
        <v>164.61739397664414</v>
      </c>
      <c r="I12" s="438"/>
      <c r="J12" s="438"/>
      <c r="K12" s="438"/>
      <c r="L12" s="456"/>
      <c r="M12" s="1111"/>
    </row>
    <row r="13" spans="1:13" ht="12.95" customHeight="1">
      <c r="A13" s="445"/>
      <c r="B13" s="96" t="s">
        <v>129</v>
      </c>
      <c r="C13" s="438"/>
      <c r="D13" s="438"/>
      <c r="E13" s="466"/>
      <c r="F13" s="438">
        <v>405777</v>
      </c>
      <c r="G13" s="438">
        <v>2499100</v>
      </c>
      <c r="H13" s="466">
        <f t="shared" si="0"/>
        <v>162.36925293105517</v>
      </c>
      <c r="I13" s="438"/>
      <c r="J13" s="438"/>
      <c r="K13" s="438"/>
      <c r="L13" s="438"/>
      <c r="M13" s="593"/>
    </row>
    <row r="14" spans="1:13" ht="12.95" customHeight="1">
      <c r="A14" s="445"/>
      <c r="B14" s="96" t="s">
        <v>130</v>
      </c>
      <c r="C14" s="455"/>
      <c r="D14" s="455"/>
      <c r="E14" s="466"/>
      <c r="F14" s="455">
        <v>424162</v>
      </c>
      <c r="G14" s="455">
        <v>2669921</v>
      </c>
      <c r="H14" s="466">
        <f t="shared" si="0"/>
        <v>158.86687284005782</v>
      </c>
      <c r="I14" s="438"/>
      <c r="J14" s="438"/>
      <c r="K14" s="438"/>
      <c r="L14" s="438"/>
      <c r="M14" s="593"/>
    </row>
    <row r="15" spans="1:13" ht="12.95" customHeight="1">
      <c r="A15" s="445"/>
      <c r="B15" s="96" t="s">
        <v>131</v>
      </c>
      <c r="C15" s="438"/>
      <c r="D15" s="438"/>
      <c r="E15" s="466"/>
      <c r="F15" s="438">
        <v>456927.7</v>
      </c>
      <c r="G15" s="438">
        <v>2918545.8</v>
      </c>
      <c r="H15" s="466">
        <f t="shared" si="0"/>
        <v>156.56005809468539</v>
      </c>
      <c r="I15" s="438"/>
      <c r="J15" s="438"/>
      <c r="K15" s="438"/>
      <c r="L15" s="438"/>
      <c r="M15" s="593"/>
    </row>
    <row r="16" spans="1:13" ht="12.95" customHeight="1">
      <c r="A16" s="445"/>
      <c r="B16" s="96" t="s">
        <v>132</v>
      </c>
      <c r="C16" s="438"/>
      <c r="D16" s="438"/>
      <c r="E16" s="466"/>
      <c r="F16" s="438">
        <v>501694</v>
      </c>
      <c r="G16" s="438">
        <v>3306499</v>
      </c>
      <c r="H16" s="466">
        <f t="shared" si="0"/>
        <v>151.72966935722647</v>
      </c>
      <c r="I16" s="438"/>
      <c r="J16" s="438"/>
      <c r="K16" s="438"/>
      <c r="L16" s="438"/>
      <c r="M16" s="594"/>
    </row>
    <row r="17" spans="1:13" ht="12.95" customHeight="1">
      <c r="A17" s="445"/>
      <c r="B17" s="96" t="s">
        <v>133</v>
      </c>
      <c r="C17" s="438"/>
      <c r="D17" s="438"/>
      <c r="E17" s="466"/>
      <c r="F17" s="438">
        <v>461321</v>
      </c>
      <c r="G17" s="438">
        <v>3116101</v>
      </c>
      <c r="H17" s="466">
        <f t="shared" si="0"/>
        <v>148.04430280019807</v>
      </c>
      <c r="I17" s="438"/>
      <c r="J17" s="438"/>
      <c r="K17" s="438"/>
      <c r="L17" s="456"/>
      <c r="M17" s="990"/>
    </row>
    <row r="18" spans="1:13" ht="12.95" customHeight="1">
      <c r="A18" s="445"/>
      <c r="B18" s="96" t="s">
        <v>134</v>
      </c>
      <c r="C18" s="441"/>
      <c r="D18" s="439"/>
      <c r="E18" s="442"/>
      <c r="F18" s="441">
        <v>449840.8</v>
      </c>
      <c r="G18" s="439">
        <v>2976734</v>
      </c>
      <c r="H18" s="442">
        <f t="shared" si="0"/>
        <v>151.11891086002311</v>
      </c>
      <c r="I18" s="441"/>
      <c r="J18" s="439"/>
      <c r="K18" s="439"/>
      <c r="L18" s="457"/>
      <c r="M18" s="445"/>
    </row>
    <row r="19" spans="1:13" ht="12.95" customHeight="1">
      <c r="A19" s="445"/>
      <c r="B19" s="458" t="s">
        <v>116</v>
      </c>
      <c r="C19" s="441">
        <f>SUM(C7:C18)</f>
        <v>363398.93</v>
      </c>
      <c r="D19" s="1035">
        <f>SUM(D7:D18)</f>
        <v>2485113.2999999998</v>
      </c>
      <c r="E19" s="443">
        <f t="shared" ref="E19" si="1">(C19*1000)/D19</f>
        <v>146.23032680240374</v>
      </c>
      <c r="F19" s="441">
        <f>SUM(F7:F18)</f>
        <v>5555414.5</v>
      </c>
      <c r="G19" s="1035">
        <f>SUM(G7:G18)</f>
        <v>33417234.133333333</v>
      </c>
      <c r="H19" s="442">
        <f t="shared" ref="H19" si="2">(F19*1000)/G19</f>
        <v>166.24399487504365</v>
      </c>
      <c r="I19" s="322"/>
      <c r="J19" s="322"/>
      <c r="K19" s="322"/>
      <c r="L19" s="459"/>
      <c r="M19" s="445"/>
    </row>
    <row r="20" spans="1:13" ht="12.95" customHeight="1">
      <c r="A20" s="445"/>
      <c r="B20" s="460" t="s">
        <v>117</v>
      </c>
      <c r="C20" s="461"/>
      <c r="D20" s="461"/>
      <c r="E20" s="141"/>
      <c r="F20" s="444" t="s">
        <v>143</v>
      </c>
      <c r="G20" s="462"/>
      <c r="H20" s="141"/>
      <c r="I20" s="141"/>
      <c r="J20" s="444" t="s">
        <v>136</v>
      </c>
      <c r="K20" s="141"/>
      <c r="L20" s="84"/>
      <c r="M20" s="445"/>
    </row>
    <row r="21" spans="1:13" ht="12.95" customHeight="1">
      <c r="A21" s="445"/>
      <c r="B21" s="460" t="s">
        <v>341</v>
      </c>
      <c r="C21" s="461"/>
      <c r="D21" s="461"/>
      <c r="E21" s="141"/>
      <c r="F21" s="444" t="s">
        <v>135</v>
      </c>
      <c r="G21" s="462"/>
      <c r="H21" s="141"/>
      <c r="I21" s="141"/>
      <c r="J21" s="444" t="s">
        <v>137</v>
      </c>
      <c r="K21" s="141"/>
      <c r="L21" s="84"/>
      <c r="M21" s="445"/>
    </row>
    <row r="22" spans="1:13" ht="12.95" customHeight="1">
      <c r="A22" s="445"/>
      <c r="B22" s="460"/>
      <c r="C22" s="461"/>
      <c r="D22" s="461"/>
      <c r="E22" s="141"/>
      <c r="F22" s="444"/>
      <c r="G22" s="462"/>
      <c r="H22" s="141"/>
      <c r="I22" s="141"/>
      <c r="J22" s="444"/>
      <c r="K22" s="141"/>
      <c r="L22" s="84"/>
      <c r="M22" s="445"/>
    </row>
    <row r="23" spans="1:13" ht="12.95" customHeight="1">
      <c r="A23" s="445"/>
      <c r="B23" s="460"/>
      <c r="C23" s="461"/>
      <c r="D23" s="461"/>
      <c r="E23" s="141"/>
      <c r="F23" s="444"/>
      <c r="G23" s="462"/>
      <c r="H23" s="141"/>
      <c r="I23" s="141"/>
      <c r="J23" s="444"/>
      <c r="K23" s="141"/>
      <c r="L23" s="84"/>
      <c r="M23" s="445"/>
    </row>
    <row r="24" spans="1:13">
      <c r="A24" s="445"/>
      <c r="B24" s="148"/>
      <c r="C24" s="461"/>
      <c r="D24" s="461"/>
      <c r="E24" s="141"/>
      <c r="F24" s="462"/>
      <c r="G24" s="462"/>
      <c r="H24" s="141"/>
      <c r="I24" s="141"/>
      <c r="J24" s="141"/>
      <c r="K24" s="141"/>
      <c r="L24" s="84"/>
      <c r="M24" s="445"/>
    </row>
    <row r="25" spans="1:13">
      <c r="A25" s="445"/>
      <c r="B25" s="463"/>
      <c r="C25" s="461"/>
      <c r="D25" s="461"/>
      <c r="E25" s="149"/>
      <c r="F25" s="149"/>
      <c r="G25" s="149"/>
      <c r="H25" s="149"/>
      <c r="I25" s="149"/>
      <c r="J25" s="149"/>
      <c r="K25" s="149"/>
      <c r="L25" s="150"/>
      <c r="M25" s="445"/>
    </row>
    <row r="26" spans="1:13">
      <c r="A26" s="445"/>
      <c r="B26" s="146"/>
      <c r="C26" s="141"/>
      <c r="D26" s="141"/>
      <c r="E26" s="141"/>
      <c r="F26" s="141"/>
      <c r="G26" s="141"/>
      <c r="H26" s="141"/>
      <c r="I26" s="141"/>
      <c r="J26" s="141"/>
      <c r="K26" s="141"/>
      <c r="L26" s="84"/>
      <c r="M26" s="445"/>
    </row>
    <row r="27" spans="1:13">
      <c r="A27" s="445"/>
      <c r="B27" s="146"/>
      <c r="C27" s="141"/>
      <c r="D27" s="141"/>
      <c r="E27" s="141"/>
      <c r="F27" s="141"/>
      <c r="G27" s="141"/>
      <c r="H27" s="141"/>
      <c r="I27" s="141"/>
      <c r="J27" s="141"/>
      <c r="K27" s="141"/>
      <c r="L27" s="84"/>
      <c r="M27" s="445"/>
    </row>
    <row r="28" spans="1:13">
      <c r="A28" s="445"/>
      <c r="B28" s="146"/>
      <c r="C28" s="141"/>
      <c r="D28" s="141"/>
      <c r="E28" s="141"/>
      <c r="F28" s="141"/>
      <c r="G28" s="141"/>
      <c r="H28" s="141"/>
      <c r="I28" s="141"/>
      <c r="J28" s="141"/>
      <c r="K28" s="141"/>
      <c r="L28" s="84"/>
      <c r="M28" s="445"/>
    </row>
    <row r="29" spans="1:13">
      <c r="A29" s="445"/>
      <c r="B29" s="146"/>
      <c r="C29" s="141"/>
      <c r="D29" s="141"/>
      <c r="E29" s="141"/>
      <c r="F29" s="141"/>
      <c r="G29" s="141"/>
      <c r="H29" s="141"/>
      <c r="I29" s="141"/>
      <c r="J29" s="141"/>
      <c r="K29" s="141"/>
      <c r="L29" s="84"/>
      <c r="M29" s="445"/>
    </row>
    <row r="30" spans="1:13">
      <c r="A30" s="445"/>
      <c r="B30" s="146"/>
      <c r="C30" s="141"/>
      <c r="D30" s="141"/>
      <c r="E30" s="141"/>
      <c r="F30" s="141"/>
      <c r="G30" s="141"/>
      <c r="H30" s="141"/>
      <c r="I30" s="141"/>
      <c r="J30" s="141"/>
      <c r="K30" s="141"/>
      <c r="L30" s="84"/>
      <c r="M30" s="445"/>
    </row>
    <row r="31" spans="1:13">
      <c r="A31" s="445"/>
      <c r="B31" s="146"/>
      <c r="C31" s="141"/>
      <c r="D31" s="141"/>
      <c r="E31" s="141"/>
      <c r="F31" s="141"/>
      <c r="G31" s="141"/>
      <c r="H31" s="141"/>
      <c r="I31" s="141"/>
      <c r="J31" s="141"/>
      <c r="K31" s="141"/>
      <c r="L31" s="84"/>
      <c r="M31" s="445"/>
    </row>
    <row r="32" spans="1:13">
      <c r="A32" s="445"/>
      <c r="B32" s="146"/>
      <c r="C32" s="141"/>
      <c r="D32" s="141"/>
      <c r="E32" s="141"/>
      <c r="F32" s="141"/>
      <c r="G32" s="141"/>
      <c r="H32" s="141"/>
      <c r="I32" s="141"/>
      <c r="J32" s="141"/>
      <c r="K32" s="141"/>
      <c r="L32" s="84"/>
      <c r="M32" s="445"/>
    </row>
    <row r="33" spans="1:13">
      <c r="A33" s="445"/>
      <c r="B33" s="146"/>
      <c r="C33" s="141"/>
      <c r="D33" s="141"/>
      <c r="E33" s="141"/>
      <c r="F33" s="141"/>
      <c r="G33" s="141"/>
      <c r="H33" s="141"/>
      <c r="I33" s="141"/>
      <c r="J33" s="141"/>
      <c r="K33" s="141"/>
      <c r="L33" s="84"/>
      <c r="M33" s="445"/>
    </row>
    <row r="34" spans="1:13">
      <c r="A34" s="445"/>
      <c r="B34" s="146"/>
      <c r="C34" s="141"/>
      <c r="D34" s="141"/>
      <c r="E34" s="141"/>
      <c r="F34" s="141"/>
      <c r="G34" s="141"/>
      <c r="H34" s="141"/>
      <c r="I34" s="141"/>
      <c r="J34" s="141"/>
      <c r="K34" s="141"/>
      <c r="L34" s="84"/>
      <c r="M34" s="445"/>
    </row>
    <row r="35" spans="1:13">
      <c r="A35" s="445"/>
      <c r="B35" s="464"/>
      <c r="C35" s="120"/>
      <c r="D35" s="120"/>
      <c r="E35" s="120"/>
      <c r="F35" s="120"/>
      <c r="G35" s="120"/>
      <c r="H35" s="120"/>
      <c r="I35" s="120"/>
      <c r="J35" s="120"/>
      <c r="K35" s="120"/>
      <c r="L35" s="465"/>
      <c r="M35" s="445"/>
    </row>
    <row r="36" spans="1:13" ht="15" customHeight="1">
      <c r="A36" s="445"/>
      <c r="B36" s="447"/>
      <c r="C36" s="447"/>
      <c r="D36" s="447"/>
      <c r="E36" s="447"/>
      <c r="F36" s="447"/>
      <c r="G36" s="447"/>
      <c r="H36" s="447"/>
      <c r="I36" s="447"/>
      <c r="J36" s="447"/>
      <c r="K36" s="447"/>
      <c r="L36" s="447"/>
      <c r="M36" s="445"/>
    </row>
    <row r="37" spans="1:13"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</row>
    <row r="38" spans="1:13"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</row>
    <row r="39" spans="1:13"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</row>
    <row r="40" spans="1:13"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</row>
    <row r="41" spans="1:13"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</row>
    <row r="42" spans="1:13"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</row>
    <row r="43" spans="1:13"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</row>
    <row r="44" spans="1:13"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</row>
    <row r="45" spans="1:13"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</row>
    <row r="46" spans="1:13"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</row>
    <row r="47" spans="1:13"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</row>
    <row r="48" spans="1:13"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</row>
    <row r="49" spans="2:12"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</row>
    <row r="50" spans="2:12"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</row>
    <row r="51" spans="2:12"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</row>
    <row r="52" spans="2:12"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</row>
    <row r="53" spans="2:12"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</row>
    <row r="54" spans="2:12"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</row>
    <row r="55" spans="2:12"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</row>
    <row r="56" spans="2:12"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</row>
    <row r="57" spans="2:12"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</row>
    <row r="58" spans="2:12"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</row>
    <row r="59" spans="2:12"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</row>
    <row r="60" spans="2:12"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</row>
    <row r="61" spans="2:12"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</row>
    <row r="62" spans="2:12"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</row>
    <row r="63" spans="2:12"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</row>
    <row r="64" spans="2:12"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</row>
    <row r="65" spans="2:12"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</row>
    <row r="66" spans="2:12"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</row>
    <row r="67" spans="2:12"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</row>
    <row r="68" spans="2:12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</row>
    <row r="69" spans="2:12"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</row>
    <row r="70" spans="2:12"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</row>
    <row r="71" spans="2:12"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</row>
    <row r="72" spans="2:12"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</row>
    <row r="73" spans="2:12"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</row>
    <row r="74" spans="2:12"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</row>
    <row r="75" spans="2:12"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</row>
    <row r="76" spans="2:12"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</row>
    <row r="77" spans="2:12"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</row>
    <row r="78" spans="2:12"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</row>
    <row r="79" spans="2:12"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</row>
    <row r="80" spans="2:12"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</row>
    <row r="81" spans="2:12"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</row>
    <row r="82" spans="2:12"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</row>
    <row r="83" spans="2:12"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</row>
    <row r="84" spans="2:12"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</row>
    <row r="85" spans="2:12"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</row>
    <row r="86" spans="2:12"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</row>
    <row r="87" spans="2:12"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</row>
    <row r="88" spans="2:12"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</row>
    <row r="89" spans="2:12"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</row>
    <row r="90" spans="2:12"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</row>
    <row r="91" spans="2:12"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</row>
    <row r="92" spans="2:12"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</row>
    <row r="93" spans="2:12"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</row>
  </sheetData>
  <mergeCells count="7">
    <mergeCell ref="A1:M1"/>
    <mergeCell ref="B2:L2"/>
    <mergeCell ref="B3:L3"/>
    <mergeCell ref="C5:E5"/>
    <mergeCell ref="F5:H5"/>
    <mergeCell ref="I5:J5"/>
    <mergeCell ref="K5:L5"/>
  </mergeCells>
  <pageMargins left="0.51181102362204722" right="0.51181102362204722" top="0.78740157480314965" bottom="0.78740157480314965" header="0.31496062992125984" footer="0.31496062992125984"/>
  <pageSetup paperSize="9" orientation="landscape" verticalDpi="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>
  <dimension ref="A1:P93"/>
  <sheetViews>
    <sheetView workbookViewId="0">
      <selection sqref="A1:M1"/>
    </sheetView>
  </sheetViews>
  <sheetFormatPr defaultColWidth="11.42578125" defaultRowHeight="14.25"/>
  <cols>
    <col min="1" max="1" width="2.7109375" style="2" customWidth="1"/>
    <col min="2" max="2" width="15.42578125" style="2" customWidth="1"/>
    <col min="3" max="3" width="10.7109375" style="2" customWidth="1"/>
    <col min="4" max="4" width="11.28515625" style="2" bestFit="1" customWidth="1"/>
    <col min="5" max="5" width="8.7109375" style="2" customWidth="1"/>
    <col min="6" max="6" width="10.7109375" style="2" customWidth="1"/>
    <col min="7" max="7" width="11.85546875" style="2" customWidth="1"/>
    <col min="8" max="8" width="8.7109375" style="2" customWidth="1"/>
    <col min="9" max="9" width="10.7109375" style="2" customWidth="1"/>
    <col min="10" max="10" width="13.7109375" style="2" customWidth="1"/>
    <col min="11" max="11" width="10.7109375" style="2" customWidth="1"/>
    <col min="12" max="12" width="13.7109375" style="2" customWidth="1"/>
    <col min="13" max="13" width="2.7109375" style="2" customWidth="1"/>
    <col min="14" max="16384" width="11.42578125" style="2"/>
  </cols>
  <sheetData>
    <row r="1" spans="1:16" ht="15" customHeight="1">
      <c r="A1" s="1238" t="s">
        <v>475</v>
      </c>
      <c r="B1" s="1238"/>
      <c r="C1" s="1238"/>
      <c r="D1" s="1238"/>
      <c r="E1" s="1238"/>
      <c r="F1" s="1238"/>
      <c r="G1" s="1238"/>
      <c r="H1" s="1238"/>
      <c r="I1" s="1238"/>
      <c r="J1" s="1238"/>
      <c r="K1" s="1238"/>
      <c r="L1" s="1238"/>
      <c r="M1" s="1238"/>
    </row>
    <row r="2" spans="1:16" ht="8.25" customHeight="1">
      <c r="A2" s="445"/>
      <c r="B2" s="1239"/>
      <c r="C2" s="1240"/>
      <c r="D2" s="1240"/>
      <c r="E2" s="1240"/>
      <c r="F2" s="1240"/>
      <c r="G2" s="1240"/>
      <c r="H2" s="1240"/>
      <c r="I2" s="1240"/>
      <c r="J2" s="1240"/>
      <c r="K2" s="1240"/>
      <c r="L2" s="1241"/>
      <c r="M2" s="445"/>
    </row>
    <row r="3" spans="1:16" ht="20.25" customHeight="1">
      <c r="A3" s="445"/>
      <c r="B3" s="1242" t="s">
        <v>138</v>
      </c>
      <c r="C3" s="1243"/>
      <c r="D3" s="1243"/>
      <c r="E3" s="1243"/>
      <c r="F3" s="1243"/>
      <c r="G3" s="1243"/>
      <c r="H3" s="1243"/>
      <c r="I3" s="1243"/>
      <c r="J3" s="1243"/>
      <c r="K3" s="1243"/>
      <c r="L3" s="1244"/>
      <c r="M3" s="445"/>
    </row>
    <row r="4" spans="1:16" ht="14.1" customHeight="1">
      <c r="A4" s="445"/>
      <c r="B4" s="448"/>
      <c r="C4" s="449"/>
      <c r="D4" s="449"/>
      <c r="E4" s="450"/>
      <c r="F4" s="450"/>
      <c r="G4" s="450"/>
      <c r="H4" s="450"/>
      <c r="I4" s="450"/>
      <c r="J4" s="450"/>
      <c r="K4" s="450"/>
      <c r="L4" s="451"/>
      <c r="M4" s="445"/>
    </row>
    <row r="5" spans="1:16" ht="12.95" customHeight="1">
      <c r="A5" s="445"/>
      <c r="B5" s="452" t="s">
        <v>119</v>
      </c>
      <c r="C5" s="1245">
        <v>2016</v>
      </c>
      <c r="D5" s="1246"/>
      <c r="E5" s="1247"/>
      <c r="F5" s="1245">
        <v>2015</v>
      </c>
      <c r="G5" s="1246"/>
      <c r="H5" s="1247"/>
      <c r="I5" s="1245" t="s">
        <v>541</v>
      </c>
      <c r="J5" s="1247"/>
      <c r="K5" s="1245" t="s">
        <v>542</v>
      </c>
      <c r="L5" s="1247"/>
      <c r="M5" s="445"/>
    </row>
    <row r="6" spans="1:16" ht="12.95" customHeight="1">
      <c r="A6" s="445"/>
      <c r="B6" s="453"/>
      <c r="C6" s="433" t="s">
        <v>120</v>
      </c>
      <c r="D6" s="434" t="s">
        <v>121</v>
      </c>
      <c r="E6" s="435" t="s">
        <v>12</v>
      </c>
      <c r="F6" s="433" t="s">
        <v>120</v>
      </c>
      <c r="G6" s="434" t="s">
        <v>121</v>
      </c>
      <c r="H6" s="435" t="s">
        <v>12</v>
      </c>
      <c r="I6" s="436" t="s">
        <v>120</v>
      </c>
      <c r="J6" s="437" t="s">
        <v>121</v>
      </c>
      <c r="K6" s="433" t="s">
        <v>120</v>
      </c>
      <c r="L6" s="454" t="s">
        <v>121</v>
      </c>
      <c r="M6" s="445"/>
    </row>
    <row r="7" spans="1:16" ht="12.95" customHeight="1">
      <c r="A7" s="445"/>
      <c r="B7" s="998" t="s">
        <v>122</v>
      </c>
      <c r="C7" s="1010">
        <v>37861.644</v>
      </c>
      <c r="D7" s="1010">
        <v>250387.41</v>
      </c>
      <c r="E7" s="1000">
        <f t="shared" ref="E7" si="0">(C7*1000)/D7</f>
        <v>151.21225144666818</v>
      </c>
      <c r="F7" s="1010">
        <v>39831</v>
      </c>
      <c r="G7" s="1010">
        <v>228973.33333333334</v>
      </c>
      <c r="H7" s="1000">
        <f t="shared" ref="H7:H18" si="1">(F7*1000)/G7</f>
        <v>173.95475455657134</v>
      </c>
      <c r="I7" s="438">
        <f>C7+SUM(F14:F18)</f>
        <v>263635.94700000004</v>
      </c>
      <c r="J7" s="438">
        <f>D7+SUM(G14:G18)</f>
        <v>1684886.453</v>
      </c>
      <c r="K7" s="438">
        <f>C7+SUM(F8:F18)</f>
        <v>554434.94700000004</v>
      </c>
      <c r="L7" s="1113">
        <f>D7+SUM(G8:G18)</f>
        <v>3406302.7863333337</v>
      </c>
      <c r="M7" s="445"/>
    </row>
    <row r="8" spans="1:16" ht="12.95" customHeight="1">
      <c r="A8" s="445"/>
      <c r="B8" s="1001" t="s">
        <v>123</v>
      </c>
      <c r="C8" s="1010"/>
      <c r="D8" s="1010"/>
      <c r="E8" s="1002"/>
      <c r="F8" s="1010">
        <v>42123</v>
      </c>
      <c r="G8" s="1010">
        <v>235993.33333333334</v>
      </c>
      <c r="H8" s="1002">
        <f t="shared" si="1"/>
        <v>178.49233029181616</v>
      </c>
      <c r="I8" s="438"/>
      <c r="J8" s="438"/>
      <c r="K8" s="438"/>
      <c r="L8" s="456"/>
      <c r="M8" s="445"/>
    </row>
    <row r="9" spans="1:16" ht="12.95" customHeight="1">
      <c r="A9" s="445"/>
      <c r="B9" s="1001" t="s">
        <v>124</v>
      </c>
      <c r="C9" s="1010"/>
      <c r="D9" s="1010"/>
      <c r="E9" s="1002"/>
      <c r="F9" s="1010">
        <v>50779</v>
      </c>
      <c r="G9" s="1010">
        <v>289813.33333333331</v>
      </c>
      <c r="H9" s="1002">
        <f t="shared" si="1"/>
        <v>175.21278064041223</v>
      </c>
      <c r="I9" s="438"/>
      <c r="J9" s="438"/>
      <c r="K9" s="438"/>
      <c r="L9" s="456"/>
      <c r="M9" s="445"/>
      <c r="P9" s="2" t="s">
        <v>543</v>
      </c>
    </row>
    <row r="10" spans="1:16" ht="12.95" customHeight="1">
      <c r="A10" s="445"/>
      <c r="B10" s="1001" t="s">
        <v>125</v>
      </c>
      <c r="C10" s="1010"/>
      <c r="D10" s="1010"/>
      <c r="E10" s="1002"/>
      <c r="F10" s="1010">
        <v>51658</v>
      </c>
      <c r="G10" s="1010">
        <v>306626.66666666669</v>
      </c>
      <c r="H10" s="1002">
        <f t="shared" si="1"/>
        <v>168.47197460538331</v>
      </c>
      <c r="I10" s="438"/>
      <c r="J10" s="438"/>
      <c r="K10" s="438"/>
      <c r="L10" s="456"/>
      <c r="M10" s="445"/>
    </row>
    <row r="11" spans="1:16" ht="12.95" customHeight="1">
      <c r="A11" s="445"/>
      <c r="B11" s="1001" t="s">
        <v>126</v>
      </c>
      <c r="C11" s="1010"/>
      <c r="D11" s="1010"/>
      <c r="E11" s="1002"/>
      <c r="F11" s="1010">
        <v>44442</v>
      </c>
      <c r="G11" s="1010">
        <v>266023.33333333331</v>
      </c>
      <c r="H11" s="1002">
        <f t="shared" si="1"/>
        <v>167.06053353715842</v>
      </c>
      <c r="I11" s="438"/>
      <c r="J11" s="438"/>
      <c r="K11" s="438"/>
      <c r="L11" s="456"/>
      <c r="M11" s="445"/>
    </row>
    <row r="12" spans="1:16" ht="12.95" customHeight="1">
      <c r="A12" s="445"/>
      <c r="B12" s="1001" t="s">
        <v>127</v>
      </c>
      <c r="C12" s="1010"/>
      <c r="D12" s="1010"/>
      <c r="E12" s="1002"/>
      <c r="F12" s="1010">
        <v>51099</v>
      </c>
      <c r="G12" s="1010">
        <v>307406.66666666669</v>
      </c>
      <c r="H12" s="1002">
        <f t="shared" si="1"/>
        <v>166.22606319533298</v>
      </c>
      <c r="I12" s="438"/>
      <c r="J12" s="438"/>
      <c r="K12" s="438"/>
      <c r="L12" s="456"/>
      <c r="M12" s="445"/>
    </row>
    <row r="13" spans="1:16" ht="12.95" customHeight="1">
      <c r="A13" s="445"/>
      <c r="B13" s="1001" t="s">
        <v>129</v>
      </c>
      <c r="C13" s="1010"/>
      <c r="D13" s="1010"/>
      <c r="E13" s="1002"/>
      <c r="F13" s="1010">
        <v>50698</v>
      </c>
      <c r="G13" s="1010">
        <v>315553</v>
      </c>
      <c r="H13" s="1002">
        <f t="shared" si="1"/>
        <v>160.66397720826612</v>
      </c>
      <c r="I13" s="438"/>
      <c r="J13" s="438"/>
      <c r="K13" s="438"/>
      <c r="L13" s="456"/>
      <c r="M13" s="445"/>
    </row>
    <row r="14" spans="1:16" ht="12.95" customHeight="1">
      <c r="A14" s="445"/>
      <c r="B14" s="1001" t="s">
        <v>130</v>
      </c>
      <c r="C14" s="1010"/>
      <c r="D14" s="1010"/>
      <c r="E14" s="1002"/>
      <c r="F14" s="1010">
        <v>50178.065000000002</v>
      </c>
      <c r="G14" s="1010">
        <v>306961.11300000001</v>
      </c>
      <c r="H14" s="1002">
        <f>(F14*1000)/G14</f>
        <v>163.4671718172979</v>
      </c>
      <c r="I14" s="438"/>
      <c r="J14" s="438"/>
      <c r="K14" s="438"/>
      <c r="L14" s="456"/>
      <c r="M14" s="445"/>
    </row>
    <row r="15" spans="1:16" ht="12.95" customHeight="1">
      <c r="A15" s="445"/>
      <c r="B15" s="1001" t="s">
        <v>131</v>
      </c>
      <c r="C15" s="1010"/>
      <c r="D15" s="1010"/>
      <c r="E15" s="1002"/>
      <c r="F15" s="1010">
        <v>47654.6</v>
      </c>
      <c r="G15" s="1010">
        <v>297746.40000000002</v>
      </c>
      <c r="H15" s="1002">
        <f>(F15*1000)/G15</f>
        <v>160.0509695499257</v>
      </c>
      <c r="I15" s="438"/>
      <c r="J15" s="438"/>
      <c r="K15" s="438"/>
      <c r="L15" s="456"/>
      <c r="M15" s="445"/>
    </row>
    <row r="16" spans="1:16" ht="12.95" customHeight="1">
      <c r="A16" s="445"/>
      <c r="B16" s="1001" t="s">
        <v>132</v>
      </c>
      <c r="C16" s="1010"/>
      <c r="D16" s="1010"/>
      <c r="E16" s="1002"/>
      <c r="F16" s="1010">
        <v>46968.487000000001</v>
      </c>
      <c r="G16" s="1010">
        <v>298776.53000000003</v>
      </c>
      <c r="H16" s="1002">
        <f>(F16*1000)/G16</f>
        <v>157.20273275815873</v>
      </c>
      <c r="I16" s="438"/>
      <c r="J16" s="438"/>
      <c r="K16" s="438"/>
      <c r="L16" s="456"/>
      <c r="M16" s="446"/>
    </row>
    <row r="17" spans="1:13" ht="12.95" customHeight="1">
      <c r="A17" s="445"/>
      <c r="B17" s="1001" t="s">
        <v>133</v>
      </c>
      <c r="C17" s="1010"/>
      <c r="D17" s="1010"/>
      <c r="E17" s="1002"/>
      <c r="F17" s="1010">
        <v>34466</v>
      </c>
      <c r="G17" s="1010">
        <v>224483</v>
      </c>
      <c r="H17" s="1002">
        <f>(F17*1000)/G17</f>
        <v>153.53501155989539</v>
      </c>
      <c r="I17" s="438"/>
      <c r="J17" s="438"/>
      <c r="K17" s="438"/>
      <c r="L17" s="456"/>
      <c r="M17" s="445"/>
    </row>
    <row r="18" spans="1:13" ht="12.95" customHeight="1">
      <c r="A18" s="445"/>
      <c r="B18" s="1001" t="s">
        <v>134</v>
      </c>
      <c r="C18" s="1005"/>
      <c r="D18" s="1006"/>
      <c r="E18" s="1009"/>
      <c r="F18" s="1005">
        <v>46507.150999999998</v>
      </c>
      <c r="G18" s="1006">
        <v>306532</v>
      </c>
      <c r="H18" s="1009">
        <f t="shared" si="1"/>
        <v>151.72037829655631</v>
      </c>
      <c r="I18" s="441"/>
      <c r="J18" s="439"/>
      <c r="K18" s="439"/>
      <c r="L18" s="457"/>
      <c r="M18" s="445"/>
    </row>
    <row r="19" spans="1:13" ht="12.95" customHeight="1">
      <c r="A19" s="445"/>
      <c r="B19" s="1007" t="s">
        <v>116</v>
      </c>
      <c r="C19" s="1005">
        <f>SUM(C7:C18)</f>
        <v>37861.644</v>
      </c>
      <c r="D19" s="1024">
        <f>SUM(D7:D18)</f>
        <v>250387.41</v>
      </c>
      <c r="E19" s="1009">
        <f>(C19*1000)/D19</f>
        <v>151.21225144666818</v>
      </c>
      <c r="F19" s="1024">
        <f>SUM(F7:F18)</f>
        <v>556404.30299999996</v>
      </c>
      <c r="G19" s="1024">
        <f>SUM(G7:G18)</f>
        <v>3384888.7096666666</v>
      </c>
      <c r="H19" s="1008">
        <f>(F19*1000)/G19</f>
        <v>164.37890599209479</v>
      </c>
      <c r="I19" s="575"/>
      <c r="J19" s="575"/>
      <c r="K19" s="575"/>
      <c r="L19" s="644"/>
      <c r="M19" s="445"/>
    </row>
    <row r="20" spans="1:13" ht="12.95" customHeight="1">
      <c r="A20" s="445"/>
      <c r="B20" s="460" t="s">
        <v>117</v>
      </c>
      <c r="C20" s="461"/>
      <c r="D20" s="461"/>
      <c r="E20" s="141"/>
      <c r="F20" s="444" t="s">
        <v>144</v>
      </c>
      <c r="G20" s="462"/>
      <c r="H20" s="141"/>
      <c r="I20" s="141"/>
      <c r="J20" s="444" t="s">
        <v>136</v>
      </c>
      <c r="K20" s="141"/>
      <c r="L20" s="84"/>
      <c r="M20" s="445"/>
    </row>
    <row r="21" spans="1:13" ht="12.95" customHeight="1">
      <c r="A21" s="445"/>
      <c r="B21" s="460" t="s">
        <v>341</v>
      </c>
      <c r="C21" s="461"/>
      <c r="D21" s="461"/>
      <c r="E21" s="141"/>
      <c r="F21" s="444" t="s">
        <v>135</v>
      </c>
      <c r="G21" s="462"/>
      <c r="H21" s="141"/>
      <c r="I21" s="141"/>
      <c r="J21" s="444" t="s">
        <v>137</v>
      </c>
      <c r="K21" s="141"/>
      <c r="L21" s="84"/>
      <c r="M21" s="445"/>
    </row>
    <row r="22" spans="1:13">
      <c r="A22" s="445"/>
      <c r="B22" s="148"/>
      <c r="C22" s="461"/>
      <c r="D22" s="461"/>
      <c r="E22" s="141"/>
      <c r="F22" s="462"/>
      <c r="G22" s="462"/>
      <c r="H22" s="141"/>
      <c r="I22" s="141"/>
      <c r="J22" s="141"/>
      <c r="K22" s="141"/>
      <c r="L22" s="84"/>
      <c r="M22" s="445"/>
    </row>
    <row r="23" spans="1:13">
      <c r="A23" s="445"/>
      <c r="B23" s="148"/>
      <c r="C23" s="461"/>
      <c r="D23" s="461"/>
      <c r="E23" s="141"/>
      <c r="F23" s="462"/>
      <c r="G23" s="462"/>
      <c r="H23" s="141"/>
      <c r="I23" s="141"/>
      <c r="J23" s="141"/>
      <c r="K23" s="141"/>
      <c r="L23" s="84"/>
      <c r="M23" s="445"/>
    </row>
    <row r="24" spans="1:13">
      <c r="A24" s="445"/>
      <c r="B24" s="148"/>
      <c r="C24" s="461"/>
      <c r="D24" s="461"/>
      <c r="E24" s="141"/>
      <c r="F24" s="462"/>
      <c r="G24" s="462"/>
      <c r="H24" s="141"/>
      <c r="I24" s="141"/>
      <c r="J24" s="141"/>
      <c r="K24" s="141"/>
      <c r="L24" s="84"/>
      <c r="M24" s="445"/>
    </row>
    <row r="25" spans="1:13">
      <c r="A25" s="445"/>
      <c r="B25" s="463"/>
      <c r="C25" s="461"/>
      <c r="D25" s="461"/>
      <c r="E25" s="149"/>
      <c r="F25" s="149"/>
      <c r="G25" s="149"/>
      <c r="H25" s="149"/>
      <c r="I25" s="149"/>
      <c r="J25" s="149"/>
      <c r="K25" s="149"/>
      <c r="L25" s="150"/>
      <c r="M25" s="445"/>
    </row>
    <row r="26" spans="1:13">
      <c r="A26" s="445"/>
      <c r="B26" s="146"/>
      <c r="C26" s="141"/>
      <c r="D26" s="141"/>
      <c r="E26" s="141"/>
      <c r="F26" s="141"/>
      <c r="G26" s="141"/>
      <c r="H26" s="141"/>
      <c r="I26" s="141"/>
      <c r="J26" s="141"/>
      <c r="K26" s="141"/>
      <c r="L26" s="84"/>
      <c r="M26" s="445"/>
    </row>
    <row r="27" spans="1:13">
      <c r="A27" s="445"/>
      <c r="B27" s="146"/>
      <c r="C27" s="141"/>
      <c r="D27" s="141"/>
      <c r="E27" s="141"/>
      <c r="F27" s="141"/>
      <c r="G27" s="141"/>
      <c r="H27" s="141"/>
      <c r="I27" s="141"/>
      <c r="J27" s="141"/>
      <c r="K27" s="141"/>
      <c r="L27" s="84"/>
      <c r="M27" s="445"/>
    </row>
    <row r="28" spans="1:13">
      <c r="A28" s="445"/>
      <c r="B28" s="146"/>
      <c r="C28" s="141"/>
      <c r="D28" s="141"/>
      <c r="E28" s="141"/>
      <c r="F28" s="141"/>
      <c r="G28" s="141"/>
      <c r="H28" s="141"/>
      <c r="I28" s="141"/>
      <c r="J28" s="141"/>
      <c r="K28" s="141"/>
      <c r="L28" s="84"/>
      <c r="M28" s="445"/>
    </row>
    <row r="29" spans="1:13">
      <c r="A29" s="445"/>
      <c r="B29" s="146"/>
      <c r="C29" s="141"/>
      <c r="D29" s="141"/>
      <c r="E29" s="141"/>
      <c r="F29" s="141"/>
      <c r="G29" s="141"/>
      <c r="H29" s="141"/>
      <c r="I29" s="141"/>
      <c r="J29" s="141"/>
      <c r="K29" s="141"/>
      <c r="L29" s="84"/>
      <c r="M29" s="445"/>
    </row>
    <row r="30" spans="1:13">
      <c r="A30" s="445"/>
      <c r="B30" s="146"/>
      <c r="C30" s="141"/>
      <c r="D30" s="141"/>
      <c r="E30" s="141"/>
      <c r="F30" s="141"/>
      <c r="G30" s="141"/>
      <c r="H30" s="141"/>
      <c r="I30" s="141"/>
      <c r="J30" s="141"/>
      <c r="K30" s="141"/>
      <c r="L30" s="84"/>
      <c r="M30" s="445"/>
    </row>
    <row r="31" spans="1:13">
      <c r="A31" s="445"/>
      <c r="B31" s="146"/>
      <c r="C31" s="141"/>
      <c r="D31" s="141"/>
      <c r="E31" s="141"/>
      <c r="F31" s="141"/>
      <c r="G31" s="141"/>
      <c r="H31" s="141"/>
      <c r="I31" s="141"/>
      <c r="J31" s="141"/>
      <c r="K31" s="141"/>
      <c r="L31" s="84"/>
      <c r="M31" s="445"/>
    </row>
    <row r="32" spans="1:13">
      <c r="A32" s="445"/>
      <c r="B32" s="146"/>
      <c r="C32" s="141"/>
      <c r="D32" s="141"/>
      <c r="E32" s="141"/>
      <c r="F32" s="141"/>
      <c r="G32" s="141"/>
      <c r="H32" s="141"/>
      <c r="I32" s="141"/>
      <c r="J32" s="141"/>
      <c r="K32" s="141"/>
      <c r="L32" s="84"/>
      <c r="M32" s="445"/>
    </row>
    <row r="33" spans="1:13">
      <c r="A33" s="445"/>
      <c r="B33" s="146"/>
      <c r="C33" s="141"/>
      <c r="D33" s="141"/>
      <c r="E33" s="141"/>
      <c r="F33" s="141"/>
      <c r="G33" s="141"/>
      <c r="H33" s="141"/>
      <c r="I33" s="141"/>
      <c r="J33" s="141"/>
      <c r="K33" s="141"/>
      <c r="L33" s="84"/>
      <c r="M33" s="445"/>
    </row>
    <row r="34" spans="1:13">
      <c r="A34" s="445"/>
      <c r="B34" s="146"/>
      <c r="C34" s="141"/>
      <c r="D34" s="141"/>
      <c r="E34" s="141"/>
      <c r="F34" s="141"/>
      <c r="G34" s="141"/>
      <c r="H34" s="141"/>
      <c r="I34" s="141"/>
      <c r="J34" s="141"/>
      <c r="K34" s="141"/>
      <c r="L34" s="84"/>
      <c r="M34" s="445"/>
    </row>
    <row r="35" spans="1:13">
      <c r="A35" s="445"/>
      <c r="B35" s="464"/>
      <c r="C35" s="120"/>
      <c r="D35" s="120"/>
      <c r="E35" s="120"/>
      <c r="F35" s="120"/>
      <c r="G35" s="120"/>
      <c r="H35" s="120"/>
      <c r="I35" s="120"/>
      <c r="J35" s="120"/>
      <c r="K35" s="120"/>
      <c r="L35" s="465"/>
      <c r="M35" s="445"/>
    </row>
    <row r="36" spans="1:13" ht="15" customHeight="1">
      <c r="A36" s="445"/>
      <c r="B36" s="447"/>
      <c r="C36" s="447"/>
      <c r="D36" s="447"/>
      <c r="E36" s="447"/>
      <c r="F36" s="447"/>
      <c r="G36" s="447"/>
      <c r="H36" s="447"/>
      <c r="I36" s="447"/>
      <c r="J36" s="447"/>
      <c r="K36" s="447"/>
      <c r="L36" s="447"/>
      <c r="M36" s="445"/>
    </row>
    <row r="37" spans="1:13"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</row>
    <row r="38" spans="1:13"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</row>
    <row r="39" spans="1:13"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</row>
    <row r="40" spans="1:13"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</row>
    <row r="41" spans="1:13"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</row>
    <row r="42" spans="1:13"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</row>
    <row r="43" spans="1:13"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</row>
    <row r="44" spans="1:13"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</row>
    <row r="45" spans="1:13"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</row>
    <row r="46" spans="1:13"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</row>
    <row r="47" spans="1:13"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</row>
    <row r="48" spans="1:13"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</row>
    <row r="49" spans="2:12"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</row>
    <row r="50" spans="2:12"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</row>
    <row r="51" spans="2:12"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</row>
    <row r="52" spans="2:12"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</row>
    <row r="53" spans="2:12"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</row>
    <row r="54" spans="2:12"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</row>
    <row r="55" spans="2:12"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</row>
    <row r="56" spans="2:12"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</row>
    <row r="57" spans="2:12"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</row>
    <row r="58" spans="2:12"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</row>
    <row r="59" spans="2:12"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</row>
    <row r="60" spans="2:12"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</row>
    <row r="61" spans="2:12"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</row>
    <row r="62" spans="2:12"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</row>
    <row r="63" spans="2:12"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</row>
    <row r="64" spans="2:12"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</row>
    <row r="65" spans="2:12"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</row>
    <row r="66" spans="2:12"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</row>
    <row r="67" spans="2:12"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</row>
    <row r="68" spans="2:12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</row>
    <row r="69" spans="2:12"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</row>
    <row r="70" spans="2:12"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</row>
    <row r="71" spans="2:12"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</row>
    <row r="72" spans="2:12"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</row>
    <row r="73" spans="2:12"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</row>
    <row r="74" spans="2:12"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</row>
    <row r="75" spans="2:12"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</row>
    <row r="76" spans="2:12"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</row>
    <row r="77" spans="2:12"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</row>
    <row r="78" spans="2:12"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</row>
    <row r="79" spans="2:12"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</row>
    <row r="80" spans="2:12"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</row>
    <row r="81" spans="2:12"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</row>
    <row r="82" spans="2:12"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</row>
    <row r="83" spans="2:12"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</row>
    <row r="84" spans="2:12"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</row>
    <row r="85" spans="2:12"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</row>
    <row r="86" spans="2:12"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</row>
    <row r="87" spans="2:12"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</row>
    <row r="88" spans="2:12"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</row>
    <row r="89" spans="2:12"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</row>
    <row r="90" spans="2:12"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</row>
    <row r="91" spans="2:12"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</row>
    <row r="92" spans="2:12"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</row>
    <row r="93" spans="2:12"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</row>
  </sheetData>
  <mergeCells count="7">
    <mergeCell ref="A1:M1"/>
    <mergeCell ref="B2:L2"/>
    <mergeCell ref="B3:L3"/>
    <mergeCell ref="C5:E5"/>
    <mergeCell ref="F5:H5"/>
    <mergeCell ref="I5:J5"/>
    <mergeCell ref="K5:L5"/>
  </mergeCells>
  <printOptions horizontalCentered="1" verticalCentered="1"/>
  <pageMargins left="0.51181102362204722" right="0.51181102362204722" top="0.78740157480314965" bottom="0.78740157480314965" header="0.31496062992125984" footer="0.31496062992125984"/>
  <pageSetup paperSize="9" orientation="landscape" verticalDpi="0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>
  <dimension ref="A1:M93"/>
  <sheetViews>
    <sheetView zoomScaleNormal="100" workbookViewId="0">
      <selection activeCell="O11" sqref="O11"/>
    </sheetView>
  </sheetViews>
  <sheetFormatPr defaultColWidth="11.42578125" defaultRowHeight="14.25"/>
  <cols>
    <col min="1" max="1" width="2.7109375" style="2" customWidth="1"/>
    <col min="2" max="2" width="15.42578125" style="2" customWidth="1"/>
    <col min="3" max="3" width="10.7109375" style="2" customWidth="1"/>
    <col min="4" max="4" width="11.28515625" style="2" bestFit="1" customWidth="1"/>
    <col min="5" max="5" width="8.7109375" style="2" customWidth="1"/>
    <col min="6" max="6" width="10.7109375" style="2" customWidth="1"/>
    <col min="7" max="7" width="11.85546875" style="2" customWidth="1"/>
    <col min="8" max="8" width="8.7109375" style="2" customWidth="1"/>
    <col min="9" max="9" width="10.7109375" style="2" customWidth="1"/>
    <col min="10" max="10" width="13.7109375" style="2" customWidth="1"/>
    <col min="11" max="11" width="10.7109375" style="2" customWidth="1"/>
    <col min="12" max="12" width="13.7109375" style="2" customWidth="1"/>
    <col min="13" max="13" width="2.7109375" style="2" customWidth="1"/>
    <col min="14" max="16384" width="11.42578125" style="2"/>
  </cols>
  <sheetData>
    <row r="1" spans="1:13" ht="15" customHeight="1">
      <c r="A1" s="1238" t="s">
        <v>476</v>
      </c>
      <c r="B1" s="1238"/>
      <c r="C1" s="1238"/>
      <c r="D1" s="1238"/>
      <c r="E1" s="1238"/>
      <c r="F1" s="1238"/>
      <c r="G1" s="1238"/>
      <c r="H1" s="1238"/>
      <c r="I1" s="1238"/>
      <c r="J1" s="1238"/>
      <c r="K1" s="1238"/>
      <c r="L1" s="1238"/>
      <c r="M1" s="1238"/>
    </row>
    <row r="2" spans="1:13" ht="8.25" customHeight="1">
      <c r="A2" s="445"/>
      <c r="B2" s="1239"/>
      <c r="C2" s="1240"/>
      <c r="D2" s="1240"/>
      <c r="E2" s="1240"/>
      <c r="F2" s="1240"/>
      <c r="G2" s="1240"/>
      <c r="H2" s="1240"/>
      <c r="I2" s="1240"/>
      <c r="J2" s="1240"/>
      <c r="K2" s="1240"/>
      <c r="L2" s="1241"/>
      <c r="M2" s="445"/>
    </row>
    <row r="3" spans="1:13" ht="20.25" customHeight="1">
      <c r="A3" s="445"/>
      <c r="B3" s="1242" t="s">
        <v>348</v>
      </c>
      <c r="C3" s="1243"/>
      <c r="D3" s="1243"/>
      <c r="E3" s="1243"/>
      <c r="F3" s="1243"/>
      <c r="G3" s="1243"/>
      <c r="H3" s="1243"/>
      <c r="I3" s="1243"/>
      <c r="J3" s="1243"/>
      <c r="K3" s="1243"/>
      <c r="L3" s="1244"/>
      <c r="M3" s="445"/>
    </row>
    <row r="4" spans="1:13" ht="14.1" customHeight="1">
      <c r="A4" s="445"/>
      <c r="B4" s="448"/>
      <c r="C4" s="449"/>
      <c r="D4" s="449"/>
      <c r="E4" s="450"/>
      <c r="F4" s="450"/>
      <c r="G4" s="450"/>
      <c r="H4" s="450"/>
      <c r="I4" s="450"/>
      <c r="J4" s="450"/>
      <c r="K4" s="450"/>
      <c r="L4" s="451"/>
      <c r="M4" s="445"/>
    </row>
    <row r="5" spans="1:13" ht="12.95" customHeight="1">
      <c r="A5" s="445"/>
      <c r="B5" s="452" t="s">
        <v>119</v>
      </c>
      <c r="C5" s="1245">
        <v>2016</v>
      </c>
      <c r="D5" s="1246"/>
      <c r="E5" s="1247"/>
      <c r="F5" s="1245">
        <v>2015</v>
      </c>
      <c r="G5" s="1246"/>
      <c r="H5" s="1247"/>
      <c r="I5" s="1245" t="s">
        <v>541</v>
      </c>
      <c r="J5" s="1247"/>
      <c r="K5" s="1245" t="s">
        <v>542</v>
      </c>
      <c r="L5" s="1247"/>
      <c r="M5" s="445"/>
    </row>
    <row r="6" spans="1:13" ht="12.95" customHeight="1">
      <c r="A6" s="445"/>
      <c r="B6" s="453"/>
      <c r="C6" s="433" t="s">
        <v>120</v>
      </c>
      <c r="D6" s="434" t="s">
        <v>121</v>
      </c>
      <c r="E6" s="435" t="s">
        <v>12</v>
      </c>
      <c r="F6" s="433" t="s">
        <v>120</v>
      </c>
      <c r="G6" s="434" t="s">
        <v>121</v>
      </c>
      <c r="H6" s="435" t="s">
        <v>12</v>
      </c>
      <c r="I6" s="436" t="s">
        <v>120</v>
      </c>
      <c r="J6" s="437" t="s">
        <v>121</v>
      </c>
      <c r="K6" s="433" t="s">
        <v>120</v>
      </c>
      <c r="L6" s="454" t="s">
        <v>121</v>
      </c>
      <c r="M6" s="445"/>
    </row>
    <row r="7" spans="1:13" ht="12.95" customHeight="1">
      <c r="A7" s="445"/>
      <c r="B7" s="998" t="s">
        <v>122</v>
      </c>
      <c r="C7" s="999">
        <v>596.52300000000002</v>
      </c>
      <c r="D7" s="999">
        <v>2257.29</v>
      </c>
      <c r="E7" s="1000">
        <f t="shared" ref="E7" si="0">(C7*1000)/D7</f>
        <v>264.26511436279787</v>
      </c>
      <c r="F7" s="999">
        <v>302</v>
      </c>
      <c r="G7" s="999">
        <v>912.33333333333337</v>
      </c>
      <c r="H7" s="1000">
        <f t="shared" ref="H7:H18" si="1">(F7*1000)/G7</f>
        <v>331.01936426744612</v>
      </c>
      <c r="I7" s="438">
        <f>C7+SUM(F14:F18)</f>
        <v>4530.4830000000002</v>
      </c>
      <c r="J7" s="438">
        <f>D7+SUM(G14:G18)</f>
        <v>15770.198</v>
      </c>
      <c r="K7" s="438">
        <f>C7+SUM(F8:F18)</f>
        <v>10373.482999999998</v>
      </c>
      <c r="L7" s="1113">
        <f>D7+SUM(G8:G18)</f>
        <v>34651.698000000004</v>
      </c>
      <c r="M7" s="445"/>
    </row>
    <row r="8" spans="1:13" ht="12.95" customHeight="1">
      <c r="A8" s="445"/>
      <c r="B8" s="1001" t="s">
        <v>123</v>
      </c>
      <c r="C8" s="999"/>
      <c r="D8" s="999"/>
      <c r="E8" s="1002"/>
      <c r="F8" s="999">
        <v>912</v>
      </c>
      <c r="G8" s="999">
        <v>2816.3333333333335</v>
      </c>
      <c r="H8" s="1002">
        <f t="shared" si="1"/>
        <v>323.82530476979525</v>
      </c>
      <c r="I8" s="438"/>
      <c r="J8" s="438"/>
      <c r="K8" s="438"/>
      <c r="L8" s="456"/>
      <c r="M8" s="445"/>
    </row>
    <row r="9" spans="1:13" ht="12.95" customHeight="1">
      <c r="A9" s="445"/>
      <c r="B9" s="1001" t="s">
        <v>124</v>
      </c>
      <c r="C9" s="999"/>
      <c r="D9" s="999"/>
      <c r="E9" s="1002"/>
      <c r="F9" s="999">
        <v>1146</v>
      </c>
      <c r="G9" s="999">
        <v>3946.8333333333335</v>
      </c>
      <c r="H9" s="1002">
        <f t="shared" si="1"/>
        <v>290.3593598243317</v>
      </c>
      <c r="I9" s="438"/>
      <c r="J9" s="438"/>
      <c r="K9" s="438"/>
      <c r="L9" s="456"/>
      <c r="M9" s="445"/>
    </row>
    <row r="10" spans="1:13" ht="12.95" customHeight="1">
      <c r="A10" s="445"/>
      <c r="B10" s="1001" t="s">
        <v>125</v>
      </c>
      <c r="C10" s="999"/>
      <c r="D10" s="999"/>
      <c r="E10" s="1002"/>
      <c r="F10" s="999">
        <v>607</v>
      </c>
      <c r="G10" s="999">
        <v>1804.8333333333333</v>
      </c>
      <c r="H10" s="1002">
        <f t="shared" si="1"/>
        <v>336.31914304183215</v>
      </c>
      <c r="I10" s="438"/>
      <c r="J10" s="438"/>
      <c r="K10" s="438"/>
      <c r="L10" s="456"/>
      <c r="M10" s="445"/>
    </row>
    <row r="11" spans="1:13" ht="12.95" customHeight="1">
      <c r="A11" s="445"/>
      <c r="B11" s="1001" t="s">
        <v>126</v>
      </c>
      <c r="C11" s="999"/>
      <c r="D11" s="999"/>
      <c r="E11" s="1002"/>
      <c r="F11" s="999">
        <v>795</v>
      </c>
      <c r="G11" s="999">
        <v>2419.6666666666665</v>
      </c>
      <c r="H11" s="1002">
        <f t="shared" si="1"/>
        <v>328.55765256922444</v>
      </c>
      <c r="I11" s="438"/>
      <c r="J11" s="438"/>
      <c r="K11" s="438"/>
      <c r="L11" s="456"/>
      <c r="M11" s="445"/>
    </row>
    <row r="12" spans="1:13" ht="12.95" customHeight="1">
      <c r="A12" s="445"/>
      <c r="B12" s="1001" t="s">
        <v>127</v>
      </c>
      <c r="C12" s="999"/>
      <c r="D12" s="999"/>
      <c r="E12" s="1002"/>
      <c r="F12" s="999">
        <v>1280</v>
      </c>
      <c r="G12" s="999">
        <v>4184.833333333333</v>
      </c>
      <c r="H12" s="1002">
        <f t="shared" si="1"/>
        <v>305.86642239834322</v>
      </c>
      <c r="I12" s="438"/>
      <c r="J12" s="438"/>
      <c r="K12" s="438"/>
      <c r="L12" s="456"/>
      <c r="M12" s="445"/>
    </row>
    <row r="13" spans="1:13" ht="12.95" customHeight="1">
      <c r="A13" s="445"/>
      <c r="B13" s="1001" t="s">
        <v>129</v>
      </c>
      <c r="C13" s="1004"/>
      <c r="D13" s="1004"/>
      <c r="E13" s="635"/>
      <c r="F13" s="1004">
        <v>1103</v>
      </c>
      <c r="G13" s="1004">
        <v>3709</v>
      </c>
      <c r="H13" s="635">
        <f t="shared" si="1"/>
        <v>297.38473982205448</v>
      </c>
      <c r="I13" s="438"/>
      <c r="J13" s="438"/>
      <c r="K13" s="438"/>
      <c r="L13" s="456"/>
      <c r="M13" s="445"/>
    </row>
    <row r="14" spans="1:13" ht="12.95" customHeight="1">
      <c r="A14" s="445"/>
      <c r="B14" s="1001" t="s">
        <v>130</v>
      </c>
      <c r="C14" s="999"/>
      <c r="D14" s="999"/>
      <c r="E14" s="1002"/>
      <c r="F14" s="999">
        <v>804.88699999999994</v>
      </c>
      <c r="G14" s="999">
        <v>2307.6480000000001</v>
      </c>
      <c r="H14" s="1002">
        <f>(F14*1000)/G14</f>
        <v>348.79106345508501</v>
      </c>
      <c r="I14" s="438"/>
      <c r="J14" s="438"/>
      <c r="K14" s="438"/>
      <c r="L14" s="456"/>
      <c r="M14" s="445"/>
    </row>
    <row r="15" spans="1:13" ht="12.95" customHeight="1">
      <c r="A15" s="445"/>
      <c r="B15" s="1001" t="s">
        <v>131</v>
      </c>
      <c r="C15" s="999"/>
      <c r="D15" s="999"/>
      <c r="E15" s="1002"/>
      <c r="F15" s="999">
        <v>815.2</v>
      </c>
      <c r="G15" s="999">
        <v>2909</v>
      </c>
      <c r="H15" s="1002">
        <f>(F15*1000)/G15</f>
        <v>280.2337573049158</v>
      </c>
      <c r="I15" s="438"/>
      <c r="J15" s="438"/>
      <c r="K15" s="438"/>
      <c r="L15" s="456"/>
      <c r="M15" s="445"/>
    </row>
    <row r="16" spans="1:13" ht="12.95" customHeight="1">
      <c r="A16" s="445"/>
      <c r="B16" s="1001" t="s">
        <v>132</v>
      </c>
      <c r="C16" s="999"/>
      <c r="D16" s="999"/>
      <c r="E16" s="1002"/>
      <c r="F16" s="999">
        <v>1003.873</v>
      </c>
      <c r="G16" s="999">
        <v>4042.26</v>
      </c>
      <c r="H16" s="1002">
        <f>(F16*1000)/G16</f>
        <v>248.34449045830797</v>
      </c>
      <c r="I16" s="438"/>
      <c r="J16" s="438"/>
      <c r="K16" s="438"/>
      <c r="L16" s="456"/>
      <c r="M16" s="446"/>
    </row>
    <row r="17" spans="1:13" ht="12.95" customHeight="1">
      <c r="A17" s="445"/>
      <c r="B17" s="1001" t="s">
        <v>133</v>
      </c>
      <c r="C17" s="999"/>
      <c r="D17" s="999"/>
      <c r="E17" s="1002"/>
      <c r="F17" s="999">
        <v>455</v>
      </c>
      <c r="G17" s="999">
        <v>1629</v>
      </c>
      <c r="H17" s="1002">
        <f>(F17*1000)/G17</f>
        <v>279.31246163290365</v>
      </c>
      <c r="I17" s="438"/>
      <c r="J17" s="438"/>
      <c r="K17" s="438"/>
      <c r="L17" s="456"/>
      <c r="M17" s="445"/>
    </row>
    <row r="18" spans="1:13" ht="12.95" customHeight="1">
      <c r="A18" s="445"/>
      <c r="B18" s="1001" t="s">
        <v>134</v>
      </c>
      <c r="C18" s="1005"/>
      <c r="D18" s="1006"/>
      <c r="E18" s="1009"/>
      <c r="F18" s="1005">
        <v>855</v>
      </c>
      <c r="G18" s="1006">
        <v>2625</v>
      </c>
      <c r="H18" s="1009">
        <f t="shared" si="1"/>
        <v>325.71428571428572</v>
      </c>
      <c r="I18" s="441"/>
      <c r="J18" s="439"/>
      <c r="K18" s="439"/>
      <c r="L18" s="457"/>
      <c r="M18" s="445"/>
    </row>
    <row r="19" spans="1:13" ht="12.95" customHeight="1">
      <c r="A19" s="445"/>
      <c r="B19" s="1007" t="s">
        <v>116</v>
      </c>
      <c r="C19" s="1005">
        <f>SUM(C7:C18)</f>
        <v>596.52300000000002</v>
      </c>
      <c r="D19" s="1024">
        <f>SUM(D7:D18)</f>
        <v>2257.29</v>
      </c>
      <c r="E19" s="1009">
        <f>(C19*1000)/D19</f>
        <v>264.26511436279787</v>
      </c>
      <c r="F19" s="1006">
        <f>SUM(F7:F18)</f>
        <v>10078.959999999999</v>
      </c>
      <c r="G19" s="1006">
        <f>SUM(G7:G18)</f>
        <v>33306.741333333332</v>
      </c>
      <c r="H19" s="1009">
        <f>(F19*1000)/G19</f>
        <v>302.61021032138598</v>
      </c>
      <c r="I19" s="575"/>
      <c r="J19" s="575"/>
      <c r="K19" s="575"/>
      <c r="L19" s="644"/>
      <c r="M19" s="445"/>
    </row>
    <row r="20" spans="1:13" ht="12.95" customHeight="1">
      <c r="A20" s="445"/>
      <c r="B20" s="460" t="s">
        <v>117</v>
      </c>
      <c r="C20" s="461"/>
      <c r="D20" s="461"/>
      <c r="E20" s="444" t="s">
        <v>145</v>
      </c>
      <c r="F20" s="562"/>
      <c r="G20" s="462"/>
      <c r="H20" s="141"/>
      <c r="I20" s="141"/>
      <c r="J20" s="444" t="s">
        <v>136</v>
      </c>
      <c r="K20" s="141"/>
      <c r="L20" s="84"/>
      <c r="M20" s="445"/>
    </row>
    <row r="21" spans="1:13" ht="12.95" customHeight="1">
      <c r="A21" s="445"/>
      <c r="B21" s="460" t="s">
        <v>341</v>
      </c>
      <c r="C21" s="461"/>
      <c r="D21" s="461"/>
      <c r="E21" s="444" t="s">
        <v>135</v>
      </c>
      <c r="F21" s="562"/>
      <c r="G21" s="462"/>
      <c r="H21" s="141"/>
      <c r="I21" s="141"/>
      <c r="J21" s="444" t="s">
        <v>137</v>
      </c>
      <c r="K21" s="141"/>
      <c r="L21" s="84"/>
      <c r="M21" s="445"/>
    </row>
    <row r="22" spans="1:13">
      <c r="A22" s="445"/>
      <c r="B22" s="148"/>
      <c r="C22" s="461"/>
      <c r="D22" s="461"/>
      <c r="E22" s="141"/>
      <c r="F22" s="462"/>
      <c r="G22" s="462"/>
      <c r="H22" s="141"/>
      <c r="I22" s="141"/>
      <c r="J22" s="141"/>
      <c r="K22" s="141"/>
      <c r="L22" s="84"/>
      <c r="M22" s="445"/>
    </row>
    <row r="23" spans="1:13">
      <c r="A23" s="445"/>
      <c r="B23" s="148"/>
      <c r="C23" s="461"/>
      <c r="D23" s="461"/>
      <c r="E23" s="141"/>
      <c r="F23" s="462"/>
      <c r="G23" s="462"/>
      <c r="H23" s="141"/>
      <c r="I23" s="141"/>
      <c r="J23" s="141"/>
      <c r="K23" s="141"/>
      <c r="L23" s="84"/>
      <c r="M23" s="445"/>
    </row>
    <row r="24" spans="1:13">
      <c r="A24" s="445"/>
      <c r="B24" s="148"/>
      <c r="C24" s="461"/>
      <c r="D24" s="461"/>
      <c r="E24" s="141"/>
      <c r="F24" s="462"/>
      <c r="G24" s="462"/>
      <c r="H24" s="141"/>
      <c r="I24" s="141"/>
      <c r="J24" s="141"/>
      <c r="K24" s="141"/>
      <c r="L24" s="84"/>
      <c r="M24" s="445"/>
    </row>
    <row r="25" spans="1:13">
      <c r="A25" s="445"/>
      <c r="B25" s="148"/>
      <c r="C25" s="461"/>
      <c r="D25" s="461"/>
      <c r="E25" s="141"/>
      <c r="F25" s="462"/>
      <c r="G25" s="462"/>
      <c r="H25" s="141"/>
      <c r="I25" s="141"/>
      <c r="J25" s="141"/>
      <c r="K25" s="141"/>
      <c r="L25" s="84"/>
      <c r="M25" s="445"/>
    </row>
    <row r="26" spans="1:13">
      <c r="A26" s="445"/>
      <c r="B26" s="148"/>
      <c r="C26" s="461"/>
      <c r="D26" s="461"/>
      <c r="E26" s="141"/>
      <c r="F26" s="462"/>
      <c r="G26" s="462"/>
      <c r="H26" s="141"/>
      <c r="I26" s="141"/>
      <c r="J26" s="141"/>
      <c r="K26" s="141"/>
      <c r="L26" s="84"/>
      <c r="M26" s="445"/>
    </row>
    <row r="27" spans="1:13">
      <c r="A27" s="445"/>
      <c r="B27" s="146"/>
      <c r="C27" s="141"/>
      <c r="D27" s="141"/>
      <c r="E27" s="141"/>
      <c r="F27" s="141"/>
      <c r="G27" s="141"/>
      <c r="H27" s="141"/>
      <c r="I27" s="141"/>
      <c r="J27" s="141"/>
      <c r="K27" s="141"/>
      <c r="L27" s="84"/>
      <c r="M27" s="445"/>
    </row>
    <row r="28" spans="1:13">
      <c r="A28" s="445"/>
      <c r="B28" s="146"/>
      <c r="C28" s="141"/>
      <c r="D28" s="141"/>
      <c r="E28" s="141"/>
      <c r="F28" s="141"/>
      <c r="G28" s="141"/>
      <c r="H28" s="141"/>
      <c r="I28" s="141"/>
      <c r="J28" s="141"/>
      <c r="K28" s="141"/>
      <c r="L28" s="84"/>
      <c r="M28" s="445"/>
    </row>
    <row r="29" spans="1:13">
      <c r="A29" s="445"/>
      <c r="B29" s="146"/>
      <c r="C29" s="141"/>
      <c r="D29" s="141"/>
      <c r="E29" s="141"/>
      <c r="F29" s="141"/>
      <c r="G29" s="141"/>
      <c r="H29" s="141"/>
      <c r="I29" s="141"/>
      <c r="J29" s="141"/>
      <c r="K29" s="141"/>
      <c r="L29" s="84"/>
      <c r="M29" s="445"/>
    </row>
    <row r="30" spans="1:13">
      <c r="A30" s="445"/>
      <c r="B30" s="146"/>
      <c r="C30" s="141"/>
      <c r="D30" s="141"/>
      <c r="E30" s="141"/>
      <c r="F30" s="141"/>
      <c r="G30" s="141"/>
      <c r="H30" s="141"/>
      <c r="I30" s="141"/>
      <c r="J30" s="141"/>
      <c r="K30" s="141"/>
      <c r="L30" s="84"/>
      <c r="M30" s="445"/>
    </row>
    <row r="31" spans="1:13">
      <c r="A31" s="445"/>
      <c r="B31" s="146"/>
      <c r="C31" s="141"/>
      <c r="D31" s="141"/>
      <c r="E31" s="141"/>
      <c r="F31" s="141"/>
      <c r="G31" s="141"/>
      <c r="H31" s="141"/>
      <c r="I31" s="141"/>
      <c r="J31" s="141"/>
      <c r="K31" s="141"/>
      <c r="L31" s="84"/>
      <c r="M31" s="445"/>
    </row>
    <row r="32" spans="1:13">
      <c r="A32" s="445"/>
      <c r="B32" s="146"/>
      <c r="C32" s="141"/>
      <c r="D32" s="141"/>
      <c r="E32" s="141"/>
      <c r="F32" s="141"/>
      <c r="G32" s="141"/>
      <c r="H32" s="141"/>
      <c r="I32" s="141"/>
      <c r="J32" s="141"/>
      <c r="K32" s="141"/>
      <c r="L32" s="84"/>
      <c r="M32" s="445"/>
    </row>
    <row r="33" spans="1:13">
      <c r="A33" s="445"/>
      <c r="B33" s="146"/>
      <c r="C33" s="141"/>
      <c r="D33" s="141"/>
      <c r="E33" s="141"/>
      <c r="F33" s="141"/>
      <c r="G33" s="141"/>
      <c r="H33" s="141"/>
      <c r="I33" s="141"/>
      <c r="J33" s="141"/>
      <c r="K33" s="141"/>
      <c r="L33" s="84"/>
      <c r="M33" s="445"/>
    </row>
    <row r="34" spans="1:13">
      <c r="A34" s="445"/>
      <c r="B34" s="146"/>
      <c r="C34" s="141"/>
      <c r="D34" s="141"/>
      <c r="E34" s="141"/>
      <c r="F34" s="141"/>
      <c r="G34" s="141"/>
      <c r="H34" s="141"/>
      <c r="I34" s="141"/>
      <c r="J34" s="141"/>
      <c r="K34" s="141"/>
      <c r="L34" s="84"/>
      <c r="M34" s="445"/>
    </row>
    <row r="35" spans="1:13">
      <c r="A35" s="445"/>
      <c r="B35" s="464"/>
      <c r="C35" s="120"/>
      <c r="D35" s="120"/>
      <c r="E35" s="120"/>
      <c r="F35" s="120"/>
      <c r="G35" s="120"/>
      <c r="H35" s="120"/>
      <c r="I35" s="120"/>
      <c r="J35" s="120"/>
      <c r="K35" s="120"/>
      <c r="L35" s="465"/>
      <c r="M35" s="445"/>
    </row>
    <row r="36" spans="1:13" ht="15" customHeight="1">
      <c r="A36" s="445"/>
      <c r="B36" s="447"/>
      <c r="C36" s="447"/>
      <c r="D36" s="447"/>
      <c r="E36" s="447"/>
      <c r="F36" s="447"/>
      <c r="G36" s="447"/>
      <c r="H36" s="447"/>
      <c r="I36" s="447"/>
      <c r="J36" s="447"/>
      <c r="K36" s="447"/>
      <c r="L36" s="447"/>
      <c r="M36" s="445"/>
    </row>
    <row r="37" spans="1:13"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</row>
    <row r="38" spans="1:13"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</row>
    <row r="39" spans="1:13"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</row>
    <row r="40" spans="1:13"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</row>
    <row r="41" spans="1:13"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</row>
    <row r="42" spans="1:13"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</row>
    <row r="43" spans="1:13"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</row>
    <row r="44" spans="1:13"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</row>
    <row r="45" spans="1:13"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</row>
    <row r="46" spans="1:13"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</row>
    <row r="47" spans="1:13"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</row>
    <row r="48" spans="1:13"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</row>
    <row r="49" spans="2:12"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</row>
    <row r="50" spans="2:12"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</row>
    <row r="51" spans="2:12"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</row>
    <row r="52" spans="2:12"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</row>
    <row r="53" spans="2:12"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</row>
    <row r="54" spans="2:12"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</row>
    <row r="55" spans="2:12"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</row>
    <row r="56" spans="2:12"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</row>
    <row r="57" spans="2:12"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</row>
    <row r="58" spans="2:12"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</row>
    <row r="59" spans="2:12"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</row>
    <row r="60" spans="2:12"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</row>
    <row r="61" spans="2:12"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</row>
    <row r="62" spans="2:12"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</row>
    <row r="63" spans="2:12"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</row>
    <row r="64" spans="2:12"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</row>
    <row r="65" spans="2:12"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</row>
    <row r="66" spans="2:12"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</row>
    <row r="67" spans="2:12"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</row>
    <row r="68" spans="2:12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</row>
    <row r="69" spans="2:12"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</row>
    <row r="70" spans="2:12"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</row>
    <row r="71" spans="2:12"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</row>
    <row r="72" spans="2:12"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</row>
    <row r="73" spans="2:12"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</row>
    <row r="74" spans="2:12"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</row>
    <row r="75" spans="2:12"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</row>
    <row r="76" spans="2:12"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</row>
    <row r="77" spans="2:12"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</row>
    <row r="78" spans="2:12"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</row>
    <row r="79" spans="2:12"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</row>
    <row r="80" spans="2:12"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</row>
    <row r="81" spans="2:12"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</row>
    <row r="82" spans="2:12"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</row>
    <row r="83" spans="2:12"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</row>
    <row r="84" spans="2:12"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</row>
    <row r="85" spans="2:12"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</row>
    <row r="86" spans="2:12"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</row>
    <row r="87" spans="2:12"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</row>
    <row r="88" spans="2:12"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</row>
    <row r="89" spans="2:12"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</row>
    <row r="90" spans="2:12"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</row>
    <row r="91" spans="2:12"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</row>
    <row r="92" spans="2:12"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</row>
    <row r="93" spans="2:12"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</row>
  </sheetData>
  <mergeCells count="7">
    <mergeCell ref="A1:M1"/>
    <mergeCell ref="B2:L2"/>
    <mergeCell ref="B3:L3"/>
    <mergeCell ref="C5:E5"/>
    <mergeCell ref="F5:H5"/>
    <mergeCell ref="I5:J5"/>
    <mergeCell ref="K5:L5"/>
  </mergeCells>
  <printOptions horizontalCentered="1" verticalCentered="1"/>
  <pageMargins left="0.51181102362204722" right="0.51181102362204722" top="0.78740157480314965" bottom="0.78740157480314965" header="0.31496062992125984" footer="0.31496062992125984"/>
  <pageSetup paperSize="9" orientation="landscape" verticalDpi="0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>
  <dimension ref="A1:M93"/>
  <sheetViews>
    <sheetView workbookViewId="0">
      <selection sqref="A1:M1"/>
    </sheetView>
  </sheetViews>
  <sheetFormatPr defaultColWidth="11.42578125" defaultRowHeight="14.25"/>
  <cols>
    <col min="1" max="1" width="2.7109375" style="2" customWidth="1"/>
    <col min="2" max="2" width="15.42578125" style="2" customWidth="1"/>
    <col min="3" max="3" width="10.7109375" style="2" customWidth="1"/>
    <col min="4" max="4" width="11.28515625" style="2" bestFit="1" customWidth="1"/>
    <col min="5" max="5" width="8.7109375" style="2" customWidth="1"/>
    <col min="6" max="6" width="10.7109375" style="2" customWidth="1"/>
    <col min="7" max="7" width="11.85546875" style="2" customWidth="1"/>
    <col min="8" max="8" width="8.7109375" style="2" customWidth="1"/>
    <col min="9" max="9" width="10.7109375" style="2" customWidth="1"/>
    <col min="10" max="10" width="13.7109375" style="2" customWidth="1"/>
    <col min="11" max="11" width="10.7109375" style="2" customWidth="1"/>
    <col min="12" max="12" width="13.7109375" style="2" customWidth="1"/>
    <col min="13" max="13" width="2.7109375" style="2" customWidth="1"/>
    <col min="14" max="16384" width="11.42578125" style="2"/>
  </cols>
  <sheetData>
    <row r="1" spans="1:13" ht="15" customHeight="1">
      <c r="A1" s="1238" t="s">
        <v>477</v>
      </c>
      <c r="B1" s="1238"/>
      <c r="C1" s="1238"/>
      <c r="D1" s="1238"/>
      <c r="E1" s="1238"/>
      <c r="F1" s="1238"/>
      <c r="G1" s="1238"/>
      <c r="H1" s="1238"/>
      <c r="I1" s="1238"/>
      <c r="J1" s="1238"/>
      <c r="K1" s="1238"/>
      <c r="L1" s="1238"/>
      <c r="M1" s="1238"/>
    </row>
    <row r="2" spans="1:13" ht="8.25" customHeight="1">
      <c r="A2" s="445"/>
      <c r="B2" s="1239"/>
      <c r="C2" s="1240"/>
      <c r="D2" s="1240"/>
      <c r="E2" s="1240"/>
      <c r="F2" s="1240"/>
      <c r="G2" s="1240"/>
      <c r="H2" s="1240"/>
      <c r="I2" s="1240"/>
      <c r="J2" s="1240"/>
      <c r="K2" s="1240"/>
      <c r="L2" s="1241"/>
      <c r="M2" s="445"/>
    </row>
    <row r="3" spans="1:13" ht="20.25" customHeight="1">
      <c r="A3" s="445"/>
      <c r="B3" s="1242" t="s">
        <v>349</v>
      </c>
      <c r="C3" s="1243"/>
      <c r="D3" s="1243"/>
      <c r="E3" s="1243"/>
      <c r="F3" s="1243"/>
      <c r="G3" s="1243"/>
      <c r="H3" s="1243"/>
      <c r="I3" s="1243"/>
      <c r="J3" s="1243"/>
      <c r="K3" s="1243"/>
      <c r="L3" s="1244"/>
      <c r="M3" s="445"/>
    </row>
    <row r="4" spans="1:13" ht="14.1" customHeight="1">
      <c r="A4" s="445"/>
      <c r="B4" s="448"/>
      <c r="C4" s="449"/>
      <c r="D4" s="449"/>
      <c r="E4" s="450"/>
      <c r="F4" s="450"/>
      <c r="G4" s="450"/>
      <c r="H4" s="450"/>
      <c r="I4" s="450"/>
      <c r="J4" s="450"/>
      <c r="K4" s="450"/>
      <c r="L4" s="451"/>
      <c r="M4" s="445"/>
    </row>
    <row r="5" spans="1:13" ht="12.95" customHeight="1">
      <c r="A5" s="445"/>
      <c r="B5" s="452" t="s">
        <v>119</v>
      </c>
      <c r="C5" s="1245">
        <v>2016</v>
      </c>
      <c r="D5" s="1246"/>
      <c r="E5" s="1247"/>
      <c r="F5" s="1245">
        <v>2015</v>
      </c>
      <c r="G5" s="1246"/>
      <c r="H5" s="1247"/>
      <c r="I5" s="1245" t="s">
        <v>541</v>
      </c>
      <c r="J5" s="1247"/>
      <c r="K5" s="1245" t="s">
        <v>542</v>
      </c>
      <c r="L5" s="1247"/>
      <c r="M5" s="445"/>
    </row>
    <row r="6" spans="1:13" ht="12.95" customHeight="1">
      <c r="A6" s="445"/>
      <c r="B6" s="453"/>
      <c r="C6" s="433" t="s">
        <v>120</v>
      </c>
      <c r="D6" s="434" t="s">
        <v>121</v>
      </c>
      <c r="E6" s="435" t="s">
        <v>12</v>
      </c>
      <c r="F6" s="433" t="s">
        <v>120</v>
      </c>
      <c r="G6" s="434" t="s">
        <v>121</v>
      </c>
      <c r="H6" s="435" t="s">
        <v>12</v>
      </c>
      <c r="I6" s="436" t="s">
        <v>120</v>
      </c>
      <c r="J6" s="437" t="s">
        <v>121</v>
      </c>
      <c r="K6" s="433" t="s">
        <v>120</v>
      </c>
      <c r="L6" s="454" t="s">
        <v>121</v>
      </c>
      <c r="M6" s="445"/>
    </row>
    <row r="7" spans="1:13" ht="12.95" customHeight="1">
      <c r="A7" s="445"/>
      <c r="B7" s="998" t="s">
        <v>122</v>
      </c>
      <c r="C7" s="999">
        <v>1704.2429999999999</v>
      </c>
      <c r="D7" s="999">
        <v>17190.07</v>
      </c>
      <c r="E7" s="1000">
        <f t="shared" ref="E7" si="0">(C7*1000)/D7</f>
        <v>99.141132060544251</v>
      </c>
      <c r="F7" s="999">
        <v>2615</v>
      </c>
      <c r="G7" s="999">
        <v>25696.666666666668</v>
      </c>
      <c r="H7" s="1000">
        <f t="shared" ref="H7:H18" si="1">(F7*1000)/G7</f>
        <v>101.76417174730834</v>
      </c>
      <c r="I7" s="438">
        <f>C7+SUM(F14:F18)</f>
        <v>12681.019</v>
      </c>
      <c r="J7" s="438">
        <f>D7+SUM(G14:G18)</f>
        <v>110919.47</v>
      </c>
      <c r="K7" s="438">
        <f>C7+SUM(F8:F18)</f>
        <v>35843.019</v>
      </c>
      <c r="L7" s="438">
        <f>D7+SUM(G8:G18)</f>
        <v>274416.13666666666</v>
      </c>
      <c r="M7" s="593"/>
    </row>
    <row r="8" spans="1:13" ht="12.95" customHeight="1">
      <c r="A8" s="445"/>
      <c r="B8" s="1001" t="s">
        <v>123</v>
      </c>
      <c r="C8" s="999"/>
      <c r="D8" s="999"/>
      <c r="E8" s="1002"/>
      <c r="F8" s="999">
        <v>3503</v>
      </c>
      <c r="G8" s="999">
        <v>24613.333333333332</v>
      </c>
      <c r="H8" s="1002">
        <f t="shared" si="1"/>
        <v>142.32123510292524</v>
      </c>
      <c r="I8" s="438"/>
      <c r="J8" s="438"/>
      <c r="K8" s="438"/>
      <c r="L8" s="456"/>
      <c r="M8" s="445"/>
    </row>
    <row r="9" spans="1:13" ht="12.95" customHeight="1">
      <c r="A9" s="445"/>
      <c r="B9" s="1001" t="s">
        <v>124</v>
      </c>
      <c r="C9" s="999"/>
      <c r="D9" s="999"/>
      <c r="E9" s="1002"/>
      <c r="F9" s="999">
        <v>3664</v>
      </c>
      <c r="G9" s="999">
        <v>21926.666666666668</v>
      </c>
      <c r="H9" s="1002">
        <f t="shared" si="1"/>
        <v>167.10246275463666</v>
      </c>
      <c r="I9" s="438"/>
      <c r="J9" s="438"/>
      <c r="K9" s="438"/>
      <c r="L9" s="456"/>
      <c r="M9" s="445"/>
    </row>
    <row r="10" spans="1:13" ht="12.95" customHeight="1">
      <c r="A10" s="445"/>
      <c r="B10" s="1001" t="s">
        <v>125</v>
      </c>
      <c r="C10" s="999"/>
      <c r="D10" s="999"/>
      <c r="E10" s="1002"/>
      <c r="F10" s="999">
        <v>4108</v>
      </c>
      <c r="G10" s="999">
        <v>26433.333333333332</v>
      </c>
      <c r="H10" s="1002">
        <f t="shared" si="1"/>
        <v>155.40983606557378</v>
      </c>
      <c r="I10" s="438"/>
      <c r="J10" s="438"/>
      <c r="K10" s="438"/>
      <c r="L10" s="456"/>
      <c r="M10" s="445"/>
    </row>
    <row r="11" spans="1:13" ht="12.95" customHeight="1">
      <c r="A11" s="445"/>
      <c r="B11" s="1001" t="s">
        <v>126</v>
      </c>
      <c r="C11" s="999"/>
      <c r="D11" s="999"/>
      <c r="E11" s="1002"/>
      <c r="F11" s="999">
        <v>4077</v>
      </c>
      <c r="G11" s="999">
        <v>28123.333333333332</v>
      </c>
      <c r="H11" s="1002">
        <f t="shared" si="1"/>
        <v>144.96859073130261</v>
      </c>
      <c r="I11" s="438"/>
      <c r="J11" s="438"/>
      <c r="K11" s="438"/>
      <c r="L11" s="456"/>
      <c r="M11" s="445"/>
    </row>
    <row r="12" spans="1:13" ht="12.95" customHeight="1">
      <c r="A12" s="445"/>
      <c r="B12" s="1001" t="s">
        <v>127</v>
      </c>
      <c r="C12" s="999"/>
      <c r="D12" s="999"/>
      <c r="E12" s="1002"/>
      <c r="F12" s="999">
        <v>4392</v>
      </c>
      <c r="G12" s="999">
        <v>32890</v>
      </c>
      <c r="H12" s="1002">
        <f t="shared" si="1"/>
        <v>133.53602918820309</v>
      </c>
      <c r="I12" s="438"/>
      <c r="J12" s="438"/>
      <c r="K12" s="438"/>
      <c r="L12" s="456"/>
      <c r="M12" s="445"/>
    </row>
    <row r="13" spans="1:13" ht="12.95" customHeight="1">
      <c r="A13" s="445"/>
      <c r="B13" s="1001" t="s">
        <v>129</v>
      </c>
      <c r="C13" s="999"/>
      <c r="D13" s="999"/>
      <c r="E13" s="1002"/>
      <c r="F13" s="999">
        <v>3418</v>
      </c>
      <c r="G13" s="999">
        <v>29510</v>
      </c>
      <c r="H13" s="1002">
        <f t="shared" ref="H13:H17" si="2">(F13*1000)/G13</f>
        <v>115.82514401897662</v>
      </c>
      <c r="I13" s="438"/>
      <c r="J13" s="438"/>
      <c r="K13" s="438"/>
      <c r="L13" s="456"/>
      <c r="M13" s="445"/>
    </row>
    <row r="14" spans="1:13" ht="12.95" customHeight="1">
      <c r="A14" s="445"/>
      <c r="B14" s="1001" t="s">
        <v>130</v>
      </c>
      <c r="C14" s="999"/>
      <c r="D14" s="999"/>
      <c r="E14" s="1002"/>
      <c r="F14" s="999">
        <v>2052.8760000000002</v>
      </c>
      <c r="G14" s="999">
        <v>16504</v>
      </c>
      <c r="H14" s="1002">
        <f t="shared" si="2"/>
        <v>124.38657295201165</v>
      </c>
      <c r="I14" s="438"/>
      <c r="J14" s="438"/>
      <c r="K14" s="438"/>
      <c r="L14" s="456"/>
      <c r="M14" s="445"/>
    </row>
    <row r="15" spans="1:13" ht="12.95" customHeight="1">
      <c r="A15" s="445"/>
      <c r="B15" s="1001" t="s">
        <v>131</v>
      </c>
      <c r="C15" s="999"/>
      <c r="D15" s="999"/>
      <c r="E15" s="1002"/>
      <c r="F15" s="999">
        <v>1652</v>
      </c>
      <c r="G15" s="999">
        <v>14135.86</v>
      </c>
      <c r="H15" s="1002">
        <f t="shared" si="2"/>
        <v>116.86589991694881</v>
      </c>
      <c r="I15" s="438"/>
      <c r="J15" s="438"/>
      <c r="K15" s="438"/>
      <c r="L15" s="456"/>
      <c r="M15" s="445"/>
    </row>
    <row r="16" spans="1:13" ht="12.95" customHeight="1">
      <c r="A16" s="445"/>
      <c r="B16" s="1001" t="s">
        <v>132</v>
      </c>
      <c r="C16" s="999"/>
      <c r="D16" s="999"/>
      <c r="E16" s="1002"/>
      <c r="F16" s="999">
        <v>2708.9</v>
      </c>
      <c r="G16" s="999">
        <v>24522.54</v>
      </c>
      <c r="H16" s="1002">
        <f t="shared" si="2"/>
        <v>110.46571847777595</v>
      </c>
      <c r="I16" s="438"/>
      <c r="J16" s="438"/>
      <c r="K16" s="438"/>
      <c r="L16" s="456"/>
      <c r="M16" s="446"/>
    </row>
    <row r="17" spans="1:13" ht="12.95" customHeight="1">
      <c r="A17" s="445"/>
      <c r="B17" s="1001" t="s">
        <v>133</v>
      </c>
      <c r="C17" s="999"/>
      <c r="D17" s="999"/>
      <c r="E17" s="1002"/>
      <c r="F17" s="999">
        <v>2088</v>
      </c>
      <c r="G17" s="999">
        <v>18027</v>
      </c>
      <c r="H17" s="1002">
        <f t="shared" si="2"/>
        <v>115.82626060908638</v>
      </c>
      <c r="I17" s="438"/>
      <c r="J17" s="438"/>
      <c r="K17" s="438"/>
      <c r="L17" s="456"/>
      <c r="M17" s="445"/>
    </row>
    <row r="18" spans="1:13" ht="12.95" customHeight="1">
      <c r="A18" s="445"/>
      <c r="B18" s="1001" t="s">
        <v>134</v>
      </c>
      <c r="C18" s="1005"/>
      <c r="D18" s="1006"/>
      <c r="E18" s="1009"/>
      <c r="F18" s="1005">
        <v>2475</v>
      </c>
      <c r="G18" s="1006">
        <v>20540</v>
      </c>
      <c r="H18" s="1009">
        <f t="shared" si="1"/>
        <v>120.49659201557935</v>
      </c>
      <c r="I18" s="441"/>
      <c r="J18" s="439"/>
      <c r="K18" s="439"/>
      <c r="L18" s="457"/>
      <c r="M18" s="445"/>
    </row>
    <row r="19" spans="1:13" ht="12.95" customHeight="1">
      <c r="A19" s="445"/>
      <c r="B19" s="1007" t="s">
        <v>116</v>
      </c>
      <c r="C19" s="1005">
        <f>SUM(C7:C18)</f>
        <v>1704.2429999999999</v>
      </c>
      <c r="D19" s="1024">
        <f>SUM(D7:D18)</f>
        <v>17190.07</v>
      </c>
      <c r="E19" s="1011">
        <f>(C19*1000)/D19</f>
        <v>99.141132060544251</v>
      </c>
      <c r="F19" s="1024">
        <f>SUM(F7:F18)</f>
        <v>36753.775999999998</v>
      </c>
      <c r="G19" s="1024">
        <f>SUM(G7:G18)</f>
        <v>282922.73333333328</v>
      </c>
      <c r="H19" s="1008">
        <f>(F19*1000)/G19</f>
        <v>129.90746825811809</v>
      </c>
      <c r="I19" s="575"/>
      <c r="J19" s="575"/>
      <c r="K19" s="575"/>
      <c r="L19" s="644"/>
      <c r="M19" s="445"/>
    </row>
    <row r="20" spans="1:13" ht="12.95" customHeight="1">
      <c r="A20" s="445"/>
      <c r="B20" s="460" t="s">
        <v>117</v>
      </c>
      <c r="C20" s="461"/>
      <c r="D20" s="444" t="s">
        <v>365</v>
      </c>
      <c r="E20" s="562"/>
      <c r="F20" s="444"/>
      <c r="G20" s="462"/>
      <c r="H20" s="141"/>
      <c r="I20" s="141"/>
      <c r="J20" s="444" t="s">
        <v>136</v>
      </c>
      <c r="K20" s="141"/>
      <c r="L20" s="84"/>
      <c r="M20" s="445"/>
    </row>
    <row r="21" spans="1:13" ht="12.95" customHeight="1">
      <c r="A21" s="445"/>
      <c r="B21" s="460" t="s">
        <v>341</v>
      </c>
      <c r="C21" s="461"/>
      <c r="D21" s="444" t="s">
        <v>135</v>
      </c>
      <c r="E21" s="562"/>
      <c r="F21" s="562"/>
      <c r="G21" s="462"/>
      <c r="H21" s="141"/>
      <c r="I21" s="141"/>
      <c r="J21" s="444" t="s">
        <v>137</v>
      </c>
      <c r="K21" s="141"/>
      <c r="L21" s="84"/>
      <c r="M21" s="445"/>
    </row>
    <row r="22" spans="1:13">
      <c r="A22" s="445"/>
      <c r="B22" s="148"/>
      <c r="C22" s="461"/>
      <c r="D22" s="461"/>
      <c r="E22" s="141"/>
      <c r="F22" s="462"/>
      <c r="G22" s="462"/>
      <c r="H22" s="141"/>
      <c r="I22" s="141"/>
      <c r="J22" s="141"/>
      <c r="K22" s="141"/>
      <c r="L22" s="84"/>
      <c r="M22" s="445"/>
    </row>
    <row r="23" spans="1:13">
      <c r="A23" s="445"/>
      <c r="B23" s="463"/>
      <c r="C23" s="461"/>
      <c r="D23" s="461"/>
      <c r="E23" s="149"/>
      <c r="F23" s="149"/>
      <c r="G23" s="149"/>
      <c r="H23" s="149"/>
      <c r="I23" s="149"/>
      <c r="J23" s="149"/>
      <c r="K23" s="149"/>
      <c r="L23" s="150"/>
      <c r="M23" s="445"/>
    </row>
    <row r="24" spans="1:13">
      <c r="A24" s="445"/>
      <c r="B24" s="146"/>
      <c r="C24" s="141"/>
      <c r="D24" s="141"/>
      <c r="E24" s="141"/>
      <c r="F24" s="141"/>
      <c r="G24" s="141"/>
      <c r="H24" s="141"/>
      <c r="I24" s="141"/>
      <c r="J24" s="141"/>
      <c r="K24" s="141"/>
      <c r="L24" s="84"/>
      <c r="M24" s="445"/>
    </row>
    <row r="25" spans="1:13">
      <c r="A25" s="445"/>
      <c r="B25" s="146"/>
      <c r="C25" s="141"/>
      <c r="D25" s="141"/>
      <c r="E25" s="141"/>
      <c r="F25" s="141"/>
      <c r="G25" s="141"/>
      <c r="H25" s="141"/>
      <c r="I25" s="141"/>
      <c r="J25" s="141"/>
      <c r="K25" s="141"/>
      <c r="L25" s="84"/>
      <c r="M25" s="445"/>
    </row>
    <row r="26" spans="1:13">
      <c r="A26" s="445"/>
      <c r="B26" s="146"/>
      <c r="C26" s="141"/>
      <c r="D26" s="141"/>
      <c r="E26" s="141"/>
      <c r="F26" s="141"/>
      <c r="G26" s="141"/>
      <c r="H26" s="141"/>
      <c r="I26" s="141"/>
      <c r="J26" s="141"/>
      <c r="K26" s="141"/>
      <c r="L26" s="84"/>
      <c r="M26" s="445"/>
    </row>
    <row r="27" spans="1:13">
      <c r="A27" s="445"/>
      <c r="B27" s="146"/>
      <c r="C27" s="141"/>
      <c r="D27" s="141"/>
      <c r="E27" s="141"/>
      <c r="F27" s="141"/>
      <c r="G27" s="141"/>
      <c r="H27" s="141"/>
      <c r="I27" s="141"/>
      <c r="J27" s="141"/>
      <c r="K27" s="141"/>
      <c r="L27" s="84"/>
      <c r="M27" s="445"/>
    </row>
    <row r="28" spans="1:13">
      <c r="A28" s="445"/>
      <c r="B28" s="146"/>
      <c r="C28" s="141"/>
      <c r="D28" s="141"/>
      <c r="E28" s="141"/>
      <c r="F28" s="141"/>
      <c r="G28" s="141"/>
      <c r="H28" s="141"/>
      <c r="I28" s="141"/>
      <c r="J28" s="141"/>
      <c r="K28" s="141"/>
      <c r="L28" s="84"/>
      <c r="M28" s="445"/>
    </row>
    <row r="29" spans="1:13">
      <c r="A29" s="445"/>
      <c r="B29" s="146"/>
      <c r="C29" s="141"/>
      <c r="D29" s="141"/>
      <c r="E29" s="141"/>
      <c r="F29" s="141"/>
      <c r="G29" s="141"/>
      <c r="H29" s="141"/>
      <c r="I29" s="141"/>
      <c r="J29" s="141"/>
      <c r="K29" s="141"/>
      <c r="L29" s="84"/>
      <c r="M29" s="445"/>
    </row>
    <row r="30" spans="1:13">
      <c r="A30" s="445"/>
      <c r="B30" s="146"/>
      <c r="C30" s="141"/>
      <c r="D30" s="141"/>
      <c r="E30" s="141"/>
      <c r="F30" s="141"/>
      <c r="G30" s="141"/>
      <c r="H30" s="141"/>
      <c r="I30" s="141"/>
      <c r="J30" s="141"/>
      <c r="K30" s="141"/>
      <c r="L30" s="84"/>
      <c r="M30" s="445"/>
    </row>
    <row r="31" spans="1:13">
      <c r="A31" s="445"/>
      <c r="B31" s="146"/>
      <c r="C31" s="141"/>
      <c r="D31" s="141"/>
      <c r="E31" s="141"/>
      <c r="F31" s="141"/>
      <c r="G31" s="141"/>
      <c r="H31" s="141"/>
      <c r="I31" s="141"/>
      <c r="J31" s="141"/>
      <c r="K31" s="141"/>
      <c r="L31" s="84"/>
      <c r="M31" s="445"/>
    </row>
    <row r="32" spans="1:13">
      <c r="A32" s="445"/>
      <c r="B32" s="146"/>
      <c r="C32" s="141"/>
      <c r="D32" s="141"/>
      <c r="E32" s="141"/>
      <c r="F32" s="141"/>
      <c r="G32" s="141"/>
      <c r="H32" s="141"/>
      <c r="I32" s="141"/>
      <c r="J32" s="141"/>
      <c r="K32" s="141"/>
      <c r="L32" s="84"/>
      <c r="M32" s="445"/>
    </row>
    <row r="33" spans="1:13">
      <c r="A33" s="445"/>
      <c r="B33" s="146"/>
      <c r="C33" s="141"/>
      <c r="D33" s="141"/>
      <c r="E33" s="141"/>
      <c r="F33" s="141"/>
      <c r="G33" s="141"/>
      <c r="H33" s="141"/>
      <c r="I33" s="141"/>
      <c r="J33" s="141"/>
      <c r="K33" s="141"/>
      <c r="L33" s="84"/>
      <c r="M33" s="445"/>
    </row>
    <row r="34" spans="1:13">
      <c r="A34" s="445"/>
      <c r="B34" s="146"/>
      <c r="C34" s="141"/>
      <c r="D34" s="141"/>
      <c r="E34" s="141"/>
      <c r="F34" s="141"/>
      <c r="G34" s="141"/>
      <c r="H34" s="141"/>
      <c r="I34" s="141"/>
      <c r="J34" s="141"/>
      <c r="K34" s="141"/>
      <c r="L34" s="84"/>
      <c r="M34" s="445"/>
    </row>
    <row r="35" spans="1:13">
      <c r="A35" s="445"/>
      <c r="B35" s="464"/>
      <c r="C35" s="120"/>
      <c r="D35" s="120"/>
      <c r="E35" s="120"/>
      <c r="F35" s="120"/>
      <c r="G35" s="120"/>
      <c r="H35" s="120"/>
      <c r="I35" s="120"/>
      <c r="J35" s="120"/>
      <c r="K35" s="120"/>
      <c r="L35" s="465"/>
      <c r="M35" s="445"/>
    </row>
    <row r="36" spans="1:13" ht="15" customHeight="1">
      <c r="A36" s="445"/>
      <c r="B36" s="447"/>
      <c r="C36" s="447"/>
      <c r="D36" s="447"/>
      <c r="E36" s="447"/>
      <c r="F36" s="447"/>
      <c r="G36" s="447"/>
      <c r="H36" s="447"/>
      <c r="I36" s="447"/>
      <c r="J36" s="447"/>
      <c r="K36" s="447"/>
      <c r="L36" s="447"/>
      <c r="M36" s="445"/>
    </row>
    <row r="37" spans="1:13"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</row>
    <row r="38" spans="1:13"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</row>
    <row r="39" spans="1:13"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</row>
    <row r="40" spans="1:13"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</row>
    <row r="41" spans="1:13"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</row>
    <row r="42" spans="1:13"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</row>
    <row r="43" spans="1:13"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</row>
    <row r="44" spans="1:13"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</row>
    <row r="45" spans="1:13"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</row>
    <row r="46" spans="1:13"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</row>
    <row r="47" spans="1:13"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</row>
    <row r="48" spans="1:13"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</row>
    <row r="49" spans="2:12"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</row>
    <row r="50" spans="2:12"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</row>
    <row r="51" spans="2:12"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</row>
    <row r="52" spans="2:12"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</row>
    <row r="53" spans="2:12"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</row>
    <row r="54" spans="2:12"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</row>
    <row r="55" spans="2:12"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</row>
    <row r="56" spans="2:12"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</row>
    <row r="57" spans="2:12"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</row>
    <row r="58" spans="2:12"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</row>
    <row r="59" spans="2:12"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</row>
    <row r="60" spans="2:12"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</row>
    <row r="61" spans="2:12"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</row>
    <row r="62" spans="2:12"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</row>
    <row r="63" spans="2:12"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</row>
    <row r="64" spans="2:12"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</row>
    <row r="65" spans="2:12"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</row>
    <row r="66" spans="2:12"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</row>
    <row r="67" spans="2:12"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</row>
    <row r="68" spans="2:12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</row>
    <row r="69" spans="2:12"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</row>
    <row r="70" spans="2:12"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</row>
    <row r="71" spans="2:12"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</row>
    <row r="72" spans="2:12"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</row>
    <row r="73" spans="2:12"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</row>
    <row r="74" spans="2:12"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</row>
    <row r="75" spans="2:12"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</row>
    <row r="76" spans="2:12"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</row>
    <row r="77" spans="2:12"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</row>
    <row r="78" spans="2:12"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</row>
    <row r="79" spans="2:12"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</row>
    <row r="80" spans="2:12"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</row>
    <row r="81" spans="2:12"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</row>
    <row r="82" spans="2:12"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</row>
    <row r="83" spans="2:12"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</row>
    <row r="84" spans="2:12"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</row>
    <row r="85" spans="2:12"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</row>
    <row r="86" spans="2:12"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</row>
    <row r="87" spans="2:12"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</row>
    <row r="88" spans="2:12"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</row>
    <row r="89" spans="2:12"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</row>
    <row r="90" spans="2:12"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</row>
    <row r="91" spans="2:12"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</row>
    <row r="92" spans="2:12"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</row>
    <row r="93" spans="2:12"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</row>
  </sheetData>
  <mergeCells count="7">
    <mergeCell ref="A1:M1"/>
    <mergeCell ref="B2:L2"/>
    <mergeCell ref="B3:L3"/>
    <mergeCell ref="C5:E5"/>
    <mergeCell ref="F5:H5"/>
    <mergeCell ref="I5:J5"/>
    <mergeCell ref="K5:L5"/>
  </mergeCells>
  <printOptions horizontalCentered="1" verticalCentered="1"/>
  <pageMargins left="0.51181102362204722" right="0.51181102362204722" top="0.78740157480314965" bottom="0.78740157480314965" header="0.31496062992125984" footer="0.31496062992125984"/>
  <pageSetup paperSize="9" orientation="landscape" verticalDpi="0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>
  <dimension ref="A1:T93"/>
  <sheetViews>
    <sheetView workbookViewId="0">
      <selection sqref="A1:R1"/>
    </sheetView>
  </sheetViews>
  <sheetFormatPr defaultColWidth="11.42578125" defaultRowHeight="14.25"/>
  <cols>
    <col min="1" max="1" width="2.7109375" style="2" customWidth="1"/>
    <col min="2" max="2" width="9.140625" style="2" customWidth="1"/>
    <col min="3" max="3" width="10.28515625" style="2" bestFit="1" customWidth="1"/>
    <col min="4" max="4" width="6.28515625" style="2" bestFit="1" customWidth="1"/>
    <col min="5" max="5" width="6.5703125" style="2" bestFit="1" customWidth="1"/>
    <col min="6" max="6" width="11.28515625" style="2" bestFit="1" customWidth="1"/>
    <col min="7" max="7" width="5.7109375" style="2" bestFit="1" customWidth="1"/>
    <col min="8" max="8" width="6.5703125" style="2" bestFit="1" customWidth="1"/>
    <col min="9" max="9" width="7.85546875" style="2" bestFit="1" customWidth="1"/>
    <col min="10" max="10" width="5.28515625" style="2" bestFit="1" customWidth="1"/>
    <col min="11" max="11" width="6.5703125" style="2" bestFit="1" customWidth="1"/>
    <col min="12" max="12" width="12.140625" style="2" customWidth="1"/>
    <col min="13" max="13" width="10.5703125" style="2" customWidth="1"/>
    <col min="14" max="14" width="11.42578125" style="2" customWidth="1"/>
    <col min="15" max="15" width="10.140625" style="2" customWidth="1"/>
    <col min="16" max="16" width="7.85546875" style="2" bestFit="1" customWidth="1"/>
    <col min="17" max="17" width="5.7109375" style="2" bestFit="1" customWidth="1"/>
    <col min="18" max="18" width="2.7109375" style="2" customWidth="1"/>
    <col min="19" max="16384" width="11.42578125" style="2"/>
  </cols>
  <sheetData>
    <row r="1" spans="1:20" ht="15" customHeight="1">
      <c r="A1" s="1238" t="s">
        <v>478</v>
      </c>
      <c r="B1" s="1238"/>
      <c r="C1" s="1238"/>
      <c r="D1" s="1238"/>
      <c r="E1" s="1238"/>
      <c r="F1" s="1238"/>
      <c r="G1" s="1238"/>
      <c r="H1" s="1238"/>
      <c r="I1" s="1238"/>
      <c r="J1" s="1238"/>
      <c r="K1" s="1238"/>
      <c r="L1" s="1238"/>
      <c r="M1" s="1238"/>
      <c r="N1" s="1238"/>
      <c r="O1" s="1238"/>
      <c r="P1" s="1238"/>
      <c r="Q1" s="1238"/>
      <c r="R1" s="1238"/>
    </row>
    <row r="2" spans="1:20" ht="15" customHeight="1">
      <c r="A2" s="445"/>
      <c r="B2" s="1239" t="s">
        <v>369</v>
      </c>
      <c r="C2" s="1240"/>
      <c r="D2" s="1240"/>
      <c r="E2" s="1240"/>
      <c r="F2" s="1240"/>
      <c r="G2" s="1240"/>
      <c r="H2" s="1240"/>
      <c r="I2" s="1240"/>
      <c r="J2" s="1240"/>
      <c r="K2" s="1240"/>
      <c r="L2" s="1240"/>
      <c r="M2" s="1240"/>
      <c r="N2" s="1240"/>
      <c r="O2" s="1240"/>
      <c r="P2" s="1240"/>
      <c r="Q2" s="1241"/>
      <c r="R2" s="445"/>
    </row>
    <row r="3" spans="1:20" ht="14.1" customHeight="1" thickBot="1">
      <c r="A3" s="445"/>
      <c r="B3" s="580"/>
      <c r="C3" s="581"/>
      <c r="D3" s="581"/>
      <c r="E3" s="581"/>
      <c r="F3" s="581"/>
      <c r="G3" s="581"/>
      <c r="H3" s="581"/>
      <c r="I3" s="582"/>
      <c r="J3" s="582"/>
      <c r="K3" s="582"/>
      <c r="L3" s="582"/>
      <c r="M3" s="582"/>
      <c r="N3" s="582"/>
      <c r="O3" s="582"/>
      <c r="P3" s="582"/>
      <c r="Q3" s="583"/>
      <c r="R3" s="445"/>
    </row>
    <row r="4" spans="1:20" ht="12.95" customHeight="1">
      <c r="A4" s="445"/>
      <c r="B4" s="1259" t="s">
        <v>119</v>
      </c>
      <c r="C4" s="1256">
        <v>2016</v>
      </c>
      <c r="D4" s="1257"/>
      <c r="E4" s="1257"/>
      <c r="F4" s="1257"/>
      <c r="G4" s="1257"/>
      <c r="H4" s="1257"/>
      <c r="I4" s="1257"/>
      <c r="J4" s="1257"/>
      <c r="K4" s="1258"/>
      <c r="L4" s="1248">
        <v>2015</v>
      </c>
      <c r="M4" s="1249"/>
      <c r="N4" s="1250"/>
      <c r="O4" s="1250"/>
      <c r="P4" s="1250"/>
      <c r="Q4" s="588"/>
      <c r="R4" s="445"/>
    </row>
    <row r="5" spans="1:20" ht="12.95" customHeight="1">
      <c r="A5" s="445"/>
      <c r="B5" s="1260"/>
      <c r="C5" s="1253" t="s">
        <v>120</v>
      </c>
      <c r="D5" s="1251" t="s">
        <v>372</v>
      </c>
      <c r="E5" s="1252"/>
      <c r="F5" s="1253" t="s">
        <v>121</v>
      </c>
      <c r="G5" s="1255" t="s">
        <v>372</v>
      </c>
      <c r="H5" s="1252"/>
      <c r="I5" s="578" t="s">
        <v>12</v>
      </c>
      <c r="J5" s="1255" t="s">
        <v>372</v>
      </c>
      <c r="K5" s="1252"/>
      <c r="L5" s="1253" t="s">
        <v>120</v>
      </c>
      <c r="M5" s="579" t="s">
        <v>375</v>
      </c>
      <c r="N5" s="1253" t="s">
        <v>121</v>
      </c>
      <c r="O5" s="579" t="s">
        <v>375</v>
      </c>
      <c r="P5" s="578" t="s">
        <v>12</v>
      </c>
      <c r="Q5" s="579" t="s">
        <v>377</v>
      </c>
      <c r="R5" s="445"/>
    </row>
    <row r="6" spans="1:20" ht="12.95" customHeight="1" thickBot="1">
      <c r="A6" s="445"/>
      <c r="B6" s="1254"/>
      <c r="C6" s="1254"/>
      <c r="D6" s="584" t="s">
        <v>373</v>
      </c>
      <c r="E6" s="585" t="s">
        <v>544</v>
      </c>
      <c r="F6" s="1254"/>
      <c r="G6" s="585" t="s">
        <v>373</v>
      </c>
      <c r="H6" s="586" t="s">
        <v>544</v>
      </c>
      <c r="I6" s="587" t="s">
        <v>374</v>
      </c>
      <c r="J6" s="585" t="s">
        <v>373</v>
      </c>
      <c r="K6" s="586" t="s">
        <v>544</v>
      </c>
      <c r="L6" s="1254"/>
      <c r="M6" s="584" t="s">
        <v>376</v>
      </c>
      <c r="N6" s="1254"/>
      <c r="O6" s="584" t="s">
        <v>376</v>
      </c>
      <c r="P6" s="587" t="s">
        <v>374</v>
      </c>
      <c r="Q6" s="585" t="s">
        <v>13</v>
      </c>
      <c r="R6" s="445"/>
    </row>
    <row r="7" spans="1:20" ht="12.95" customHeight="1">
      <c r="A7" s="445"/>
      <c r="B7" s="96" t="s">
        <v>122</v>
      </c>
      <c r="C7" s="1012">
        <f>'Exp. Verde'!C7+'Exp. Solúvel'!C7+'Exp. Torrado'!C7+'Exp. Extrato'!C7</f>
        <v>403561.34</v>
      </c>
      <c r="D7" s="1014">
        <v>0</v>
      </c>
      <c r="E7" s="1014">
        <f>(C7/L7-1)*100</f>
        <v>-31.487830964491124</v>
      </c>
      <c r="F7" s="1012">
        <f>'Exp. Verde'!D7+'Exp. Solúvel'!D7+'Exp. Torrado'!D7+'Exp. Extrato'!D7</f>
        <v>2754948.07</v>
      </c>
      <c r="G7" s="1013" t="s">
        <v>370</v>
      </c>
      <c r="H7" s="1014">
        <f>(F7/N7-1)*100</f>
        <v>-7.5623869463327331</v>
      </c>
      <c r="I7" s="1015">
        <f t="shared" ref="I7" si="0">(C7*1000)/F7</f>
        <v>146.48600617724168</v>
      </c>
      <c r="J7" s="1016" t="s">
        <v>370</v>
      </c>
      <c r="K7" s="1014">
        <f>(I7/P7-1)*100</f>
        <v>-25.88280162996832</v>
      </c>
      <c r="L7" s="1012">
        <f>'Exp. Verde'!F7+'Exp. Solúvel'!F7+'Exp. Torrado'!F7+'Exp. Extrato'!F7</f>
        <v>589036</v>
      </c>
      <c r="M7" s="1013" t="s">
        <v>370</v>
      </c>
      <c r="N7" s="1017">
        <f>'Exp. Verde'!G7+'Exp. Solúvel'!G7+'Exp. Torrado'!G7+'Exp. Extrato'!G7</f>
        <v>2980332.3333333335</v>
      </c>
      <c r="O7" s="1013" t="s">
        <v>370</v>
      </c>
      <c r="P7" s="1002">
        <f t="shared" ref="P7:P19" si="1">(L7*1000)/N7</f>
        <v>197.64104607126026</v>
      </c>
      <c r="Q7" s="1013" t="s">
        <v>370</v>
      </c>
      <c r="R7" s="445"/>
    </row>
    <row r="8" spans="1:20" ht="12.95" customHeight="1">
      <c r="A8" s="445"/>
      <c r="B8" s="96" t="s">
        <v>123</v>
      </c>
      <c r="C8" s="1012"/>
      <c r="D8" s="1014"/>
      <c r="E8" s="1014"/>
      <c r="F8" s="1012"/>
      <c r="G8" s="1014"/>
      <c r="H8" s="1014"/>
      <c r="I8" s="1015"/>
      <c r="J8" s="1018"/>
      <c r="K8" s="1014"/>
      <c r="L8" s="1012"/>
      <c r="M8" s="1014"/>
      <c r="N8" s="1012"/>
      <c r="O8" s="1014"/>
      <c r="P8" s="1002"/>
      <c r="Q8" s="1014"/>
      <c r="R8" s="445"/>
    </row>
    <row r="9" spans="1:20" ht="12.95" customHeight="1">
      <c r="A9" s="445"/>
      <c r="B9" s="96" t="s">
        <v>124</v>
      </c>
      <c r="C9" s="1012"/>
      <c r="D9" s="1014"/>
      <c r="E9" s="1014"/>
      <c r="F9" s="1012"/>
      <c r="G9" s="1014"/>
      <c r="H9" s="1014"/>
      <c r="I9" s="1015"/>
      <c r="J9" s="1018"/>
      <c r="K9" s="1014"/>
      <c r="L9" s="1012"/>
      <c r="M9" s="1014"/>
      <c r="N9" s="1012"/>
      <c r="O9" s="1014"/>
      <c r="P9" s="1002"/>
      <c r="Q9" s="1014"/>
      <c r="R9" s="445"/>
    </row>
    <row r="10" spans="1:20" ht="12.95" customHeight="1">
      <c r="A10" s="445"/>
      <c r="B10" s="96" t="s">
        <v>125</v>
      </c>
      <c r="C10" s="1012"/>
      <c r="D10" s="1014"/>
      <c r="E10" s="1014"/>
      <c r="F10" s="1012"/>
      <c r="G10" s="1014"/>
      <c r="H10" s="1014"/>
      <c r="I10" s="1015"/>
      <c r="J10" s="1018"/>
      <c r="K10" s="1014"/>
      <c r="L10" s="1012"/>
      <c r="M10" s="1014"/>
      <c r="N10" s="1012"/>
      <c r="O10" s="1014"/>
      <c r="P10" s="1002"/>
      <c r="Q10" s="1014"/>
      <c r="R10" s="445"/>
      <c r="T10" s="577" t="s">
        <v>311</v>
      </c>
    </row>
    <row r="11" spans="1:20" ht="12.95" customHeight="1">
      <c r="A11" s="445"/>
      <c r="B11" s="96" t="s">
        <v>126</v>
      </c>
      <c r="C11" s="1012"/>
      <c r="D11" s="1014"/>
      <c r="E11" s="1014"/>
      <c r="F11" s="1012"/>
      <c r="G11" s="1014"/>
      <c r="H11" s="1014"/>
      <c r="I11" s="1015"/>
      <c r="J11" s="1018"/>
      <c r="K11" s="1014"/>
      <c r="L11" s="1012"/>
      <c r="M11" s="1014"/>
      <c r="N11" s="1012"/>
      <c r="O11" s="1014"/>
      <c r="P11" s="1002"/>
      <c r="Q11" s="1014"/>
      <c r="R11" s="445"/>
    </row>
    <row r="12" spans="1:20" ht="12.95" customHeight="1">
      <c r="A12" s="445"/>
      <c r="B12" s="96" t="s">
        <v>127</v>
      </c>
      <c r="C12" s="1012"/>
      <c r="D12" s="1014"/>
      <c r="E12" s="1014"/>
      <c r="F12" s="1012"/>
      <c r="G12" s="1014"/>
      <c r="H12" s="1014"/>
      <c r="I12" s="1015"/>
      <c r="J12" s="1018"/>
      <c r="K12" s="1014"/>
      <c r="L12" s="1012"/>
      <c r="M12" s="1014"/>
      <c r="N12" s="1012"/>
      <c r="O12" s="1014"/>
      <c r="P12" s="1002"/>
      <c r="Q12" s="1014"/>
      <c r="R12" s="445"/>
    </row>
    <row r="13" spans="1:20" ht="12.95" customHeight="1">
      <c r="A13" s="445"/>
      <c r="B13" s="96" t="s">
        <v>129</v>
      </c>
      <c r="C13" s="1012"/>
      <c r="D13" s="1014"/>
      <c r="E13" s="1014"/>
      <c r="F13" s="1012"/>
      <c r="G13" s="1014"/>
      <c r="H13" s="1014"/>
      <c r="I13" s="1015"/>
      <c r="J13" s="1018"/>
      <c r="K13" s="1014"/>
      <c r="L13" s="1012"/>
      <c r="M13" s="1014"/>
      <c r="N13" s="1012"/>
      <c r="O13" s="1014"/>
      <c r="P13" s="1002"/>
      <c r="Q13" s="1014"/>
      <c r="R13" s="445"/>
      <c r="S13" s="565"/>
    </row>
    <row r="14" spans="1:20" ht="12.95" customHeight="1">
      <c r="A14" s="445"/>
      <c r="B14" s="96" t="s">
        <v>130</v>
      </c>
      <c r="C14" s="1012"/>
      <c r="D14" s="1014"/>
      <c r="E14" s="1014"/>
      <c r="F14" s="1012"/>
      <c r="G14" s="1014"/>
      <c r="H14" s="1014"/>
      <c r="I14" s="1015"/>
      <c r="J14" s="1018"/>
      <c r="K14" s="1014"/>
      <c r="L14" s="1012"/>
      <c r="M14" s="1014"/>
      <c r="N14" s="1012"/>
      <c r="O14" s="1014"/>
      <c r="P14" s="1002"/>
      <c r="Q14" s="1014"/>
      <c r="R14" s="445"/>
    </row>
    <row r="15" spans="1:20" ht="12.95" customHeight="1">
      <c r="A15" s="445"/>
      <c r="B15" s="96" t="s">
        <v>131</v>
      </c>
      <c r="C15" s="1012"/>
      <c r="D15" s="1014"/>
      <c r="E15" s="1018"/>
      <c r="F15" s="1012"/>
      <c r="G15" s="1014"/>
      <c r="H15" s="1018"/>
      <c r="I15" s="1015"/>
      <c r="J15" s="1018"/>
      <c r="K15" s="1018"/>
      <c r="L15" s="1012"/>
      <c r="M15" s="1014"/>
      <c r="N15" s="1012"/>
      <c r="O15" s="1014"/>
      <c r="P15" s="1002"/>
      <c r="Q15" s="1018"/>
      <c r="R15" s="445"/>
    </row>
    <row r="16" spans="1:20">
      <c r="A16" s="445"/>
      <c r="B16" s="96" t="s">
        <v>132</v>
      </c>
      <c r="C16" s="1012"/>
      <c r="D16" s="1018"/>
      <c r="E16" s="1018"/>
      <c r="F16" s="1012"/>
      <c r="G16" s="1018"/>
      <c r="H16" s="1018"/>
      <c r="I16" s="1019"/>
      <c r="J16" s="1018"/>
      <c r="K16" s="1018"/>
      <c r="L16" s="1020"/>
      <c r="M16" s="1018"/>
      <c r="N16" s="1020"/>
      <c r="O16" s="1018"/>
      <c r="P16" s="1021"/>
      <c r="Q16" s="1018"/>
      <c r="R16" s="446"/>
    </row>
    <row r="17" spans="1:18">
      <c r="A17" s="445"/>
      <c r="B17" s="96" t="s">
        <v>133</v>
      </c>
      <c r="C17" s="1012"/>
      <c r="D17" s="1018"/>
      <c r="E17" s="1018"/>
      <c r="F17" s="1012"/>
      <c r="G17" s="1018"/>
      <c r="H17" s="1018"/>
      <c r="I17" s="1019"/>
      <c r="J17" s="1018"/>
      <c r="K17" s="1018"/>
      <c r="L17" s="1020"/>
      <c r="M17" s="1018"/>
      <c r="N17" s="1020"/>
      <c r="O17" s="1018"/>
      <c r="P17" s="1021"/>
      <c r="Q17" s="1018"/>
      <c r="R17" s="445"/>
    </row>
    <row r="18" spans="1:18">
      <c r="A18" s="445"/>
      <c r="B18" s="96" t="s">
        <v>134</v>
      </c>
      <c r="C18" s="640"/>
      <c r="D18" s="1022"/>
      <c r="E18" s="1022"/>
      <c r="F18" s="640"/>
      <c r="G18" s="1022"/>
      <c r="H18" s="1022"/>
      <c r="I18" s="1023"/>
      <c r="J18" s="1022"/>
      <c r="K18" s="1022"/>
      <c r="L18" s="1003"/>
      <c r="M18" s="1022"/>
      <c r="N18" s="1020"/>
      <c r="O18" s="1014"/>
      <c r="P18" s="1009"/>
      <c r="Q18" s="1022"/>
      <c r="R18" s="445"/>
    </row>
    <row r="19" spans="1:18">
      <c r="A19" s="445"/>
      <c r="B19" s="458" t="s">
        <v>116</v>
      </c>
      <c r="C19" s="1042">
        <f>SUM(C7:C18)</f>
        <v>403561.34</v>
      </c>
      <c r="D19" s="1043">
        <v>0</v>
      </c>
      <c r="E19" s="1041">
        <f t="shared" ref="E19" si="2">(C19/L19-1)*100</f>
        <v>-31.487830964491124</v>
      </c>
      <c r="F19" s="1044">
        <f>SUM(F7:F18)</f>
        <v>2754948.07</v>
      </c>
      <c r="G19" s="1043">
        <v>0</v>
      </c>
      <c r="H19" s="1043">
        <f t="shared" ref="H19" si="3">(F19/N19-1)*100</f>
        <v>-7.5623869463327331</v>
      </c>
      <c r="I19" s="1048">
        <f>(C19*1000)/F19</f>
        <v>146.48600617724168</v>
      </c>
      <c r="J19" s="1045">
        <v>0</v>
      </c>
      <c r="K19" s="1041">
        <f>(I19/P19-1)*100</f>
        <v>-25.88280162996832</v>
      </c>
      <c r="L19" s="1046">
        <f>SUM(L7:L18)</f>
        <v>589036</v>
      </c>
      <c r="M19" s="1041">
        <v>0</v>
      </c>
      <c r="N19" s="1046">
        <f>SUM(N7:N18)</f>
        <v>2980332.3333333335</v>
      </c>
      <c r="O19" s="1047">
        <v>0</v>
      </c>
      <c r="P19" s="1054">
        <f t="shared" si="1"/>
        <v>197.64104607126026</v>
      </c>
      <c r="Q19" s="1045">
        <v>0</v>
      </c>
      <c r="R19" s="445"/>
    </row>
    <row r="20" spans="1:18">
      <c r="A20" s="445"/>
      <c r="B20" s="460" t="s">
        <v>117</v>
      </c>
      <c r="C20" s="461"/>
      <c r="D20" s="461"/>
      <c r="E20" s="1036"/>
      <c r="F20" s="461"/>
      <c r="G20" s="461"/>
      <c r="H20" s="461"/>
      <c r="I20" s="141"/>
      <c r="J20" s="141"/>
      <c r="K20" s="141"/>
      <c r="L20" s="444"/>
      <c r="M20" s="444"/>
      <c r="N20" s="462"/>
      <c r="O20" s="462"/>
      <c r="P20" s="141"/>
      <c r="Q20" s="84"/>
      <c r="R20" s="445"/>
    </row>
    <row r="21" spans="1:18">
      <c r="A21" s="445"/>
      <c r="B21" s="460" t="s">
        <v>341</v>
      </c>
      <c r="C21" s="461"/>
      <c r="D21" s="461"/>
      <c r="E21" s="461"/>
      <c r="F21" s="461"/>
      <c r="G21" s="461"/>
      <c r="H21" s="461"/>
      <c r="I21" s="141"/>
      <c r="J21" s="141"/>
      <c r="K21" s="141"/>
      <c r="L21" s="444" t="s">
        <v>135</v>
      </c>
      <c r="M21" s="444"/>
      <c r="N21" s="444" t="s">
        <v>371</v>
      </c>
      <c r="O21" s="462"/>
      <c r="P21" s="141"/>
      <c r="Q21" s="84"/>
      <c r="R21" s="445"/>
    </row>
    <row r="22" spans="1:18">
      <c r="A22" s="445"/>
      <c r="B22" s="148"/>
      <c r="C22" s="461"/>
      <c r="D22" s="461"/>
      <c r="E22" s="461"/>
      <c r="F22" s="461"/>
      <c r="G22" s="461"/>
      <c r="H22" s="461"/>
      <c r="I22" s="141"/>
      <c r="J22" s="141"/>
      <c r="K22" s="141"/>
      <c r="L22" s="462"/>
      <c r="M22" s="462"/>
      <c r="N22" s="462"/>
      <c r="O22" s="462"/>
      <c r="P22" s="141"/>
      <c r="Q22" s="84"/>
      <c r="R22" s="445"/>
    </row>
    <row r="23" spans="1:18">
      <c r="A23" s="445"/>
      <c r="B23" s="463"/>
      <c r="C23" s="461"/>
      <c r="D23" s="461"/>
      <c r="E23" s="461"/>
      <c r="F23" s="461"/>
      <c r="G23" s="461"/>
      <c r="H23" s="461"/>
      <c r="I23" s="149"/>
      <c r="J23" s="149"/>
      <c r="K23" s="149"/>
      <c r="L23" s="149"/>
      <c r="M23" s="149"/>
      <c r="N23" s="149"/>
      <c r="O23" s="149"/>
      <c r="P23" s="149"/>
      <c r="Q23" s="150"/>
      <c r="R23" s="445"/>
    </row>
    <row r="24" spans="1:18">
      <c r="A24" s="445"/>
      <c r="B24" s="146"/>
      <c r="C24" s="141"/>
      <c r="D24" s="141"/>
      <c r="E24" s="141"/>
      <c r="F24" s="141"/>
      <c r="G24" s="141"/>
      <c r="H24" s="141"/>
      <c r="I24" s="141"/>
      <c r="J24" s="141"/>
      <c r="K24" s="141"/>
      <c r="L24" s="141"/>
      <c r="M24" s="141"/>
      <c r="N24" s="141"/>
      <c r="O24" s="141"/>
      <c r="P24" s="141"/>
      <c r="Q24" s="84"/>
      <c r="R24" s="445"/>
    </row>
    <row r="25" spans="1:18">
      <c r="A25" s="445"/>
      <c r="B25" s="146"/>
      <c r="C25" s="141"/>
      <c r="D25" s="141"/>
      <c r="E25" s="141"/>
      <c r="F25" s="141"/>
      <c r="G25" s="141"/>
      <c r="H25" s="141"/>
      <c r="I25" s="141"/>
      <c r="J25" s="141"/>
      <c r="K25" s="141"/>
      <c r="L25" s="141"/>
      <c r="M25" s="141"/>
      <c r="N25" s="141"/>
      <c r="O25" s="141"/>
      <c r="P25" s="141"/>
      <c r="Q25" s="84"/>
      <c r="R25" s="445"/>
    </row>
    <row r="26" spans="1:18">
      <c r="A26" s="445"/>
      <c r="B26" s="146"/>
      <c r="C26" s="141"/>
      <c r="D26" s="141"/>
      <c r="E26" s="141"/>
      <c r="F26" s="141"/>
      <c r="G26" s="141"/>
      <c r="H26" s="141"/>
      <c r="I26" s="141"/>
      <c r="J26" s="141"/>
      <c r="K26" s="141"/>
      <c r="L26" s="141"/>
      <c r="M26" s="141"/>
      <c r="N26" s="141"/>
      <c r="O26" s="141"/>
      <c r="P26" s="141"/>
      <c r="Q26" s="84"/>
      <c r="R26" s="445"/>
    </row>
    <row r="27" spans="1:18">
      <c r="A27" s="445"/>
      <c r="B27" s="146"/>
      <c r="C27" s="141"/>
      <c r="D27" s="141"/>
      <c r="E27" s="141"/>
      <c r="F27" s="141"/>
      <c r="G27" s="141"/>
      <c r="H27" s="141"/>
      <c r="I27" s="141"/>
      <c r="J27" s="141"/>
      <c r="K27" s="141"/>
      <c r="L27" s="141"/>
      <c r="M27" s="141"/>
      <c r="N27" s="141"/>
      <c r="O27" s="141"/>
      <c r="P27" s="141"/>
      <c r="Q27" s="84"/>
      <c r="R27" s="445"/>
    </row>
    <row r="28" spans="1:18">
      <c r="A28" s="445"/>
      <c r="B28" s="146"/>
      <c r="C28" s="141"/>
      <c r="D28" s="141"/>
      <c r="E28" s="141"/>
      <c r="F28" s="141"/>
      <c r="G28" s="141"/>
      <c r="H28" s="141"/>
      <c r="I28" s="141"/>
      <c r="J28" s="141"/>
      <c r="K28" s="141"/>
      <c r="L28" s="141"/>
      <c r="M28" s="141"/>
      <c r="N28" s="141"/>
      <c r="O28" s="141"/>
      <c r="P28" s="141"/>
      <c r="Q28" s="84"/>
      <c r="R28" s="445"/>
    </row>
    <row r="29" spans="1:18">
      <c r="A29" s="445"/>
      <c r="B29" s="146"/>
      <c r="C29" s="141"/>
      <c r="D29" s="141"/>
      <c r="E29" s="141"/>
      <c r="F29" s="141"/>
      <c r="G29" s="141"/>
      <c r="H29" s="141"/>
      <c r="I29" s="141"/>
      <c r="J29" s="141"/>
      <c r="K29" s="141"/>
      <c r="L29" s="141"/>
      <c r="M29" s="141"/>
      <c r="N29" s="141"/>
      <c r="O29" s="141"/>
      <c r="P29" s="141"/>
      <c r="Q29" s="84"/>
      <c r="R29" s="445"/>
    </row>
    <row r="30" spans="1:18">
      <c r="A30" s="445"/>
      <c r="B30" s="146"/>
      <c r="C30" s="141"/>
      <c r="D30" s="141"/>
      <c r="E30" s="141"/>
      <c r="F30" s="141"/>
      <c r="G30" s="141"/>
      <c r="H30" s="141"/>
      <c r="I30" s="141"/>
      <c r="J30" s="141"/>
      <c r="K30" s="141"/>
      <c r="L30" s="141"/>
      <c r="M30" s="141"/>
      <c r="N30" s="141"/>
      <c r="O30" s="141"/>
      <c r="P30" s="141"/>
      <c r="Q30" s="84"/>
      <c r="R30" s="445"/>
    </row>
    <row r="31" spans="1:18">
      <c r="A31" s="445"/>
      <c r="B31" s="146"/>
      <c r="C31" s="141"/>
      <c r="D31" s="141"/>
      <c r="E31" s="141"/>
      <c r="F31" s="141"/>
      <c r="G31" s="141"/>
      <c r="H31" s="141"/>
      <c r="I31" s="141"/>
      <c r="J31" s="141"/>
      <c r="K31" s="141"/>
      <c r="L31" s="141"/>
      <c r="M31" s="141"/>
      <c r="N31" s="141"/>
      <c r="O31" s="141"/>
      <c r="P31" s="141"/>
      <c r="Q31" s="84"/>
      <c r="R31" s="445"/>
    </row>
    <row r="32" spans="1:18">
      <c r="A32" s="445"/>
      <c r="B32" s="146"/>
      <c r="C32" s="141"/>
      <c r="D32" s="141"/>
      <c r="E32" s="141"/>
      <c r="F32" s="141"/>
      <c r="G32" s="141"/>
      <c r="H32" s="141"/>
      <c r="I32" s="141"/>
      <c r="J32" s="141"/>
      <c r="K32" s="141"/>
      <c r="L32" s="141"/>
      <c r="M32" s="141"/>
      <c r="N32" s="141"/>
      <c r="O32" s="141"/>
      <c r="P32" s="141"/>
      <c r="Q32" s="84"/>
      <c r="R32" s="445"/>
    </row>
    <row r="33" spans="1:18">
      <c r="A33" s="445"/>
      <c r="B33" s="146"/>
      <c r="C33" s="141"/>
      <c r="D33" s="141"/>
      <c r="E33" s="141"/>
      <c r="F33" s="141"/>
      <c r="G33" s="141"/>
      <c r="H33" s="141"/>
      <c r="I33" s="141"/>
      <c r="J33" s="141"/>
      <c r="K33" s="141"/>
      <c r="L33" s="141"/>
      <c r="M33" s="141"/>
      <c r="N33" s="141"/>
      <c r="O33" s="141"/>
      <c r="P33" s="141"/>
      <c r="Q33" s="84"/>
      <c r="R33" s="445"/>
    </row>
    <row r="34" spans="1:18">
      <c r="A34" s="445"/>
      <c r="B34" s="146"/>
      <c r="C34" s="141"/>
      <c r="D34" s="141"/>
      <c r="E34" s="141"/>
      <c r="F34" s="141"/>
      <c r="G34" s="141"/>
      <c r="H34" s="141"/>
      <c r="I34" s="141"/>
      <c r="J34" s="141"/>
      <c r="K34" s="141"/>
      <c r="L34" s="141"/>
      <c r="M34" s="141"/>
      <c r="N34" s="141"/>
      <c r="O34" s="141"/>
      <c r="P34" s="141"/>
      <c r="Q34" s="84"/>
      <c r="R34" s="445"/>
    </row>
    <row r="35" spans="1:18">
      <c r="A35" s="445"/>
      <c r="B35" s="464"/>
      <c r="C35" s="120"/>
      <c r="D35" s="120"/>
      <c r="E35" s="120"/>
      <c r="F35" s="120"/>
      <c r="G35" s="120"/>
      <c r="H35" s="120"/>
      <c r="I35" s="120"/>
      <c r="J35" s="120"/>
      <c r="K35" s="120"/>
      <c r="L35" s="120"/>
      <c r="M35" s="120"/>
      <c r="N35" s="120"/>
      <c r="O35" s="120"/>
      <c r="P35" s="120"/>
      <c r="Q35" s="465"/>
      <c r="R35" s="445"/>
    </row>
    <row r="36" spans="1:18">
      <c r="A36" s="445"/>
      <c r="B36" s="447"/>
      <c r="C36" s="447"/>
      <c r="D36" s="447"/>
      <c r="E36" s="447"/>
      <c r="F36" s="447"/>
      <c r="G36" s="447"/>
      <c r="H36" s="447"/>
      <c r="I36" s="447"/>
      <c r="J36" s="447"/>
      <c r="K36" s="447"/>
      <c r="L36" s="447"/>
      <c r="M36" s="447"/>
      <c r="N36" s="447"/>
      <c r="O36" s="447"/>
      <c r="P36" s="447"/>
      <c r="Q36" s="447"/>
      <c r="R36" s="445"/>
    </row>
    <row r="37" spans="1:18"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</row>
    <row r="38" spans="1:18"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</row>
    <row r="39" spans="1:18"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</row>
    <row r="40" spans="1:18"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</row>
    <row r="41" spans="1:18"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</row>
    <row r="42" spans="1:18"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</row>
    <row r="43" spans="1:18"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</row>
    <row r="44" spans="1:18"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</row>
    <row r="45" spans="1:18"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</row>
    <row r="46" spans="1:18"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</row>
    <row r="47" spans="1:18"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</row>
    <row r="48" spans="1:18"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</row>
    <row r="49" spans="2:17"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</row>
    <row r="50" spans="2:17"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</row>
    <row r="51" spans="2:17"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</row>
    <row r="52" spans="2:17"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</row>
    <row r="53" spans="2:17"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</row>
    <row r="54" spans="2:17"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</row>
    <row r="55" spans="2:17"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</row>
    <row r="56" spans="2:17"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</row>
    <row r="57" spans="2:17"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</row>
    <row r="58" spans="2:17"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</row>
    <row r="59" spans="2:17"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</row>
    <row r="60" spans="2:17"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</row>
    <row r="61" spans="2:17"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</row>
    <row r="62" spans="2:17"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</row>
    <row r="63" spans="2:17"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</row>
    <row r="64" spans="2:17"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</row>
    <row r="65" spans="2:17"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</row>
    <row r="66" spans="2:17"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</row>
    <row r="67" spans="2:17"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</row>
    <row r="68" spans="2:17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</row>
    <row r="69" spans="2:17"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</row>
    <row r="70" spans="2:17"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</row>
    <row r="71" spans="2:17"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</row>
    <row r="72" spans="2:17"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</row>
    <row r="73" spans="2:17"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</row>
    <row r="74" spans="2:17"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</row>
    <row r="75" spans="2:17"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</row>
    <row r="76" spans="2:17"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</row>
    <row r="77" spans="2:17"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</row>
    <row r="78" spans="2:17"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</row>
    <row r="79" spans="2:17"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</row>
    <row r="80" spans="2:17"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</row>
    <row r="81" spans="2:17"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</row>
    <row r="82" spans="2:17"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</row>
    <row r="83" spans="2:17"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</row>
    <row r="84" spans="2:17"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</row>
    <row r="85" spans="2:17"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</row>
    <row r="86" spans="2:17"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</row>
    <row r="87" spans="2:17"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</row>
    <row r="88" spans="2:17"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</row>
    <row r="89" spans="2:17"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</row>
    <row r="90" spans="2:17"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</row>
    <row r="91" spans="2:17"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</row>
    <row r="92" spans="2:17"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</row>
    <row r="93" spans="2:17"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</row>
  </sheetData>
  <mergeCells count="12">
    <mergeCell ref="A1:R1"/>
    <mergeCell ref="B2:Q2"/>
    <mergeCell ref="L4:P4"/>
    <mergeCell ref="D5:E5"/>
    <mergeCell ref="C5:C6"/>
    <mergeCell ref="G5:H5"/>
    <mergeCell ref="F5:F6"/>
    <mergeCell ref="L5:L6"/>
    <mergeCell ref="N5:N6"/>
    <mergeCell ref="J5:K5"/>
    <mergeCell ref="C4:K4"/>
    <mergeCell ref="B4:B6"/>
  </mergeCells>
  <pageMargins left="0.51181102362204722" right="0.51181102362204722" top="0.78740157480314965" bottom="0.78740157480314965" header="0.31496062992125984" footer="0.31496062992125984"/>
  <pageSetup paperSize="9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D33"/>
  <sheetViews>
    <sheetView workbookViewId="0">
      <selection activeCell="E21" sqref="E21"/>
    </sheetView>
  </sheetViews>
  <sheetFormatPr defaultRowHeight="12.75"/>
  <cols>
    <col min="1" max="1" width="2.7109375" customWidth="1"/>
    <col min="2" max="2" width="126.42578125" customWidth="1"/>
    <col min="3" max="3" width="2.7109375" customWidth="1"/>
    <col min="4" max="4" width="8.85546875" bestFit="1" customWidth="1"/>
  </cols>
  <sheetData>
    <row r="1" spans="1:3" ht="16.5" customHeight="1">
      <c r="A1" s="64"/>
      <c r="B1" s="309"/>
      <c r="C1" s="64"/>
    </row>
    <row r="2" spans="1:3" ht="13.5" customHeight="1">
      <c r="A2" s="66"/>
      <c r="B2" s="403"/>
      <c r="C2" s="65"/>
    </row>
    <row r="3" spans="1:3" ht="17.100000000000001" customHeight="1">
      <c r="A3" s="66"/>
      <c r="B3" s="408" t="s">
        <v>340</v>
      </c>
      <c r="C3" s="65"/>
    </row>
    <row r="4" spans="1:3" ht="17.100000000000001" customHeight="1">
      <c r="A4" s="66"/>
      <c r="B4" s="408" t="s">
        <v>316</v>
      </c>
      <c r="C4" s="65"/>
    </row>
    <row r="5" spans="1:3" ht="17.100000000000001" customHeight="1">
      <c r="A5" s="66"/>
      <c r="B5" s="408" t="s">
        <v>317</v>
      </c>
      <c r="C5" s="65"/>
    </row>
    <row r="6" spans="1:3" ht="17.100000000000001" customHeight="1">
      <c r="A6" s="66"/>
      <c r="B6" s="408"/>
      <c r="C6" s="65"/>
    </row>
    <row r="7" spans="1:3" ht="17.100000000000001" customHeight="1">
      <c r="A7" s="66"/>
      <c r="B7" s="409" t="s">
        <v>318</v>
      </c>
      <c r="C7" s="65"/>
    </row>
    <row r="8" spans="1:3" ht="17.100000000000001" customHeight="1">
      <c r="A8" s="66"/>
      <c r="B8" s="409" t="s">
        <v>319</v>
      </c>
      <c r="C8" s="65"/>
    </row>
    <row r="9" spans="1:3" ht="17.100000000000001" customHeight="1">
      <c r="A9" s="66"/>
      <c r="B9" s="409" t="s">
        <v>320</v>
      </c>
      <c r="C9" s="65"/>
    </row>
    <row r="10" spans="1:3" ht="17.100000000000001" customHeight="1">
      <c r="A10" s="66"/>
      <c r="B10" s="409" t="s">
        <v>321</v>
      </c>
      <c r="C10" s="65"/>
    </row>
    <row r="11" spans="1:3" ht="17.100000000000001" customHeight="1">
      <c r="A11" s="66"/>
      <c r="B11" s="404"/>
      <c r="C11" s="65"/>
    </row>
    <row r="12" spans="1:3" ht="17.100000000000001" customHeight="1">
      <c r="A12" s="66"/>
      <c r="B12" s="409" t="s">
        <v>322</v>
      </c>
      <c r="C12" s="65"/>
    </row>
    <row r="13" spans="1:3" ht="17.100000000000001" customHeight="1">
      <c r="A13" s="66"/>
      <c r="B13" s="409" t="s">
        <v>323</v>
      </c>
      <c r="C13" s="65"/>
    </row>
    <row r="14" spans="1:3" ht="17.100000000000001" customHeight="1">
      <c r="A14" s="66"/>
      <c r="B14" s="410" t="s">
        <v>324</v>
      </c>
      <c r="C14" s="65"/>
    </row>
    <row r="15" spans="1:3" ht="17.100000000000001" customHeight="1">
      <c r="A15" s="66"/>
      <c r="B15" s="410"/>
      <c r="C15" s="65"/>
    </row>
    <row r="16" spans="1:3" ht="17.100000000000001" customHeight="1">
      <c r="A16" s="66"/>
      <c r="B16" s="1061" t="s">
        <v>336</v>
      </c>
      <c r="C16" s="65"/>
    </row>
    <row r="17" spans="1:4" ht="17.100000000000001" customHeight="1">
      <c r="A17" s="66"/>
      <c r="B17" s="1061" t="s">
        <v>325</v>
      </c>
      <c r="C17" s="65"/>
    </row>
    <row r="18" spans="1:4" ht="17.100000000000001" customHeight="1">
      <c r="A18" s="66"/>
      <c r="B18" s="1062" t="s">
        <v>326</v>
      </c>
      <c r="C18" s="65"/>
    </row>
    <row r="19" spans="1:4" ht="17.100000000000001" customHeight="1">
      <c r="A19" s="66"/>
      <c r="B19" s="1062" t="s">
        <v>327</v>
      </c>
      <c r="C19" s="65"/>
    </row>
    <row r="20" spans="1:4" ht="17.100000000000001" customHeight="1">
      <c r="A20" s="66"/>
      <c r="B20" s="1062" t="s">
        <v>328</v>
      </c>
      <c r="C20" s="65"/>
    </row>
    <row r="21" spans="1:4" ht="17.100000000000001" customHeight="1">
      <c r="A21" s="66"/>
      <c r="B21" s="411" t="s">
        <v>513</v>
      </c>
      <c r="C21" s="65"/>
    </row>
    <row r="22" spans="1:4" ht="17.100000000000001" customHeight="1">
      <c r="A22" s="66"/>
      <c r="B22" s="411" t="s">
        <v>329</v>
      </c>
      <c r="C22" s="65"/>
    </row>
    <row r="23" spans="1:4" ht="17.100000000000001" customHeight="1">
      <c r="A23" s="66"/>
      <c r="B23" s="411" t="s">
        <v>330</v>
      </c>
      <c r="C23" s="65"/>
    </row>
    <row r="24" spans="1:4" ht="17.100000000000001" customHeight="1">
      <c r="A24" s="66"/>
      <c r="B24" s="411" t="s">
        <v>331</v>
      </c>
      <c r="C24" s="65"/>
    </row>
    <row r="25" spans="1:4" ht="17.100000000000001" customHeight="1">
      <c r="A25" s="66"/>
      <c r="B25" s="411" t="s">
        <v>332</v>
      </c>
      <c r="C25" s="65"/>
    </row>
    <row r="26" spans="1:4" ht="11.25" customHeight="1">
      <c r="A26" s="66"/>
      <c r="B26" s="412" t="s">
        <v>333</v>
      </c>
      <c r="C26" s="65"/>
    </row>
    <row r="27" spans="1:4" ht="17.100000000000001" customHeight="1">
      <c r="A27" s="66"/>
      <c r="B27" s="411" t="s">
        <v>334</v>
      </c>
      <c r="C27" s="66"/>
    </row>
    <row r="28" spans="1:4" ht="17.100000000000001" customHeight="1">
      <c r="A28" s="66"/>
      <c r="B28" s="407"/>
      <c r="C28" s="66"/>
    </row>
    <row r="29" spans="1:4" ht="16.5" customHeight="1">
      <c r="A29" s="65"/>
      <c r="B29" s="65"/>
      <c r="C29" s="65"/>
      <c r="D29" s="56"/>
    </row>
    <row r="30" spans="1:4" ht="15">
      <c r="D30" s="56"/>
    </row>
    <row r="31" spans="1:4" ht="15">
      <c r="D31" s="56"/>
    </row>
    <row r="32" spans="1:4" ht="15">
      <c r="D32" s="56"/>
    </row>
    <row r="33" spans="4:4" ht="15">
      <c r="D33" s="56"/>
    </row>
  </sheetData>
  <hyperlinks>
    <hyperlink ref="B26" r:id="rId1" display="http://www.agricultura.gov.br/vegetal/estatisticas"/>
  </hyperlinks>
  <printOptions horizontalCentered="1" verticalCentered="1"/>
  <pageMargins left="0.51181102362204722" right="0.51181102362204722" top="0.78740157480314965" bottom="0.78740157480314965" header="0.31496062992125984" footer="0.31496062992125984"/>
  <pageSetup paperSize="9" orientation="landscape" verticalDpi="0" r:id="rId2"/>
  <drawing r:id="rId3"/>
</worksheet>
</file>

<file path=xl/worksheets/sheet20.xml><?xml version="1.0" encoding="utf-8"?>
<worksheet xmlns="http://schemas.openxmlformats.org/spreadsheetml/2006/main" xmlns:r="http://schemas.openxmlformats.org/officeDocument/2006/relationships">
  <dimension ref="A1:N117"/>
  <sheetViews>
    <sheetView workbookViewId="0">
      <selection activeCell="K18" sqref="K18"/>
    </sheetView>
  </sheetViews>
  <sheetFormatPr defaultRowHeight="12.75"/>
  <cols>
    <col min="1" max="1" width="20.85546875" customWidth="1"/>
    <col min="2" max="3" width="10.28515625" bestFit="1" customWidth="1"/>
    <col min="4" max="4" width="9.28515625" bestFit="1" customWidth="1"/>
    <col min="5" max="6" width="10.28515625" bestFit="1" customWidth="1"/>
    <col min="7" max="7" width="9.28515625" bestFit="1" customWidth="1"/>
    <col min="8" max="9" width="8.140625" bestFit="1" customWidth="1"/>
    <col min="10" max="10" width="8.85546875" bestFit="1" customWidth="1"/>
  </cols>
  <sheetData>
    <row r="1" spans="1:11">
      <c r="A1" s="1261" t="s">
        <v>479</v>
      </c>
      <c r="B1" s="1261"/>
      <c r="C1" s="1261"/>
      <c r="D1" s="1261"/>
      <c r="E1" s="1261"/>
      <c r="F1" s="1261"/>
      <c r="G1" s="1261"/>
      <c r="H1" s="1261"/>
      <c r="I1" s="1261"/>
      <c r="J1" s="1261"/>
    </row>
    <row r="2" spans="1:11" ht="15.75">
      <c r="A2" s="1277" t="s">
        <v>140</v>
      </c>
      <c r="B2" s="1277"/>
      <c r="C2" s="1277"/>
      <c r="D2" s="1277"/>
      <c r="E2" s="1277"/>
      <c r="F2" s="1277"/>
      <c r="G2" s="1277"/>
      <c r="H2" s="1277"/>
      <c r="I2" s="1277"/>
      <c r="J2" s="1277"/>
    </row>
    <row r="3" spans="1:11">
      <c r="A3" s="429"/>
      <c r="B3" s="429"/>
      <c r="C3" s="429"/>
      <c r="D3" s="429"/>
      <c r="E3" s="429"/>
      <c r="F3" s="429"/>
      <c r="G3" s="430"/>
      <c r="H3" s="429"/>
      <c r="I3" s="429"/>
      <c r="J3" s="429"/>
    </row>
    <row r="4" spans="1:11">
      <c r="A4" s="1266" t="s">
        <v>85</v>
      </c>
      <c r="B4" s="1279" t="s">
        <v>538</v>
      </c>
      <c r="C4" s="1280"/>
      <c r="D4" s="1280"/>
      <c r="E4" s="1279" t="s">
        <v>539</v>
      </c>
      <c r="F4" s="1280"/>
      <c r="G4" s="1280"/>
      <c r="H4" s="1270" t="s">
        <v>106</v>
      </c>
      <c r="I4" s="1270"/>
      <c r="J4" s="1271"/>
    </row>
    <row r="5" spans="1:11">
      <c r="A5" s="1278"/>
      <c r="B5" s="254" t="s">
        <v>107</v>
      </c>
      <c r="C5" s="254" t="s">
        <v>108</v>
      </c>
      <c r="D5" s="254" t="s">
        <v>109</v>
      </c>
      <c r="E5" s="254" t="s">
        <v>107</v>
      </c>
      <c r="F5" s="254" t="s">
        <v>108</v>
      </c>
      <c r="G5" s="254" t="s">
        <v>109</v>
      </c>
      <c r="H5" s="1269" t="s">
        <v>540</v>
      </c>
      <c r="I5" s="1269"/>
      <c r="J5" s="1281"/>
    </row>
    <row r="6" spans="1:11">
      <c r="A6" s="255"/>
      <c r="B6" s="256" t="s">
        <v>110</v>
      </c>
      <c r="C6" s="256" t="s">
        <v>141</v>
      </c>
      <c r="D6" s="258" t="s">
        <v>142</v>
      </c>
      <c r="E6" s="256" t="s">
        <v>110</v>
      </c>
      <c r="F6" s="256" t="s">
        <v>141</v>
      </c>
      <c r="G6" s="254" t="s">
        <v>142</v>
      </c>
      <c r="H6" s="256" t="s">
        <v>107</v>
      </c>
      <c r="I6" s="256" t="s">
        <v>108</v>
      </c>
      <c r="J6" s="259" t="s">
        <v>109</v>
      </c>
    </row>
    <row r="7" spans="1:11">
      <c r="A7" s="19" t="s">
        <v>14</v>
      </c>
      <c r="B7" s="20">
        <f>Exportações!D14</f>
        <v>363398.93</v>
      </c>
      <c r="C7" s="20">
        <v>149106.78899999999</v>
      </c>
      <c r="D7" s="21">
        <f>(B7*1000)/C7</f>
        <v>2437.1722604797023</v>
      </c>
      <c r="E7" s="20">
        <f>Exportações!G14</f>
        <v>546288</v>
      </c>
      <c r="F7" s="20">
        <v>163485.25</v>
      </c>
      <c r="G7" s="21">
        <f>(E7*1000)/F7</f>
        <v>3341.5124606042441</v>
      </c>
      <c r="H7" s="22">
        <f t="shared" ref="H7:J12" si="0">SUM(B7-E7)*100/E7</f>
        <v>-33.478507673608057</v>
      </c>
      <c r="I7" s="22">
        <f t="shared" si="0"/>
        <v>-8.7949591782744996</v>
      </c>
      <c r="J7" s="23">
        <f t="shared" si="0"/>
        <v>-27.063798527957914</v>
      </c>
    </row>
    <row r="8" spans="1:11">
      <c r="A8" s="19" t="s">
        <v>113</v>
      </c>
      <c r="B8" s="20">
        <f>Exportações!D15</f>
        <v>37861.644</v>
      </c>
      <c r="C8" s="20">
        <v>5778.1710000000003</v>
      </c>
      <c r="D8" s="21">
        <f>(B8*1000)/C8</f>
        <v>6552.5308960222874</v>
      </c>
      <c r="E8" s="20">
        <f>Exportações!G15</f>
        <v>39831</v>
      </c>
      <c r="F8" s="20">
        <v>5284.3630000000003</v>
      </c>
      <c r="G8" s="21">
        <f>(E8*1000)/F8</f>
        <v>7537.5215517934703</v>
      </c>
      <c r="H8" s="22">
        <f t="shared" si="0"/>
        <v>-4.944279581230699</v>
      </c>
      <c r="I8" s="22">
        <f t="shared" si="0"/>
        <v>9.3447024740730349</v>
      </c>
      <c r="J8" s="23">
        <f t="shared" si="0"/>
        <v>-13.067832032093033</v>
      </c>
    </row>
    <row r="9" spans="1:11">
      <c r="A9" s="19" t="s">
        <v>114</v>
      </c>
      <c r="B9" s="20">
        <f>Exportações!D16</f>
        <v>596.52300000000002</v>
      </c>
      <c r="C9" s="563">
        <v>113.813</v>
      </c>
      <c r="D9" s="21">
        <f>(B9*1000)/C9</f>
        <v>5241.2553926177152</v>
      </c>
      <c r="E9" s="20">
        <f>Exportações!G16</f>
        <v>302</v>
      </c>
      <c r="F9" s="20">
        <v>46.024999999999999</v>
      </c>
      <c r="G9" s="21">
        <f>(E9*1000)/F9</f>
        <v>6561.6512764801737</v>
      </c>
      <c r="H9" s="22">
        <f t="shared" si="0"/>
        <v>97.524172185430473</v>
      </c>
      <c r="I9" s="22">
        <f t="shared" si="0"/>
        <v>147.28517110266162</v>
      </c>
      <c r="J9" s="23">
        <f t="shared" si="0"/>
        <v>-20.122920713499887</v>
      </c>
    </row>
    <row r="10" spans="1:11">
      <c r="A10" s="24" t="s">
        <v>115</v>
      </c>
      <c r="B10" s="20">
        <f>Exportações!D17</f>
        <v>1704.2429999999999</v>
      </c>
      <c r="C10" s="563">
        <v>396.69400000000002</v>
      </c>
      <c r="D10" s="21">
        <f>(B10*1000)/C10</f>
        <v>4296.1148895622318</v>
      </c>
      <c r="E10" s="20">
        <v>2615.2530000000002</v>
      </c>
      <c r="F10" s="20">
        <v>593.39200000000005</v>
      </c>
      <c r="G10" s="21">
        <f>(E10*1000)/F10</f>
        <v>4407.293997896837</v>
      </c>
      <c r="H10" s="22">
        <f t="shared" si="0"/>
        <v>-34.83448828851359</v>
      </c>
      <c r="I10" s="22">
        <f t="shared" si="0"/>
        <v>-33.148070752554808</v>
      </c>
      <c r="J10" s="23">
        <f t="shared" si="0"/>
        <v>-2.5226161083798795</v>
      </c>
    </row>
    <row r="11" spans="1:11">
      <c r="A11" s="24" t="s">
        <v>279</v>
      </c>
      <c r="B11" s="20">
        <v>0</v>
      </c>
      <c r="C11" s="20">
        <v>0</v>
      </c>
      <c r="D11" s="21">
        <v>0</v>
      </c>
      <c r="E11" s="20">
        <f>Exportações!G18</f>
        <v>0</v>
      </c>
      <c r="F11" s="20">
        <v>0</v>
      </c>
      <c r="G11" s="21">
        <v>0</v>
      </c>
      <c r="H11" s="20">
        <v>0</v>
      </c>
      <c r="I11" s="20">
        <v>0</v>
      </c>
      <c r="J11" s="31">
        <v>0</v>
      </c>
      <c r="K11" s="4"/>
    </row>
    <row r="12" spans="1:11">
      <c r="A12" s="260" t="s">
        <v>116</v>
      </c>
      <c r="B12" s="261">
        <f>SUM(B7:B11)</f>
        <v>403561.34</v>
      </c>
      <c r="C12" s="261">
        <f>SUM(C7:C11)</f>
        <v>155395.46699999998</v>
      </c>
      <c r="D12" s="1120">
        <f>(B12*1000)/C12</f>
        <v>2596.9955738798999</v>
      </c>
      <c r="E12" s="261">
        <f>SUM(E7:E11)</f>
        <v>589036.25300000003</v>
      </c>
      <c r="F12" s="261">
        <f>SUM(F7:F11)</f>
        <v>169409.03</v>
      </c>
      <c r="G12" s="1120">
        <f>(E12*1000)/F12</f>
        <v>3477.0062316040649</v>
      </c>
      <c r="H12" s="262">
        <f>SUM(B12-E12)*100/E12</f>
        <v>-31.487860391506327</v>
      </c>
      <c r="I12" s="262">
        <f>SUM(C12-F12)*100/F12</f>
        <v>-8.2720283564577546</v>
      </c>
      <c r="J12" s="1121">
        <f t="shared" si="0"/>
        <v>-25.309435735989037</v>
      </c>
    </row>
    <row r="13" spans="1:11">
      <c r="A13" s="263" t="s">
        <v>117</v>
      </c>
      <c r="B13" s="6"/>
      <c r="C13" s="6"/>
      <c r="D13" s="6"/>
      <c r="E13" s="6"/>
      <c r="F13" s="6"/>
      <c r="G13" s="25"/>
      <c r="H13" s="6"/>
      <c r="I13" s="6"/>
      <c r="J13" s="6"/>
    </row>
    <row r="14" spans="1:11">
      <c r="A14" s="257" t="s">
        <v>341</v>
      </c>
      <c r="B14" s="6"/>
      <c r="C14" s="6"/>
      <c r="D14" s="6"/>
      <c r="E14" s="6"/>
      <c r="F14" s="6"/>
      <c r="G14" s="25"/>
      <c r="H14" s="6"/>
      <c r="I14" s="6"/>
      <c r="J14" s="6"/>
    </row>
    <row r="15" spans="1:11">
      <c r="A15" s="26" t="s">
        <v>143</v>
      </c>
      <c r="B15" s="6"/>
      <c r="C15" s="6"/>
      <c r="D15" s="6"/>
      <c r="E15" s="6"/>
      <c r="F15" s="6"/>
      <c r="G15" s="25"/>
      <c r="H15" s="6"/>
      <c r="I15" s="6"/>
      <c r="J15" s="6"/>
    </row>
    <row r="16" spans="1:11">
      <c r="A16" s="26" t="s">
        <v>144</v>
      </c>
      <c r="B16" s="6"/>
      <c r="C16" s="6"/>
      <c r="D16" s="6"/>
      <c r="E16" s="6"/>
      <c r="F16" s="6"/>
      <c r="G16" s="25"/>
      <c r="H16" s="6"/>
      <c r="I16" s="6"/>
      <c r="J16" s="6"/>
    </row>
    <row r="17" spans="1:10">
      <c r="A17" s="26" t="s">
        <v>145</v>
      </c>
      <c r="B17" s="6"/>
      <c r="C17" s="6"/>
      <c r="D17" s="6"/>
      <c r="E17" s="6"/>
      <c r="F17" s="6"/>
      <c r="G17" s="25"/>
      <c r="H17" s="6"/>
      <c r="I17" s="6"/>
      <c r="J17" s="6"/>
    </row>
    <row r="18" spans="1:10">
      <c r="A18" s="26" t="s">
        <v>378</v>
      </c>
      <c r="B18" s="6"/>
      <c r="C18" s="6"/>
      <c r="D18" s="6"/>
      <c r="E18" s="6"/>
      <c r="F18" s="6"/>
      <c r="G18" s="25"/>
      <c r="H18" s="6"/>
      <c r="I18" s="6"/>
      <c r="J18" s="6"/>
    </row>
    <row r="19" spans="1:10">
      <c r="A19" s="26"/>
      <c r="B19" s="6"/>
      <c r="C19" s="6"/>
      <c r="D19" s="6"/>
      <c r="E19" s="6"/>
      <c r="F19" s="6"/>
      <c r="G19" s="25"/>
      <c r="H19" s="6"/>
      <c r="I19" s="6"/>
      <c r="J19" s="6"/>
    </row>
    <row r="20" spans="1:10">
      <c r="A20" s="1263" t="s">
        <v>146</v>
      </c>
      <c r="B20" s="1263"/>
      <c r="C20" s="1263"/>
      <c r="D20" s="1263"/>
      <c r="E20" s="1263"/>
      <c r="F20" s="1263"/>
      <c r="G20" s="1263"/>
      <c r="H20" s="1263"/>
      <c r="I20" s="1263"/>
      <c r="J20" s="1263"/>
    </row>
    <row r="21" spans="1:10">
      <c r="A21" s="1263" t="s">
        <v>342</v>
      </c>
      <c r="B21" s="1263"/>
      <c r="C21" s="1263"/>
      <c r="D21" s="1263"/>
      <c r="E21" s="1263"/>
      <c r="F21" s="1263"/>
      <c r="G21" s="1263"/>
      <c r="H21" s="1263"/>
      <c r="I21" s="1263"/>
      <c r="J21" s="1263"/>
    </row>
    <row r="22" spans="1:10">
      <c r="A22" s="264"/>
      <c r="B22" s="264"/>
      <c r="C22" s="264"/>
      <c r="D22" s="264"/>
      <c r="E22" s="264"/>
      <c r="F22" s="264"/>
      <c r="G22" s="265"/>
      <c r="H22" s="264"/>
      <c r="I22" s="264"/>
      <c r="J22" s="264"/>
    </row>
    <row r="23" spans="1:10">
      <c r="A23" s="1275" t="s">
        <v>147</v>
      </c>
      <c r="B23" s="1276"/>
      <c r="C23" s="1276"/>
      <c r="D23" s="264"/>
      <c r="E23" s="264"/>
      <c r="F23" s="264"/>
      <c r="G23" s="265"/>
      <c r="H23" s="264"/>
      <c r="I23" s="264"/>
      <c r="J23" s="264"/>
    </row>
    <row r="24" spans="1:10">
      <c r="A24" s="6"/>
      <c r="B24" s="6"/>
      <c r="C24" s="6"/>
      <c r="D24" s="6"/>
      <c r="E24" s="6"/>
      <c r="F24" s="6"/>
      <c r="G24" s="25"/>
      <c r="H24" s="6"/>
      <c r="I24" s="6"/>
      <c r="J24" s="6"/>
    </row>
    <row r="25" spans="1:10">
      <c r="A25" s="1266" t="s">
        <v>148</v>
      </c>
      <c r="B25" s="1268" t="str">
        <f>B4</f>
        <v>Jan/2016</v>
      </c>
      <c r="C25" s="1269"/>
      <c r="D25" s="1269"/>
      <c r="E25" s="1268" t="str">
        <f>E4</f>
        <v>Jan/2015</v>
      </c>
      <c r="F25" s="1269"/>
      <c r="G25" s="1269"/>
      <c r="H25" s="1270" t="s">
        <v>106</v>
      </c>
      <c r="I25" s="1270"/>
      <c r="J25" s="1271"/>
    </row>
    <row r="26" spans="1:10">
      <c r="A26" s="1267"/>
      <c r="B26" s="266" t="s">
        <v>107</v>
      </c>
      <c r="C26" s="256" t="s">
        <v>149</v>
      </c>
      <c r="D26" s="258" t="s">
        <v>109</v>
      </c>
      <c r="E26" s="256" t="s">
        <v>107</v>
      </c>
      <c r="F26" s="256" t="s">
        <v>149</v>
      </c>
      <c r="G26" s="254" t="s">
        <v>109</v>
      </c>
      <c r="H26" s="1270" t="str">
        <f>H5</f>
        <v>(16/15)</v>
      </c>
      <c r="I26" s="1270"/>
      <c r="J26" s="1271"/>
    </row>
    <row r="27" spans="1:10">
      <c r="A27" s="267"/>
      <c r="B27" s="268" t="s">
        <v>150</v>
      </c>
      <c r="C27" s="269" t="s">
        <v>141</v>
      </c>
      <c r="D27" s="270" t="s">
        <v>142</v>
      </c>
      <c r="E27" s="268" t="s">
        <v>150</v>
      </c>
      <c r="F27" s="269" t="s">
        <v>141</v>
      </c>
      <c r="G27" s="271" t="s">
        <v>142</v>
      </c>
      <c r="H27" s="269" t="s">
        <v>107</v>
      </c>
      <c r="I27" s="269" t="s">
        <v>108</v>
      </c>
      <c r="J27" s="272" t="s">
        <v>109</v>
      </c>
    </row>
    <row r="28" spans="1:10">
      <c r="A28" s="609" t="s">
        <v>343</v>
      </c>
      <c r="B28" s="563">
        <v>193116.913</v>
      </c>
      <c r="C28" s="563">
        <v>80132.243000000002</v>
      </c>
      <c r="D28" s="991">
        <f t="shared" ref="D28:D45" si="1">(B28*1000)/C28</f>
        <v>2409.9776291049284</v>
      </c>
      <c r="E28" s="563">
        <v>329428.84999999998</v>
      </c>
      <c r="F28" s="563">
        <v>98362.051000000007</v>
      </c>
      <c r="G28" s="991">
        <f t="shared" ref="G28:G45" si="2">(E28*1000)/F28</f>
        <v>3349.1458001419669</v>
      </c>
      <c r="H28" s="992">
        <f t="shared" ref="H28:H45" si="3">SUM(B28-E28)*100/E28</f>
        <v>-41.378263318467702</v>
      </c>
      <c r="I28" s="992">
        <f t="shared" ref="I28:I45" si="4">SUM(C28-F28)*100/F28</f>
        <v>-18.533375234316743</v>
      </c>
      <c r="J28" s="993">
        <f t="shared" ref="J28:J45" si="5">SUM(D28-G28)*100/G28</f>
        <v>-28.042021072872615</v>
      </c>
    </row>
    <row r="29" spans="1:10">
      <c r="A29" s="19" t="s">
        <v>284</v>
      </c>
      <c r="B29" s="20">
        <v>71829.562999999995</v>
      </c>
      <c r="C29" s="20">
        <v>30069.736000000001</v>
      </c>
      <c r="D29" s="27">
        <f t="shared" si="1"/>
        <v>2388.7660004730337</v>
      </c>
      <c r="E29" s="20">
        <v>95477.063999999998</v>
      </c>
      <c r="F29" s="20">
        <v>28534.642</v>
      </c>
      <c r="G29" s="27">
        <f t="shared" si="2"/>
        <v>3346.0053222325341</v>
      </c>
      <c r="H29" s="22">
        <f t="shared" si="3"/>
        <v>-24.767729556493283</v>
      </c>
      <c r="I29" s="22">
        <f t="shared" si="4"/>
        <v>5.3797555967234523</v>
      </c>
      <c r="J29" s="23">
        <f t="shared" si="5"/>
        <v>-28.608421971092611</v>
      </c>
    </row>
    <row r="30" spans="1:10">
      <c r="A30" s="19" t="s">
        <v>285</v>
      </c>
      <c r="B30" s="20">
        <v>32511.206999999999</v>
      </c>
      <c r="C30" s="20">
        <v>10670.837</v>
      </c>
      <c r="D30" s="27">
        <f t="shared" si="1"/>
        <v>3046.7344782794453</v>
      </c>
      <c r="E30" s="20">
        <v>46023.065999999999</v>
      </c>
      <c r="F30" s="20">
        <v>11251.966</v>
      </c>
      <c r="G30" s="27">
        <f t="shared" si="2"/>
        <v>4090.2244105607856</v>
      </c>
      <c r="H30" s="22">
        <f t="shared" si="3"/>
        <v>-29.358884955643767</v>
      </c>
      <c r="I30" s="22">
        <f t="shared" si="4"/>
        <v>-5.1646885530937512</v>
      </c>
      <c r="J30" s="23">
        <f t="shared" si="5"/>
        <v>-25.511801493998561</v>
      </c>
    </row>
    <row r="31" spans="1:10">
      <c r="A31" s="19" t="s">
        <v>287</v>
      </c>
      <c r="B31" s="20">
        <v>8663.0499999999993</v>
      </c>
      <c r="C31" s="20">
        <v>3774.94</v>
      </c>
      <c r="D31" s="27">
        <f>(B31*1000)/C31</f>
        <v>2294.8841570991858</v>
      </c>
      <c r="E31" s="20">
        <v>7136.6769999999997</v>
      </c>
      <c r="F31" s="20">
        <v>2778.6750000000002</v>
      </c>
      <c r="G31" s="27">
        <f>(E31*1000)/F31</f>
        <v>2568.3741351543449</v>
      </c>
      <c r="H31" s="22">
        <f>SUM(B31-E31)*100/E31</f>
        <v>21.38772708923214</v>
      </c>
      <c r="I31" s="22">
        <f>SUM(C31-F31)*100/F31</f>
        <v>35.853959171187697</v>
      </c>
      <c r="J31" s="23">
        <f>SUM(D31-G31)*100/G31</f>
        <v>-10.648369889409585</v>
      </c>
    </row>
    <row r="32" spans="1:10">
      <c r="A32" s="19" t="s">
        <v>286</v>
      </c>
      <c r="B32" s="20">
        <v>7577.6390000000001</v>
      </c>
      <c r="C32" s="20">
        <v>2995.39</v>
      </c>
      <c r="D32" s="27">
        <f t="shared" si="1"/>
        <v>2529.7670754058736</v>
      </c>
      <c r="E32" s="20">
        <v>11289.290999999999</v>
      </c>
      <c r="F32" s="20">
        <v>3076.855</v>
      </c>
      <c r="G32" s="27">
        <f t="shared" si="2"/>
        <v>3669.1007538541789</v>
      </c>
      <c r="H32" s="22">
        <f t="shared" si="3"/>
        <v>-32.877635982631674</v>
      </c>
      <c r="I32" s="22">
        <f t="shared" si="4"/>
        <v>-2.6476710797226435</v>
      </c>
      <c r="J32" s="23">
        <f t="shared" si="5"/>
        <v>-31.052122982763581</v>
      </c>
    </row>
    <row r="33" spans="1:10">
      <c r="A33" s="19" t="s">
        <v>344</v>
      </c>
      <c r="B33" s="20">
        <v>5253.6890000000003</v>
      </c>
      <c r="C33" s="20">
        <v>2131.3200000000002</v>
      </c>
      <c r="D33" s="27">
        <f>(B33*1000)/C33</f>
        <v>2464.9930559465492</v>
      </c>
      <c r="E33" s="994">
        <v>5279.049</v>
      </c>
      <c r="F33" s="20">
        <v>1563.37</v>
      </c>
      <c r="G33" s="27">
        <f>(F35*1000)/F33</f>
        <v>1776.8666406544837</v>
      </c>
      <c r="H33" s="22">
        <f t="shared" ref="H33:J36" si="6">SUM(B33-E33)*100/E33</f>
        <v>-0.48038955501264852</v>
      </c>
      <c r="I33" s="22">
        <f t="shared" si="6"/>
        <v>36.32857225097068</v>
      </c>
      <c r="J33" s="23">
        <f t="shared" si="6"/>
        <v>38.726958993309921</v>
      </c>
    </row>
    <row r="34" spans="1:10">
      <c r="A34" s="609" t="s">
        <v>448</v>
      </c>
      <c r="B34" s="20">
        <v>4889.5249999999996</v>
      </c>
      <c r="C34" s="20">
        <v>1517.39</v>
      </c>
      <c r="D34" s="27">
        <f>(B34*1000)/C34</f>
        <v>3222.3258358101739</v>
      </c>
      <c r="E34" s="20">
        <v>3166.84</v>
      </c>
      <c r="F34" s="20">
        <v>779.85</v>
      </c>
      <c r="G34" s="27">
        <f>(E34*1000)/F34</f>
        <v>4060.83221132269</v>
      </c>
      <c r="H34" s="22">
        <f t="shared" si="6"/>
        <v>54.397601394449964</v>
      </c>
      <c r="I34" s="22">
        <f t="shared" si="6"/>
        <v>94.574597679040863</v>
      </c>
      <c r="J34" s="23">
        <f t="shared" si="6"/>
        <v>-20.648633872991237</v>
      </c>
    </row>
    <row r="35" spans="1:10">
      <c r="A35" s="19" t="s">
        <v>345</v>
      </c>
      <c r="B35" s="20">
        <v>4849.0940000000001</v>
      </c>
      <c r="C35" s="20">
        <v>2066.665</v>
      </c>
      <c r="D35" s="27">
        <f>(B35*1000)/C35</f>
        <v>2346.3376986594344</v>
      </c>
      <c r="E35" s="20">
        <v>8802.1540000000005</v>
      </c>
      <c r="F35" s="20">
        <v>2777.9</v>
      </c>
      <c r="G35" s="27">
        <f>(E35*1000)/F35</f>
        <v>3168.6360200151194</v>
      </c>
      <c r="H35" s="22">
        <f t="shared" si="6"/>
        <v>-44.910143585308781</v>
      </c>
      <c r="I35" s="22">
        <f t="shared" si="6"/>
        <v>-25.603333453328059</v>
      </c>
      <c r="J35" s="23">
        <f t="shared" si="6"/>
        <v>-25.951176347220887</v>
      </c>
    </row>
    <row r="36" spans="1:10">
      <c r="A36" s="19" t="s">
        <v>290</v>
      </c>
      <c r="B36" s="20">
        <v>4482.9059999999999</v>
      </c>
      <c r="C36" s="20">
        <v>2123.1799999999998</v>
      </c>
      <c r="D36" s="27">
        <f>(B36*1000)/C36</f>
        <v>2111.4111851091288</v>
      </c>
      <c r="E36" s="20">
        <v>4102.018</v>
      </c>
      <c r="F36" s="20">
        <v>1407.34</v>
      </c>
      <c r="G36" s="27">
        <f>(E36*1000)/F36</f>
        <v>2914.7313371324626</v>
      </c>
      <c r="H36" s="22">
        <f t="shared" si="6"/>
        <v>9.285381000278397</v>
      </c>
      <c r="I36" s="22">
        <f t="shared" si="6"/>
        <v>50.864751943382544</v>
      </c>
      <c r="J36" s="23">
        <f t="shared" si="6"/>
        <v>-27.560692877225762</v>
      </c>
    </row>
    <row r="37" spans="1:10">
      <c r="A37" s="19" t="s">
        <v>297</v>
      </c>
      <c r="B37" s="20">
        <v>3665.5929999999998</v>
      </c>
      <c r="C37" s="20">
        <v>1859.114</v>
      </c>
      <c r="D37" s="27">
        <f t="shared" si="1"/>
        <v>1971.6881267098197</v>
      </c>
      <c r="E37" s="27">
        <v>3001.5250000000001</v>
      </c>
      <c r="F37" s="20">
        <v>1238.4000000000001</v>
      </c>
      <c r="G37" s="27">
        <f t="shared" si="2"/>
        <v>2423.7120478036172</v>
      </c>
      <c r="H37" s="22">
        <f t="shared" si="3"/>
        <v>22.124353453661048</v>
      </c>
      <c r="I37" s="22">
        <f t="shared" si="4"/>
        <v>50.122254521963818</v>
      </c>
      <c r="J37" s="23">
        <f t="shared" si="5"/>
        <v>-18.650067012020855</v>
      </c>
    </row>
    <row r="38" spans="1:10">
      <c r="A38" s="609" t="s">
        <v>545</v>
      </c>
      <c r="B38" s="20">
        <v>3377.4769999999999</v>
      </c>
      <c r="C38" s="20">
        <v>1160.5999999999999</v>
      </c>
      <c r="D38" s="27">
        <f>(B38*1000)/C38</f>
        <v>2910.1128726520769</v>
      </c>
      <c r="E38" s="20">
        <v>1652.932</v>
      </c>
      <c r="F38" s="20">
        <v>383.5</v>
      </c>
      <c r="G38" s="27">
        <f>(F33*1000)/F38</f>
        <v>4076.5840938722295</v>
      </c>
      <c r="H38" s="22">
        <f t="shared" ref="H38:J40" si="7">SUM(B38-E38)*100/E38</f>
        <v>104.33248312695257</v>
      </c>
      <c r="I38" s="22">
        <f t="shared" si="7"/>
        <v>202.63363754889176</v>
      </c>
      <c r="J38" s="23">
        <f t="shared" si="7"/>
        <v>-28.61393741327571</v>
      </c>
    </row>
    <row r="39" spans="1:10">
      <c r="A39" s="609" t="s">
        <v>546</v>
      </c>
      <c r="B39" s="20">
        <v>3364.752</v>
      </c>
      <c r="C39" s="20">
        <v>1855.2</v>
      </c>
      <c r="D39" s="27">
        <f>(B39*1000)/C39</f>
        <v>1813.6869340232859</v>
      </c>
      <c r="E39" s="20">
        <v>2992.6579999999999</v>
      </c>
      <c r="F39" s="20">
        <v>1293.5999999999999</v>
      </c>
      <c r="G39" s="27">
        <f>(E39*1000)/F39</f>
        <v>2313.4338280766856</v>
      </c>
      <c r="H39" s="22">
        <f t="shared" si="7"/>
        <v>12.433562405059318</v>
      </c>
      <c r="I39" s="22">
        <f t="shared" si="7"/>
        <v>43.413729128014857</v>
      </c>
      <c r="J39" s="23">
        <f t="shared" si="7"/>
        <v>-21.601953251840932</v>
      </c>
    </row>
    <row r="40" spans="1:10">
      <c r="A40" s="995" t="s">
        <v>346</v>
      </c>
      <c r="B40" s="20">
        <v>3364.752</v>
      </c>
      <c r="C40" s="20">
        <v>1855.2</v>
      </c>
      <c r="D40" s="27">
        <f>(B40*1000)/C40</f>
        <v>1813.6869340232859</v>
      </c>
      <c r="E40" s="20">
        <v>2992.6579999999999</v>
      </c>
      <c r="F40" s="20">
        <v>1293.5999999999999</v>
      </c>
      <c r="G40" s="27">
        <f>(E40*1000)/F40</f>
        <v>2313.4338280766856</v>
      </c>
      <c r="H40" s="22">
        <f t="shared" si="7"/>
        <v>12.433562405059318</v>
      </c>
      <c r="I40" s="22">
        <f t="shared" si="7"/>
        <v>43.413729128014857</v>
      </c>
      <c r="J40" s="23">
        <f t="shared" si="7"/>
        <v>-21.601953251840932</v>
      </c>
    </row>
    <row r="41" spans="1:10">
      <c r="A41" s="609" t="s">
        <v>547</v>
      </c>
      <c r="B41" s="20">
        <v>3072.518</v>
      </c>
      <c r="C41" s="994">
        <v>1155.5</v>
      </c>
      <c r="D41" s="27">
        <f t="shared" si="1"/>
        <v>2659.0376460406751</v>
      </c>
      <c r="E41" s="994">
        <v>1049.595</v>
      </c>
      <c r="F41" s="994">
        <v>307.05</v>
      </c>
      <c r="G41" s="27">
        <f t="shared" si="2"/>
        <v>3418.3194919394236</v>
      </c>
      <c r="H41" s="22">
        <f t="shared" si="3"/>
        <v>192.73367346452679</v>
      </c>
      <c r="I41" s="22">
        <f t="shared" si="4"/>
        <v>276.32307441784724</v>
      </c>
      <c r="J41" s="23">
        <f t="shared" si="5"/>
        <v>-22.212138089759453</v>
      </c>
    </row>
    <row r="42" spans="1:10">
      <c r="A42" s="609" t="s">
        <v>548</v>
      </c>
      <c r="B42" s="20">
        <v>2669.3620000000001</v>
      </c>
      <c r="C42" s="20">
        <v>1267.2</v>
      </c>
      <c r="D42" s="27">
        <f t="shared" si="1"/>
        <v>2106.5041035353534</v>
      </c>
      <c r="E42" s="20">
        <v>3962.085</v>
      </c>
      <c r="F42" s="20">
        <v>1558.2</v>
      </c>
      <c r="G42" s="27">
        <f t="shared" si="2"/>
        <v>2542.7319984597611</v>
      </c>
      <c r="H42" s="22">
        <f t="shared" si="3"/>
        <v>-32.627341412412903</v>
      </c>
      <c r="I42" s="22">
        <f t="shared" si="4"/>
        <v>-18.675394686176357</v>
      </c>
      <c r="J42" s="23">
        <f t="shared" si="5"/>
        <v>-17.155873886380839</v>
      </c>
    </row>
    <row r="43" spans="1:10">
      <c r="A43" s="273" t="s">
        <v>128</v>
      </c>
      <c r="B43" s="274">
        <f>SUM(B28:B42)</f>
        <v>352688.04000000004</v>
      </c>
      <c r="C43" s="274">
        <f>SUM(C28:C42)</f>
        <v>144634.51500000007</v>
      </c>
      <c r="D43" s="275">
        <f t="shared" si="1"/>
        <v>2438.4777036103719</v>
      </c>
      <c r="E43" s="274">
        <f>SUM(E28:E42)</f>
        <v>526356.46199999994</v>
      </c>
      <c r="F43" s="274">
        <f>SUM(F28:F42)</f>
        <v>156606.99899999998</v>
      </c>
      <c r="G43" s="275">
        <f t="shared" si="2"/>
        <v>3361.0021605739344</v>
      </c>
      <c r="H43" s="276">
        <f t="shared" si="3"/>
        <v>-32.994450441457666</v>
      </c>
      <c r="I43" s="276">
        <f t="shared" si="4"/>
        <v>-7.6449226895663278</v>
      </c>
      <c r="J43" s="277">
        <f t="shared" si="5"/>
        <v>-27.447898361541949</v>
      </c>
    </row>
    <row r="44" spans="1:10">
      <c r="A44" s="28" t="s">
        <v>151</v>
      </c>
      <c r="B44" s="29">
        <f>B45-B43</f>
        <v>10710.889999999956</v>
      </c>
      <c r="C44" s="29">
        <f>C45-C43</f>
        <v>4472.2739999999176</v>
      </c>
      <c r="D44" s="27">
        <f t="shared" si="1"/>
        <v>2394.9538869935413</v>
      </c>
      <c r="E44" s="29">
        <f>E45-E43</f>
        <v>19931.538000000059</v>
      </c>
      <c r="F44" s="29">
        <f>F45-F43</f>
        <v>6878.2510000000184</v>
      </c>
      <c r="G44" s="27">
        <f t="shared" si="2"/>
        <v>2897.7625271308079</v>
      </c>
      <c r="H44" s="22">
        <f t="shared" si="3"/>
        <v>-46.26159807637562</v>
      </c>
      <c r="I44" s="22">
        <f t="shared" si="4"/>
        <v>-34.97948824490549</v>
      </c>
      <c r="J44" s="23">
        <f t="shared" si="5"/>
        <v>-17.351616477528193</v>
      </c>
    </row>
    <row r="45" spans="1:10">
      <c r="A45" s="278" t="s">
        <v>152</v>
      </c>
      <c r="B45" s="279">
        <f>B7</f>
        <v>363398.93</v>
      </c>
      <c r="C45" s="253">
        <f>C7</f>
        <v>149106.78899999999</v>
      </c>
      <c r="D45" s="280">
        <f t="shared" si="1"/>
        <v>2437.1722604797023</v>
      </c>
      <c r="E45" s="253">
        <f>E7</f>
        <v>546288</v>
      </c>
      <c r="F45" s="253">
        <f>F7</f>
        <v>163485.25</v>
      </c>
      <c r="G45" s="280">
        <f t="shared" si="2"/>
        <v>3341.5124606042441</v>
      </c>
      <c r="H45" s="262">
        <f t="shared" si="3"/>
        <v>-33.478507673608057</v>
      </c>
      <c r="I45" s="262">
        <f t="shared" si="4"/>
        <v>-8.7949591782744996</v>
      </c>
      <c r="J45" s="281">
        <f t="shared" si="5"/>
        <v>-27.063798527957914</v>
      </c>
    </row>
    <row r="46" spans="1:10">
      <c r="A46" s="263" t="s">
        <v>117</v>
      </c>
      <c r="B46" s="6"/>
      <c r="C46" s="6"/>
      <c r="D46" s="6"/>
      <c r="E46" s="6"/>
      <c r="F46" s="6"/>
      <c r="G46" s="25"/>
      <c r="H46" s="6"/>
      <c r="I46" s="6"/>
      <c r="J46" s="6"/>
    </row>
    <row r="47" spans="1:10">
      <c r="A47" s="1263" t="s">
        <v>153</v>
      </c>
      <c r="B47" s="1263"/>
      <c r="C47" s="1263"/>
      <c r="D47" s="1263"/>
      <c r="E47" s="1263"/>
      <c r="F47" s="1263"/>
      <c r="G47" s="1263"/>
      <c r="H47" s="1263"/>
      <c r="I47" s="1263"/>
      <c r="J47" s="1263"/>
    </row>
    <row r="48" spans="1:10">
      <c r="A48" s="1263" t="s">
        <v>342</v>
      </c>
      <c r="B48" s="1263"/>
      <c r="C48" s="1263"/>
      <c r="D48" s="1263"/>
      <c r="E48" s="1263"/>
      <c r="F48" s="1263"/>
      <c r="G48" s="1263"/>
      <c r="H48" s="1263"/>
      <c r="I48" s="1263"/>
      <c r="J48" s="1263"/>
    </row>
    <row r="49" spans="1:14">
      <c r="A49" s="264"/>
      <c r="B49" s="264"/>
      <c r="C49" s="264"/>
      <c r="D49" s="264"/>
      <c r="E49" s="264"/>
      <c r="F49" s="264"/>
      <c r="G49" s="265"/>
      <c r="H49" s="264"/>
      <c r="I49" s="264"/>
      <c r="J49" s="264"/>
    </row>
    <row r="50" spans="1:14">
      <c r="A50" s="1275" t="s">
        <v>154</v>
      </c>
      <c r="B50" s="1276"/>
      <c r="C50" s="1276"/>
      <c r="D50" s="264"/>
      <c r="E50" s="264"/>
      <c r="F50" s="264"/>
      <c r="G50" s="265"/>
      <c r="H50" s="264"/>
      <c r="I50" s="264"/>
      <c r="J50" s="264"/>
    </row>
    <row r="51" spans="1:14">
      <c r="A51" s="6"/>
      <c r="B51" s="6"/>
      <c r="C51" s="6"/>
      <c r="D51" s="6"/>
      <c r="E51" s="6"/>
      <c r="F51" s="6"/>
      <c r="G51" s="25"/>
      <c r="H51" s="6"/>
      <c r="I51" s="6"/>
      <c r="J51" s="6"/>
    </row>
    <row r="52" spans="1:14">
      <c r="A52" s="1266" t="s">
        <v>148</v>
      </c>
      <c r="B52" s="1268" t="str">
        <f>B4</f>
        <v>Jan/2016</v>
      </c>
      <c r="C52" s="1269"/>
      <c r="D52" s="1269"/>
      <c r="E52" s="1268" t="str">
        <f>E4</f>
        <v>Jan/2015</v>
      </c>
      <c r="F52" s="1269"/>
      <c r="G52" s="1269"/>
      <c r="H52" s="1270" t="s">
        <v>106</v>
      </c>
      <c r="I52" s="1270"/>
      <c r="J52" s="1271"/>
    </row>
    <row r="53" spans="1:14">
      <c r="A53" s="1267"/>
      <c r="B53" s="266" t="s">
        <v>107</v>
      </c>
      <c r="C53" s="256" t="s">
        <v>149</v>
      </c>
      <c r="D53" s="258" t="s">
        <v>109</v>
      </c>
      <c r="E53" s="256" t="s">
        <v>107</v>
      </c>
      <c r="F53" s="256" t="s">
        <v>149</v>
      </c>
      <c r="G53" s="254" t="s">
        <v>109</v>
      </c>
      <c r="H53" s="1270" t="str">
        <f>H5</f>
        <v>(16/15)</v>
      </c>
      <c r="I53" s="1270"/>
      <c r="J53" s="1271"/>
    </row>
    <row r="54" spans="1:14">
      <c r="A54" s="267"/>
      <c r="B54" s="266" t="s">
        <v>150</v>
      </c>
      <c r="C54" s="256" t="s">
        <v>141</v>
      </c>
      <c r="D54" s="258" t="s">
        <v>142</v>
      </c>
      <c r="E54" s="256" t="s">
        <v>150</v>
      </c>
      <c r="F54" s="256" t="s">
        <v>141</v>
      </c>
      <c r="G54" s="254" t="s">
        <v>142</v>
      </c>
      <c r="H54" s="256" t="s">
        <v>107</v>
      </c>
      <c r="I54" s="256" t="s">
        <v>108</v>
      </c>
      <c r="J54" s="259" t="s">
        <v>109</v>
      </c>
    </row>
    <row r="55" spans="1:14">
      <c r="A55" s="609" t="s">
        <v>343</v>
      </c>
      <c r="B55" s="563">
        <v>7352.4849999999997</v>
      </c>
      <c r="C55" s="563">
        <v>1080.8810000000001</v>
      </c>
      <c r="D55" s="991">
        <f t="shared" ref="D55:D72" si="8">(B55*1000)/C55</f>
        <v>6802.3075620720501</v>
      </c>
      <c r="E55" s="563">
        <v>6684.9560000000001</v>
      </c>
      <c r="F55" s="563">
        <v>864.56799999999998</v>
      </c>
      <c r="G55" s="991">
        <f t="shared" ref="G55:G72" si="9">(E55*1000)/F55</f>
        <v>7732.1344301431463</v>
      </c>
      <c r="H55" s="992">
        <f t="shared" ref="H55:H72" si="10">SUM(B55-E55)*100/E55</f>
        <v>9.9855406677321366</v>
      </c>
      <c r="I55" s="992">
        <f t="shared" ref="I55:I72" si="11">SUM(C55-F55)*100/F55</f>
        <v>25.01977866402644</v>
      </c>
      <c r="J55" s="993">
        <f t="shared" ref="J55:J72" si="12">SUM(D55-G55)*100/G55</f>
        <v>-12.025487612401511</v>
      </c>
    </row>
    <row r="56" spans="1:14">
      <c r="A56" s="19" t="s">
        <v>345</v>
      </c>
      <c r="B56" s="20">
        <v>6575.9459999999999</v>
      </c>
      <c r="C56" s="20">
        <v>989.74599999999998</v>
      </c>
      <c r="D56" s="27">
        <f>(B56*1000)/C56</f>
        <v>6644.0743382645651</v>
      </c>
      <c r="E56" s="20">
        <v>4695.473</v>
      </c>
      <c r="F56" s="20">
        <v>655.58500000000004</v>
      </c>
      <c r="G56" s="27">
        <f>(E56*1000)/F56</f>
        <v>7162.2642372842574</v>
      </c>
      <c r="H56" s="22">
        <f>SUM(B56-E56)*100/E56</f>
        <v>40.048638337394337</v>
      </c>
      <c r="I56" s="22">
        <f>SUM(C56-F56)*100/F56</f>
        <v>50.971422470007688</v>
      </c>
      <c r="J56" s="23">
        <f>SUM(D56-G56)*100/G56</f>
        <v>-7.2350011372405945</v>
      </c>
    </row>
    <row r="57" spans="1:14">
      <c r="A57" s="609" t="s">
        <v>284</v>
      </c>
      <c r="B57" s="563">
        <v>5093.5330000000004</v>
      </c>
      <c r="C57" s="563">
        <v>882.57</v>
      </c>
      <c r="D57" s="991">
        <f t="shared" si="8"/>
        <v>5771.2510055859584</v>
      </c>
      <c r="E57" s="563">
        <v>6629.3609999999999</v>
      </c>
      <c r="F57" s="563">
        <v>962.18700000000001</v>
      </c>
      <c r="G57" s="991">
        <f t="shared" si="9"/>
        <v>6889.8883481069688</v>
      </c>
      <c r="H57" s="992">
        <f t="shared" si="10"/>
        <v>-23.167059389283516</v>
      </c>
      <c r="I57" s="992">
        <f t="shared" si="11"/>
        <v>-8.2745869565895163</v>
      </c>
      <c r="J57" s="993">
        <f t="shared" si="12"/>
        <v>-16.235928450543927</v>
      </c>
      <c r="N57" s="996" t="s">
        <v>311</v>
      </c>
    </row>
    <row r="58" spans="1:14">
      <c r="A58" s="19" t="s">
        <v>285</v>
      </c>
      <c r="B58" s="20">
        <v>3684.1590000000001</v>
      </c>
      <c r="C58" s="20">
        <v>529.85699999999997</v>
      </c>
      <c r="D58" s="27">
        <f t="shared" si="8"/>
        <v>6953.1194265622617</v>
      </c>
      <c r="E58" s="20">
        <v>1785.5830000000001</v>
      </c>
      <c r="F58" s="20">
        <v>243.45</v>
      </c>
      <c r="G58" s="27">
        <f t="shared" si="9"/>
        <v>7334.495789689875</v>
      </c>
      <c r="H58" s="22">
        <f t="shared" si="10"/>
        <v>106.3280732399446</v>
      </c>
      <c r="I58" s="22">
        <f t="shared" si="11"/>
        <v>117.64510166358595</v>
      </c>
      <c r="J58" s="23">
        <f t="shared" si="12"/>
        <v>-5.1997625203318725</v>
      </c>
    </row>
    <row r="59" spans="1:14">
      <c r="A59" s="19" t="s">
        <v>290</v>
      </c>
      <c r="B59" s="20">
        <v>2079.1909999999998</v>
      </c>
      <c r="C59" s="20">
        <v>365.26299999999998</v>
      </c>
      <c r="D59" s="27">
        <f>(B59*1000)/C59</f>
        <v>5692.3121148323262</v>
      </c>
      <c r="E59" s="20">
        <v>2192.1579999999999</v>
      </c>
      <c r="F59" s="20">
        <v>334.54300000000001</v>
      </c>
      <c r="G59" s="27">
        <f>(E59*1000)/F59</f>
        <v>6552.6942724851515</v>
      </c>
      <c r="H59" s="22">
        <f t="shared" ref="H59:J63" si="13">SUM(B59-E59)*100/E59</f>
        <v>-5.1532325680904432</v>
      </c>
      <c r="I59" s="22">
        <f t="shared" si="13"/>
        <v>9.1826760685472344</v>
      </c>
      <c r="J59" s="23">
        <f t="shared" si="13"/>
        <v>-13.130204491083632</v>
      </c>
    </row>
    <row r="60" spans="1:14">
      <c r="A60" s="19" t="s">
        <v>291</v>
      </c>
      <c r="B60" s="20">
        <v>1548.5170000000001</v>
      </c>
      <c r="C60" s="20">
        <v>264.14999999999998</v>
      </c>
      <c r="D60" s="27">
        <f>(B60*1000)/C60</f>
        <v>5862.2638652280903</v>
      </c>
      <c r="E60" s="27">
        <v>1323.932</v>
      </c>
      <c r="F60" s="20">
        <v>207</v>
      </c>
      <c r="G60" s="27">
        <f>(E60*1000)/F60</f>
        <v>6395.8067632850243</v>
      </c>
      <c r="H60" s="22">
        <f t="shared" si="13"/>
        <v>16.96348452941692</v>
      </c>
      <c r="I60" s="22">
        <f t="shared" si="13"/>
        <v>27.608695652173903</v>
      </c>
      <c r="J60" s="23">
        <f t="shared" si="13"/>
        <v>-8.3420734522456854</v>
      </c>
    </row>
    <row r="61" spans="1:14">
      <c r="A61" s="19" t="s">
        <v>288</v>
      </c>
      <c r="B61" s="20">
        <v>947.31500000000005</v>
      </c>
      <c r="C61" s="20">
        <v>123.92</v>
      </c>
      <c r="D61" s="27">
        <f>(B61*1000)/C61</f>
        <v>7644.5690768237573</v>
      </c>
      <c r="E61" s="20">
        <v>1596.451</v>
      </c>
      <c r="F61" s="20">
        <v>180.75800000000001</v>
      </c>
      <c r="G61" s="27">
        <f>(E61*1000)/F61</f>
        <v>8831.9797740625581</v>
      </c>
      <c r="H61" s="22">
        <f t="shared" si="13"/>
        <v>-40.661191605630236</v>
      </c>
      <c r="I61" s="22">
        <f t="shared" si="13"/>
        <v>-31.444251430088851</v>
      </c>
      <c r="J61" s="23">
        <f t="shared" si="13"/>
        <v>-13.44444538614033</v>
      </c>
    </row>
    <row r="62" spans="1:14">
      <c r="A62" s="609" t="s">
        <v>549</v>
      </c>
      <c r="B62" s="20">
        <v>876.98</v>
      </c>
      <c r="C62" s="20">
        <v>106.965</v>
      </c>
      <c r="D62" s="27">
        <f>(B62*1000)/C62</f>
        <v>8198.756602627027</v>
      </c>
      <c r="E62" s="20">
        <v>458.42700000000002</v>
      </c>
      <c r="F62" s="20">
        <v>49.844999999999999</v>
      </c>
      <c r="G62" s="27">
        <f>(E62*1000)/F62</f>
        <v>9197.0508576587417</v>
      </c>
      <c r="H62" s="22">
        <f t="shared" si="13"/>
        <v>91.301995737598361</v>
      </c>
      <c r="I62" s="22">
        <f t="shared" si="13"/>
        <v>114.59524526030695</v>
      </c>
      <c r="J62" s="23">
        <f t="shared" si="13"/>
        <v>-10.854504019627079</v>
      </c>
    </row>
    <row r="63" spans="1:14">
      <c r="A63" s="19" t="s">
        <v>286</v>
      </c>
      <c r="B63" s="20">
        <v>648.05200000000002</v>
      </c>
      <c r="C63" s="20">
        <v>99.697000000000003</v>
      </c>
      <c r="D63" s="27">
        <f>(B63*1000)/C63</f>
        <v>6500.215653429892</v>
      </c>
      <c r="E63" s="20">
        <v>1238.4380000000001</v>
      </c>
      <c r="F63" s="20">
        <v>141.291</v>
      </c>
      <c r="G63" s="27">
        <f>(E63*1000)/F63</f>
        <v>8765.1584318887963</v>
      </c>
      <c r="H63" s="22">
        <f t="shared" si="13"/>
        <v>-47.671825315437673</v>
      </c>
      <c r="I63" s="22">
        <f t="shared" si="13"/>
        <v>-29.43853465542745</v>
      </c>
      <c r="J63" s="23">
        <f t="shared" si="13"/>
        <v>-25.84029479967807</v>
      </c>
    </row>
    <row r="64" spans="1:14">
      <c r="A64" s="19" t="s">
        <v>289</v>
      </c>
      <c r="B64" s="20">
        <v>644.18200000000002</v>
      </c>
      <c r="C64" s="20">
        <v>106.68</v>
      </c>
      <c r="D64" s="27">
        <f t="shared" si="8"/>
        <v>6038.4514435695537</v>
      </c>
      <c r="E64" s="20">
        <v>2261.308</v>
      </c>
      <c r="F64" s="20">
        <v>350.52</v>
      </c>
      <c r="G64" s="27">
        <f t="shared" si="9"/>
        <v>6451.2952185324666</v>
      </c>
      <c r="H64" s="22">
        <f t="shared" si="10"/>
        <v>-71.512858929433762</v>
      </c>
      <c r="I64" s="22">
        <f t="shared" si="11"/>
        <v>-69.565217391304344</v>
      </c>
      <c r="J64" s="23">
        <f t="shared" si="12"/>
        <v>-6.399393625282368</v>
      </c>
    </row>
    <row r="65" spans="1:10">
      <c r="A65" s="19" t="s">
        <v>347</v>
      </c>
      <c r="B65" s="20">
        <v>607.56299999999999</v>
      </c>
      <c r="C65" s="20">
        <v>115.5</v>
      </c>
      <c r="D65" s="27">
        <f>(B65*1000)/C65</f>
        <v>5260.2857142857147</v>
      </c>
      <c r="E65" s="20">
        <v>693.70899999999995</v>
      </c>
      <c r="F65" s="20">
        <v>113.4</v>
      </c>
      <c r="G65" s="27">
        <f>(E65*1000)/F65</f>
        <v>6117.3633156966489</v>
      </c>
      <c r="H65" s="22">
        <f>SUM(B65-E65)*100/E65</f>
        <v>-12.418175344416746</v>
      </c>
      <c r="I65" s="22">
        <f>SUM(C65-F65)*100/F65</f>
        <v>1.8518518518518468</v>
      </c>
      <c r="J65" s="23">
        <f>SUM(D65-G65)*100/G65</f>
        <v>-14.010572156336439</v>
      </c>
    </row>
    <row r="66" spans="1:10">
      <c r="A66" s="609" t="s">
        <v>550</v>
      </c>
      <c r="B66" s="20">
        <v>593.01700000000005</v>
      </c>
      <c r="C66" s="20">
        <v>90.05</v>
      </c>
      <c r="D66" s="27">
        <f t="shared" ref="D66:D69" si="14">(B66*1000)/C66</f>
        <v>6585.4192115491396</v>
      </c>
      <c r="E66" s="20">
        <v>103.758</v>
      </c>
      <c r="F66" s="20">
        <v>16.8</v>
      </c>
      <c r="G66" s="27">
        <f t="shared" ref="G66:G68" si="15">(E66*1000)/F66</f>
        <v>6176.0714285714284</v>
      </c>
      <c r="H66" s="22">
        <f t="shared" si="10"/>
        <v>471.53858015767469</v>
      </c>
      <c r="I66" s="22">
        <f t="shared" si="11"/>
        <v>436.01190476190476</v>
      </c>
      <c r="J66" s="23">
        <f t="shared" si="12"/>
        <v>6.6279638717260818</v>
      </c>
    </row>
    <row r="67" spans="1:10">
      <c r="A67" s="19" t="s">
        <v>296</v>
      </c>
      <c r="B67" s="20">
        <v>576.13599999999997</v>
      </c>
      <c r="C67" s="20">
        <v>55.945</v>
      </c>
      <c r="D67" s="27">
        <f t="shared" si="14"/>
        <v>10298.257216909464</v>
      </c>
      <c r="E67" s="27">
        <v>421.73700000000002</v>
      </c>
      <c r="F67" s="20">
        <v>37.241</v>
      </c>
      <c r="G67" s="27">
        <f t="shared" si="15"/>
        <v>11324.534786928385</v>
      </c>
      <c r="H67" s="22">
        <f t="shared" si="10"/>
        <v>36.61025710336061</v>
      </c>
      <c r="I67" s="22">
        <f t="shared" si="11"/>
        <v>50.224215246636774</v>
      </c>
      <c r="J67" s="23">
        <f t="shared" si="12"/>
        <v>-9.0624258685092016</v>
      </c>
    </row>
    <row r="68" spans="1:10">
      <c r="A68" s="609" t="s">
        <v>294</v>
      </c>
      <c r="B68" s="20">
        <v>562.97</v>
      </c>
      <c r="C68" s="20">
        <v>70.953999999999994</v>
      </c>
      <c r="D68" s="27">
        <f t="shared" si="14"/>
        <v>7934.295459029795</v>
      </c>
      <c r="E68" s="20">
        <v>225.32300000000001</v>
      </c>
      <c r="F68" s="20">
        <v>18.946000000000002</v>
      </c>
      <c r="G68" s="27">
        <f t="shared" si="15"/>
        <v>11892.906154333368</v>
      </c>
      <c r="H68" s="22">
        <f t="shared" si="10"/>
        <v>149.85021502465352</v>
      </c>
      <c r="I68" s="22">
        <f t="shared" si="11"/>
        <v>274.50649213554306</v>
      </c>
      <c r="J68" s="23">
        <f t="shared" si="12"/>
        <v>-33.285478283717815</v>
      </c>
    </row>
    <row r="69" spans="1:10">
      <c r="A69" s="609" t="s">
        <v>551</v>
      </c>
      <c r="B69" s="20">
        <v>561.35799999999995</v>
      </c>
      <c r="C69" s="20">
        <v>70.233000000000004</v>
      </c>
      <c r="D69" s="27">
        <f t="shared" si="14"/>
        <v>7992.795409565304</v>
      </c>
      <c r="E69" s="20">
        <v>130.28399999999999</v>
      </c>
      <c r="F69" s="20">
        <v>17.053000000000001</v>
      </c>
      <c r="G69" s="27">
        <f t="shared" si="9"/>
        <v>7639.9460505482893</v>
      </c>
      <c r="H69" s="22">
        <f t="shared" si="10"/>
        <v>330.87255534064042</v>
      </c>
      <c r="I69" s="22">
        <f t="shared" si="11"/>
        <v>311.85128716354899</v>
      </c>
      <c r="J69" s="23">
        <f t="shared" si="12"/>
        <v>4.6184797207002797</v>
      </c>
    </row>
    <row r="70" spans="1:10">
      <c r="A70" s="282" t="s">
        <v>128</v>
      </c>
      <c r="B70" s="274">
        <f>SUM(B55:B69)</f>
        <v>32351.403999999995</v>
      </c>
      <c r="C70" s="274">
        <f>SUM(C55:C69)</f>
        <v>4952.4110000000001</v>
      </c>
      <c r="D70" s="275">
        <f t="shared" si="8"/>
        <v>6532.4554040446146</v>
      </c>
      <c r="E70" s="274">
        <f>SUM(E55:E69)</f>
        <v>30440.898000000005</v>
      </c>
      <c r="F70" s="274">
        <f>SUM(F55:F69)</f>
        <v>4193.1869999999999</v>
      </c>
      <c r="G70" s="275">
        <f t="shared" si="9"/>
        <v>7259.6089799954079</v>
      </c>
      <c r="H70" s="276">
        <f t="shared" si="10"/>
        <v>6.2761157703034591</v>
      </c>
      <c r="I70" s="276">
        <f t="shared" si="11"/>
        <v>18.106132638491921</v>
      </c>
      <c r="J70" s="277">
        <f t="shared" si="12"/>
        <v>-10.016428955809316</v>
      </c>
    </row>
    <row r="71" spans="1:10">
      <c r="A71" s="28" t="s">
        <v>151</v>
      </c>
      <c r="B71" s="29">
        <f>B72-B70</f>
        <v>5510.2400000000052</v>
      </c>
      <c r="C71" s="29">
        <f>C72-C70</f>
        <v>825.76000000000022</v>
      </c>
      <c r="D71" s="27">
        <f t="shared" si="8"/>
        <v>6672.9316024026402</v>
      </c>
      <c r="E71" s="29">
        <f>E72-E70</f>
        <v>9390.1019999999953</v>
      </c>
      <c r="F71" s="29">
        <f>F72-F70</f>
        <v>1091.1760000000004</v>
      </c>
      <c r="G71" s="27">
        <f t="shared" si="9"/>
        <v>8605.4880239301365</v>
      </c>
      <c r="H71" s="22">
        <f t="shared" si="10"/>
        <v>-41.318635303428998</v>
      </c>
      <c r="I71" s="22">
        <f t="shared" si="11"/>
        <v>-24.323848765002168</v>
      </c>
      <c r="J71" s="23">
        <f t="shared" si="12"/>
        <v>-22.457255371844621</v>
      </c>
    </row>
    <row r="72" spans="1:10">
      <c r="A72" s="278" t="s">
        <v>152</v>
      </c>
      <c r="B72" s="279">
        <f>B8</f>
        <v>37861.644</v>
      </c>
      <c r="C72" s="253">
        <f>C8</f>
        <v>5778.1710000000003</v>
      </c>
      <c r="D72" s="280">
        <f t="shared" si="8"/>
        <v>6552.5308960222874</v>
      </c>
      <c r="E72" s="253">
        <f>E8</f>
        <v>39831</v>
      </c>
      <c r="F72" s="253">
        <f>F8</f>
        <v>5284.3630000000003</v>
      </c>
      <c r="G72" s="280">
        <f t="shared" si="9"/>
        <v>7537.5215517934703</v>
      </c>
      <c r="H72" s="262">
        <f t="shared" si="10"/>
        <v>-4.944279581230699</v>
      </c>
      <c r="I72" s="262">
        <f t="shared" si="11"/>
        <v>9.3447024740730349</v>
      </c>
      <c r="J72" s="281">
        <f t="shared" si="12"/>
        <v>-13.067832032093033</v>
      </c>
    </row>
    <row r="73" spans="1:10">
      <c r="A73" s="263" t="s">
        <v>117</v>
      </c>
      <c r="B73" s="4"/>
      <c r="C73" s="4"/>
      <c r="D73" s="4"/>
      <c r="E73" s="4"/>
      <c r="F73" s="4"/>
      <c r="G73" s="4"/>
      <c r="H73" s="4"/>
      <c r="I73" s="4"/>
      <c r="J73" s="4"/>
    </row>
    <row r="74" spans="1:10">
      <c r="A74" s="1262" t="s">
        <v>139</v>
      </c>
      <c r="B74" s="1262"/>
      <c r="C74" s="1262"/>
      <c r="D74" s="1262"/>
      <c r="E74" s="1262"/>
      <c r="F74" s="1262"/>
      <c r="G74" s="1262"/>
      <c r="H74" s="1262"/>
      <c r="I74" s="1262"/>
      <c r="J74" s="1262"/>
    </row>
    <row r="75" spans="1:10">
      <c r="A75" s="1263" t="s">
        <v>342</v>
      </c>
      <c r="B75" s="1263"/>
      <c r="C75" s="1263"/>
      <c r="D75" s="1263"/>
      <c r="E75" s="1263"/>
      <c r="F75" s="1263"/>
      <c r="G75" s="1263"/>
      <c r="H75" s="1263"/>
      <c r="I75" s="1263"/>
      <c r="J75" s="1263"/>
    </row>
    <row r="76" spans="1:10">
      <c r="A76" s="283"/>
      <c r="B76" s="283"/>
      <c r="C76" s="283"/>
      <c r="D76" s="283"/>
      <c r="E76" s="283"/>
      <c r="F76" s="283"/>
      <c r="G76" s="283"/>
      <c r="H76" s="283"/>
      <c r="I76" s="283"/>
      <c r="J76" s="283"/>
    </row>
    <row r="77" spans="1:10">
      <c r="A77" s="1264" t="s">
        <v>155</v>
      </c>
      <c r="B77" s="1265"/>
      <c r="C77" s="1265"/>
      <c r="D77" s="30"/>
      <c r="E77" s="30"/>
      <c r="F77" s="30"/>
      <c r="G77" s="30"/>
      <c r="H77" s="30"/>
      <c r="I77" s="30"/>
      <c r="J77" s="30"/>
    </row>
    <row r="78" spans="1:10">
      <c r="A78" s="6"/>
      <c r="B78" s="6"/>
      <c r="C78" s="6"/>
      <c r="D78" s="6"/>
      <c r="E78" s="6"/>
      <c r="F78" s="6"/>
      <c r="G78" s="25"/>
      <c r="H78" s="6"/>
      <c r="I78" s="6"/>
      <c r="J78" s="6"/>
    </row>
    <row r="79" spans="1:10">
      <c r="A79" s="1266" t="s">
        <v>148</v>
      </c>
      <c r="B79" s="1272" t="str">
        <f>B4</f>
        <v>Jan/2016</v>
      </c>
      <c r="C79" s="1273"/>
      <c r="D79" s="1274"/>
      <c r="E79" s="1272" t="str">
        <f>E4</f>
        <v>Jan/2015</v>
      </c>
      <c r="F79" s="1273"/>
      <c r="G79" s="1274"/>
      <c r="H79" s="1270" t="s">
        <v>106</v>
      </c>
      <c r="I79" s="1270"/>
      <c r="J79" s="1271"/>
    </row>
    <row r="80" spans="1:10">
      <c r="A80" s="1267"/>
      <c r="B80" s="266" t="s">
        <v>107</v>
      </c>
      <c r="C80" s="256" t="s">
        <v>149</v>
      </c>
      <c r="D80" s="258" t="s">
        <v>109</v>
      </c>
      <c r="E80" s="256" t="s">
        <v>107</v>
      </c>
      <c r="F80" s="256" t="s">
        <v>149</v>
      </c>
      <c r="G80" s="254" t="s">
        <v>109</v>
      </c>
      <c r="H80" s="1270" t="str">
        <f>H5</f>
        <v>(16/15)</v>
      </c>
      <c r="I80" s="1270"/>
      <c r="J80" s="1271"/>
    </row>
    <row r="81" spans="1:10">
      <c r="A81" s="267"/>
      <c r="B81" s="266" t="s">
        <v>150</v>
      </c>
      <c r="C81" s="256" t="s">
        <v>141</v>
      </c>
      <c r="D81" s="258" t="s">
        <v>142</v>
      </c>
      <c r="E81" s="256" t="s">
        <v>150</v>
      </c>
      <c r="F81" s="256" t="s">
        <v>141</v>
      </c>
      <c r="G81" s="254" t="s">
        <v>142</v>
      </c>
      <c r="H81" s="256" t="s">
        <v>107</v>
      </c>
      <c r="I81" s="256" t="s">
        <v>108</v>
      </c>
      <c r="J81" s="259" t="s">
        <v>109</v>
      </c>
    </row>
    <row r="82" spans="1:10">
      <c r="A82" s="19" t="s">
        <v>284</v>
      </c>
      <c r="B82" s="29">
        <v>520.76499999999999</v>
      </c>
      <c r="C82" s="29">
        <v>94.317999999999998</v>
      </c>
      <c r="D82" s="27">
        <f t="shared" ref="D82:D92" si="16">(B82*1000)/C82</f>
        <v>5521.3744990351788</v>
      </c>
      <c r="E82" s="29">
        <v>7.4649999999999999</v>
      </c>
      <c r="F82" s="29">
        <v>1.5</v>
      </c>
      <c r="G82" s="27">
        <f t="shared" ref="G82:G83" si="17">(E82*1000)/F82</f>
        <v>4976.666666666667</v>
      </c>
      <c r="H82" s="22">
        <f t="shared" ref="H82:H83" si="18">SUM(B82-E82)*100/E82</f>
        <v>6876.0884125920957</v>
      </c>
      <c r="I82" s="22">
        <f t="shared" ref="I82:I83" si="19">SUM(C82-F82)*100/F82</f>
        <v>6187.8666666666659</v>
      </c>
      <c r="J82" s="23">
        <f t="shared" ref="J82:J83" si="20">SUM(D82-G82)*100/G82</f>
        <v>10.945234407940626</v>
      </c>
    </row>
    <row r="83" spans="1:10">
      <c r="A83" s="609" t="s">
        <v>343</v>
      </c>
      <c r="B83" s="997">
        <v>35.726999999999997</v>
      </c>
      <c r="C83" s="997">
        <v>11.26</v>
      </c>
      <c r="D83" s="991">
        <f t="shared" si="16"/>
        <v>3172.9129662522205</v>
      </c>
      <c r="E83" s="997">
        <v>47.82</v>
      </c>
      <c r="F83" s="997">
        <v>11.372999999999999</v>
      </c>
      <c r="G83" s="991">
        <f t="shared" si="17"/>
        <v>4204.6953310472172</v>
      </c>
      <c r="H83" s="992">
        <f t="shared" si="18"/>
        <v>-25.288582183186961</v>
      </c>
      <c r="I83" s="992">
        <f t="shared" si="19"/>
        <v>-0.99358128901784537</v>
      </c>
      <c r="J83" s="993">
        <f t="shared" si="20"/>
        <v>-24.53881395820472</v>
      </c>
    </row>
    <row r="84" spans="1:10">
      <c r="A84" s="19" t="s">
        <v>290</v>
      </c>
      <c r="B84" s="29">
        <v>0</v>
      </c>
      <c r="C84" s="29">
        <v>0</v>
      </c>
      <c r="D84" s="27">
        <v>0</v>
      </c>
      <c r="E84" s="29">
        <v>61.868000000000002</v>
      </c>
      <c r="F84" s="29">
        <v>10.32</v>
      </c>
      <c r="G84" s="27">
        <f>(E84*1000)/F84</f>
        <v>5994.9612403100773</v>
      </c>
      <c r="H84" s="22">
        <f>SUM(B84-E84)*100/E84</f>
        <v>-100</v>
      </c>
      <c r="I84" s="22">
        <f>SUM(C84-F84)*100/F84</f>
        <v>-100</v>
      </c>
      <c r="J84" s="23">
        <f>SUM(D84-G84)*100/G84</f>
        <v>-100</v>
      </c>
    </row>
    <row r="85" spans="1:10">
      <c r="A85" s="19" t="s">
        <v>285</v>
      </c>
      <c r="B85" s="29">
        <v>22.538</v>
      </c>
      <c r="C85" s="29">
        <v>6</v>
      </c>
      <c r="D85" s="27">
        <f t="shared" si="16"/>
        <v>3756.3333333333335</v>
      </c>
      <c r="E85" s="29">
        <v>23.832000000000001</v>
      </c>
      <c r="F85" s="29">
        <v>4.08</v>
      </c>
      <c r="G85" s="27">
        <f t="shared" ref="G85:G88" si="21">(E85*1000)/F85</f>
        <v>5841.1764705882351</v>
      </c>
      <c r="H85" s="22">
        <f t="shared" ref="H85:H88" si="22">SUM(B85-E85)*100/E85</f>
        <v>-5.4296743873783164</v>
      </c>
      <c r="I85" s="22">
        <f t="shared" ref="I85:I88" si="23">SUM(C85-F85)*100/F85</f>
        <v>47.058823529411761</v>
      </c>
      <c r="J85" s="23">
        <f t="shared" ref="J85:J88" si="24">SUM(D85-G85)*100/G85</f>
        <v>-35.692178583417245</v>
      </c>
    </row>
    <row r="86" spans="1:10">
      <c r="A86" s="19" t="s">
        <v>292</v>
      </c>
      <c r="B86" s="29">
        <v>3.6779999999999999</v>
      </c>
      <c r="C86" s="29">
        <v>1.8360000000000001</v>
      </c>
      <c r="D86" s="27">
        <f t="shared" si="16"/>
        <v>2003.267973856209</v>
      </c>
      <c r="E86" s="29">
        <v>35.677</v>
      </c>
      <c r="F86" s="29">
        <v>2.327</v>
      </c>
      <c r="G86" s="27">
        <f t="shared" si="21"/>
        <v>15331.757627847013</v>
      </c>
      <c r="H86" s="22">
        <f t="shared" si="22"/>
        <v>-89.690837234072376</v>
      </c>
      <c r="I86" s="22">
        <f t="shared" si="23"/>
        <v>-21.100128921357967</v>
      </c>
      <c r="J86" s="23">
        <f t="shared" si="24"/>
        <v>-86.933866145798703</v>
      </c>
    </row>
    <row r="87" spans="1:10">
      <c r="A87" s="19" t="s">
        <v>293</v>
      </c>
      <c r="B87" s="29">
        <v>10.492000000000001</v>
      </c>
      <c r="C87" s="29">
        <v>0.254</v>
      </c>
      <c r="D87" s="27">
        <f t="shared" si="16"/>
        <v>41307.086614173226</v>
      </c>
      <c r="E87" s="29">
        <v>35.703000000000003</v>
      </c>
      <c r="F87" s="29">
        <v>6.4</v>
      </c>
      <c r="G87" s="27">
        <f t="shared" si="21"/>
        <v>5578.59375</v>
      </c>
      <c r="H87" s="22">
        <f t="shared" si="22"/>
        <v>-70.613113743943089</v>
      </c>
      <c r="I87" s="22">
        <f t="shared" si="23"/>
        <v>-96.031250000000014</v>
      </c>
      <c r="J87" s="23">
        <f t="shared" si="24"/>
        <v>640.45697653056789</v>
      </c>
    </row>
    <row r="88" spans="1:10">
      <c r="A88" s="19" t="s">
        <v>294</v>
      </c>
      <c r="B88" s="29">
        <v>0.32300000000000001</v>
      </c>
      <c r="C88" s="29">
        <v>8.5000000000000006E-2</v>
      </c>
      <c r="D88" s="27">
        <f>(B88*1000)/C88</f>
        <v>3799.9999999999995</v>
      </c>
      <c r="E88" s="29">
        <v>18.303999999999998</v>
      </c>
      <c r="F88" s="29">
        <v>3.4649999999999999</v>
      </c>
      <c r="G88" s="27">
        <f t="shared" si="21"/>
        <v>5282.5396825396829</v>
      </c>
      <c r="H88" s="22">
        <f t="shared" si="22"/>
        <v>-98.235358391608401</v>
      </c>
      <c r="I88" s="22">
        <f t="shared" si="23"/>
        <v>-97.546897546897554</v>
      </c>
      <c r="J88" s="23">
        <f t="shared" si="24"/>
        <v>-28.064903846153861</v>
      </c>
    </row>
    <row r="89" spans="1:10">
      <c r="A89" s="609" t="s">
        <v>552</v>
      </c>
      <c r="B89" s="29">
        <v>1.377</v>
      </c>
      <c r="C89" s="29">
        <v>0.06</v>
      </c>
      <c r="D89" s="27">
        <f>(B89*1000)/C89</f>
        <v>22950</v>
      </c>
      <c r="E89" s="29">
        <v>0</v>
      </c>
      <c r="F89" s="29">
        <v>0</v>
      </c>
      <c r="G89" s="27">
        <v>0</v>
      </c>
      <c r="H89" s="22">
        <v>0</v>
      </c>
      <c r="I89" s="22">
        <v>0</v>
      </c>
      <c r="J89" s="23">
        <v>0</v>
      </c>
    </row>
    <row r="90" spans="1:10">
      <c r="A90" s="273" t="s">
        <v>128</v>
      </c>
      <c r="B90" s="274">
        <f>SUM(B82:B89)</f>
        <v>594.89999999999986</v>
      </c>
      <c r="C90" s="274">
        <f>SUM(C82:C89)</f>
        <v>113.813</v>
      </c>
      <c r="D90" s="275">
        <f t="shared" si="16"/>
        <v>5226.9951587252763</v>
      </c>
      <c r="E90" s="274">
        <f>SUM(E82:E89)</f>
        <v>230.66899999999998</v>
      </c>
      <c r="F90" s="274">
        <f>SUM(F82:F89)</f>
        <v>39.464999999999989</v>
      </c>
      <c r="G90" s="275">
        <f>(E90*1000)/F90</f>
        <v>5844.9005447865202</v>
      </c>
      <c r="H90" s="276">
        <f t="shared" ref="H90:J92" si="25">SUM(B90-E90)*100/E90</f>
        <v>157.90201544204029</v>
      </c>
      <c r="I90" s="276">
        <f t="shared" si="25"/>
        <v>188.38971240339549</v>
      </c>
      <c r="J90" s="277">
        <f t="shared" si="25"/>
        <v>-10.571700601687695</v>
      </c>
    </row>
    <row r="91" spans="1:10">
      <c r="A91" s="28" t="s">
        <v>151</v>
      </c>
      <c r="B91" s="29">
        <f>B92-B90</f>
        <v>1.623000000000161</v>
      </c>
      <c r="C91" s="1119">
        <f>C92-C90</f>
        <v>0</v>
      </c>
      <c r="D91" s="27">
        <v>0</v>
      </c>
      <c r="E91" s="29">
        <f>E92-E90</f>
        <v>71.331000000000017</v>
      </c>
      <c r="F91" s="29">
        <f>F92-F90</f>
        <v>6.5600000000000094</v>
      </c>
      <c r="G91" s="27">
        <f>(E91*1000)/F91</f>
        <v>10873.628048780474</v>
      </c>
      <c r="H91" s="22">
        <f t="shared" si="25"/>
        <v>-97.724691929175023</v>
      </c>
      <c r="I91" s="22">
        <f t="shared" si="25"/>
        <v>-100</v>
      </c>
      <c r="J91" s="23">
        <f t="shared" si="25"/>
        <v>-100</v>
      </c>
    </row>
    <row r="92" spans="1:10">
      <c r="A92" s="278" t="s">
        <v>152</v>
      </c>
      <c r="B92" s="279">
        <f>B9</f>
        <v>596.52300000000002</v>
      </c>
      <c r="C92" s="253">
        <f>C9</f>
        <v>113.813</v>
      </c>
      <c r="D92" s="280">
        <f t="shared" si="16"/>
        <v>5241.2553926177152</v>
      </c>
      <c r="E92" s="253">
        <f>E9</f>
        <v>302</v>
      </c>
      <c r="F92" s="253">
        <f>F9</f>
        <v>46.024999999999999</v>
      </c>
      <c r="G92" s="280">
        <f>(E92*1000)/F92</f>
        <v>6561.6512764801737</v>
      </c>
      <c r="H92" s="262">
        <f t="shared" si="25"/>
        <v>97.524172185430473</v>
      </c>
      <c r="I92" s="262">
        <f t="shared" si="25"/>
        <v>147.28517110266162</v>
      </c>
      <c r="J92" s="281">
        <f t="shared" si="25"/>
        <v>-20.122920713499887</v>
      </c>
    </row>
    <row r="93" spans="1:10">
      <c r="A93" s="263" t="s">
        <v>117</v>
      </c>
      <c r="B93" s="6"/>
      <c r="C93" s="6"/>
      <c r="D93" s="6"/>
      <c r="E93" s="6"/>
      <c r="F93" s="6"/>
      <c r="G93" s="25"/>
      <c r="H93" s="6"/>
      <c r="I93" s="6"/>
      <c r="J93" s="6"/>
    </row>
    <row r="94" spans="1:10">
      <c r="A94" s="431"/>
      <c r="B94" s="431"/>
      <c r="C94" s="431"/>
      <c r="D94" s="431"/>
      <c r="E94" s="431"/>
      <c r="F94" s="431"/>
      <c r="G94" s="432"/>
      <c r="H94" s="431"/>
      <c r="I94" s="431"/>
      <c r="J94" s="431"/>
    </row>
    <row r="95" spans="1:10">
      <c r="A95" s="1262" t="s">
        <v>156</v>
      </c>
      <c r="B95" s="1262"/>
      <c r="C95" s="1262"/>
      <c r="D95" s="1262"/>
      <c r="E95" s="1262"/>
      <c r="F95" s="1262"/>
      <c r="G95" s="1262"/>
      <c r="H95" s="1262"/>
      <c r="I95" s="1262"/>
      <c r="J95" s="1262"/>
    </row>
    <row r="96" spans="1:10">
      <c r="A96" s="1263" t="s">
        <v>342</v>
      </c>
      <c r="B96" s="1263"/>
      <c r="C96" s="1263"/>
      <c r="D96" s="1263"/>
      <c r="E96" s="1263"/>
      <c r="F96" s="1263"/>
      <c r="G96" s="1263"/>
      <c r="H96" s="1263"/>
      <c r="I96" s="1263"/>
      <c r="J96" s="1263"/>
    </row>
    <row r="97" spans="1:10">
      <c r="A97" s="283"/>
      <c r="B97" s="283"/>
      <c r="C97" s="283"/>
      <c r="D97" s="283"/>
      <c r="E97" s="283"/>
      <c r="F97" s="283"/>
      <c r="G97" s="283"/>
      <c r="H97" s="283"/>
      <c r="I97" s="283"/>
      <c r="J97" s="283"/>
    </row>
    <row r="98" spans="1:10">
      <c r="A98" s="1264" t="s">
        <v>157</v>
      </c>
      <c r="B98" s="1265"/>
      <c r="C98" s="1265"/>
      <c r="D98" s="30"/>
      <c r="E98" s="30"/>
      <c r="F98" s="30"/>
      <c r="G98" s="30"/>
      <c r="H98" s="30"/>
      <c r="I98" s="30"/>
      <c r="J98" s="30"/>
    </row>
    <row r="99" spans="1:10">
      <c r="A99" s="6"/>
      <c r="B99" s="6"/>
      <c r="C99" s="6"/>
      <c r="D99" s="6"/>
      <c r="E99" s="6"/>
      <c r="F99" s="6"/>
      <c r="G99" s="25"/>
      <c r="H99" s="6"/>
      <c r="I99" s="6"/>
      <c r="J99" s="6"/>
    </row>
    <row r="100" spans="1:10">
      <c r="A100" s="1266" t="s">
        <v>148</v>
      </c>
      <c r="B100" s="1268" t="str">
        <f>B4</f>
        <v>Jan/2016</v>
      </c>
      <c r="C100" s="1269"/>
      <c r="D100" s="1269"/>
      <c r="E100" s="1268" t="str">
        <f>E4</f>
        <v>Jan/2015</v>
      </c>
      <c r="F100" s="1269"/>
      <c r="G100" s="1269"/>
      <c r="H100" s="1270" t="s">
        <v>106</v>
      </c>
      <c r="I100" s="1270"/>
      <c r="J100" s="1271"/>
    </row>
    <row r="101" spans="1:10">
      <c r="A101" s="1267"/>
      <c r="B101" s="266" t="s">
        <v>107</v>
      </c>
      <c r="C101" s="256" t="s">
        <v>149</v>
      </c>
      <c r="D101" s="258" t="s">
        <v>109</v>
      </c>
      <c r="E101" s="256" t="s">
        <v>107</v>
      </c>
      <c r="F101" s="256" t="s">
        <v>149</v>
      </c>
      <c r="G101" s="254" t="s">
        <v>109</v>
      </c>
      <c r="H101" s="1270" t="str">
        <f>H5</f>
        <v>(16/15)</v>
      </c>
      <c r="I101" s="1270"/>
      <c r="J101" s="1271"/>
    </row>
    <row r="102" spans="1:10">
      <c r="A102" s="267"/>
      <c r="B102" s="266" t="s">
        <v>150</v>
      </c>
      <c r="C102" s="256" t="s">
        <v>141</v>
      </c>
      <c r="D102" s="258" t="s">
        <v>142</v>
      </c>
      <c r="E102" s="256" t="s">
        <v>150</v>
      </c>
      <c r="F102" s="256" t="s">
        <v>141</v>
      </c>
      <c r="G102" s="254" t="s">
        <v>142</v>
      </c>
      <c r="H102" s="256" t="s">
        <v>107</v>
      </c>
      <c r="I102" s="256" t="s">
        <v>108</v>
      </c>
      <c r="J102" s="259" t="s">
        <v>109</v>
      </c>
    </row>
    <row r="103" spans="1:10">
      <c r="A103" s="19" t="s">
        <v>290</v>
      </c>
      <c r="B103" s="20">
        <v>849.62599999999998</v>
      </c>
      <c r="C103" s="20">
        <v>191.68</v>
      </c>
      <c r="D103" s="27">
        <f>(B103*1000)/C103</f>
        <v>4432.5229549248743</v>
      </c>
      <c r="E103" s="20">
        <v>383.358</v>
      </c>
      <c r="F103" s="20">
        <v>72.319999999999993</v>
      </c>
      <c r="G103" s="27">
        <f>(E103*1000)/F103</f>
        <v>5300.8573008849562</v>
      </c>
      <c r="H103" s="22">
        <f>SUM(B103-E103)*100/E103</f>
        <v>121.62730398217853</v>
      </c>
      <c r="I103" s="22">
        <f>SUM(C103-F103)*100/F103</f>
        <v>165.04424778761066</v>
      </c>
      <c r="J103" s="23">
        <f>SUM(D103-G103)*100/G103</f>
        <v>-16.381017195371719</v>
      </c>
    </row>
    <row r="104" spans="1:10">
      <c r="A104" s="19" t="s">
        <v>285</v>
      </c>
      <c r="B104" s="20">
        <v>728.95699999999999</v>
      </c>
      <c r="C104" s="20">
        <v>186.345</v>
      </c>
      <c r="D104" s="27">
        <f t="shared" ref="D104:D113" si="26">(B104*1000)/C104</f>
        <v>3911.8677721430681</v>
      </c>
      <c r="E104" s="20">
        <v>1903.223</v>
      </c>
      <c r="F104" s="20">
        <v>460.87400000000002</v>
      </c>
      <c r="G104" s="27">
        <f t="shared" ref="G104:G105" si="27">(E104*1000)/F104</f>
        <v>4129.595073707781</v>
      </c>
      <c r="H104" s="22">
        <f t="shared" ref="H104:H105" si="28">SUM(B104-E104)*100/E104</f>
        <v>-61.698813013503937</v>
      </c>
      <c r="I104" s="22">
        <f t="shared" ref="I104:I112" si="29">SUM(C104-F104)*100/F104</f>
        <v>-59.567040015275325</v>
      </c>
      <c r="J104" s="23">
        <f t="shared" ref="J104:J112" si="30">SUM(D104-G104)*100/G104</f>
        <v>-5.2723644250482211</v>
      </c>
    </row>
    <row r="105" spans="1:10">
      <c r="A105" s="19" t="s">
        <v>344</v>
      </c>
      <c r="B105" s="20">
        <v>0</v>
      </c>
      <c r="C105" s="20">
        <v>0</v>
      </c>
      <c r="D105" s="27">
        <v>0</v>
      </c>
      <c r="E105" s="20">
        <v>52.29</v>
      </c>
      <c r="F105" s="20">
        <v>14.2</v>
      </c>
      <c r="G105" s="27">
        <f t="shared" si="27"/>
        <v>3682.3943661971834</v>
      </c>
      <c r="H105" s="22">
        <f t="shared" si="28"/>
        <v>-100</v>
      </c>
      <c r="I105" s="22">
        <f t="shared" si="29"/>
        <v>-100</v>
      </c>
      <c r="J105" s="23">
        <f t="shared" si="30"/>
        <v>-100</v>
      </c>
    </row>
    <row r="106" spans="1:10">
      <c r="A106" s="609" t="s">
        <v>343</v>
      </c>
      <c r="B106" s="563">
        <v>24.745000000000001</v>
      </c>
      <c r="C106" s="563">
        <v>0.41499999999999998</v>
      </c>
      <c r="D106" s="991">
        <f t="shared" si="26"/>
        <v>59626.506024096387</v>
      </c>
      <c r="E106" s="563">
        <v>2.34</v>
      </c>
      <c r="F106" s="563">
        <v>0.04</v>
      </c>
      <c r="G106" s="991">
        <f t="shared" ref="G106:G112" si="31">(E106*1000)/F106</f>
        <v>58500</v>
      </c>
      <c r="H106" s="992">
        <f t="shared" ref="H106:H112" si="32">SUM(B106-E106)*100/E106</f>
        <v>957.47863247863256</v>
      </c>
      <c r="I106" s="992">
        <f t="shared" si="29"/>
        <v>937.5</v>
      </c>
      <c r="J106" s="993">
        <f t="shared" si="30"/>
        <v>1.9256513232416865</v>
      </c>
    </row>
    <row r="107" spans="1:10">
      <c r="A107" s="19" t="s">
        <v>293</v>
      </c>
      <c r="B107" s="20">
        <v>36.796999999999997</v>
      </c>
      <c r="C107" s="20">
        <v>3.7029999999999998</v>
      </c>
      <c r="D107" s="27">
        <f>(B107*1000)/C107</f>
        <v>9937.0780448285186</v>
      </c>
      <c r="E107" s="563">
        <v>1.728</v>
      </c>
      <c r="F107" s="20">
        <v>0.33600000000000002</v>
      </c>
      <c r="G107" s="27">
        <f t="shared" si="31"/>
        <v>5142.8571428571422</v>
      </c>
      <c r="H107" s="22">
        <f t="shared" si="32"/>
        <v>2029.4560185185182</v>
      </c>
      <c r="I107" s="22">
        <f t="shared" si="29"/>
        <v>1002.0833333333333</v>
      </c>
      <c r="J107" s="23">
        <f t="shared" si="30"/>
        <v>93.220961982776771</v>
      </c>
    </row>
    <row r="108" spans="1:10">
      <c r="A108" s="19" t="s">
        <v>295</v>
      </c>
      <c r="B108" s="20">
        <v>60.28</v>
      </c>
      <c r="C108" s="20">
        <v>14.2</v>
      </c>
      <c r="D108" s="27">
        <f t="shared" si="26"/>
        <v>4245.070422535211</v>
      </c>
      <c r="E108" s="20">
        <v>79.945999999999998</v>
      </c>
      <c r="F108" s="20">
        <v>14.2</v>
      </c>
      <c r="G108" s="27">
        <f t="shared" si="31"/>
        <v>5630</v>
      </c>
      <c r="H108" s="22">
        <f t="shared" si="32"/>
        <v>-24.599104395466938</v>
      </c>
      <c r="I108" s="22">
        <f t="shared" si="29"/>
        <v>0</v>
      </c>
      <c r="J108" s="23">
        <f t="shared" si="30"/>
        <v>-24.599104395466945</v>
      </c>
    </row>
    <row r="109" spans="1:10">
      <c r="A109" s="19" t="s">
        <v>284</v>
      </c>
      <c r="B109" s="20">
        <v>0.34599999999999997</v>
      </c>
      <c r="C109" s="20">
        <v>5.5E-2</v>
      </c>
      <c r="D109" s="27">
        <f t="shared" si="26"/>
        <v>6290.909090909091</v>
      </c>
      <c r="E109" s="20">
        <v>77.768000000000001</v>
      </c>
      <c r="F109" s="20">
        <v>15.3</v>
      </c>
      <c r="G109" s="27">
        <f t="shared" si="31"/>
        <v>5082.8758169934636</v>
      </c>
      <c r="H109" s="22">
        <f t="shared" si="32"/>
        <v>-99.555086925213459</v>
      </c>
      <c r="I109" s="22">
        <f t="shared" si="29"/>
        <v>-99.640522875816984</v>
      </c>
      <c r="J109" s="23">
        <f t="shared" si="30"/>
        <v>23.76672807698424</v>
      </c>
    </row>
    <row r="110" spans="1:10">
      <c r="A110" s="19" t="s">
        <v>292</v>
      </c>
      <c r="B110" s="563">
        <v>0</v>
      </c>
      <c r="C110" s="20">
        <v>0</v>
      </c>
      <c r="D110" s="27">
        <v>0</v>
      </c>
      <c r="E110" s="20">
        <v>66.629000000000005</v>
      </c>
      <c r="F110" s="20">
        <v>12.88</v>
      </c>
      <c r="G110" s="27">
        <f t="shared" si="31"/>
        <v>5173.0590062111796</v>
      </c>
      <c r="H110" s="22">
        <f t="shared" si="32"/>
        <v>-100</v>
      </c>
      <c r="I110" s="22">
        <f t="shared" si="29"/>
        <v>-100</v>
      </c>
      <c r="J110" s="23">
        <f t="shared" si="30"/>
        <v>-100</v>
      </c>
    </row>
    <row r="111" spans="1:10">
      <c r="A111" s="19" t="s">
        <v>297</v>
      </c>
      <c r="B111" s="20">
        <v>0</v>
      </c>
      <c r="C111" s="20">
        <v>0</v>
      </c>
      <c r="D111" s="27">
        <v>0</v>
      </c>
      <c r="E111" s="20">
        <v>26.414999999999999</v>
      </c>
      <c r="F111" s="20">
        <v>1.4550000000000001</v>
      </c>
      <c r="G111" s="27">
        <f t="shared" si="31"/>
        <v>18154.639175257733</v>
      </c>
      <c r="H111" s="22">
        <f t="shared" si="32"/>
        <v>-100</v>
      </c>
      <c r="I111" s="22">
        <f t="shared" si="29"/>
        <v>-100</v>
      </c>
      <c r="J111" s="23">
        <f t="shared" si="30"/>
        <v>-100</v>
      </c>
    </row>
    <row r="112" spans="1:10">
      <c r="A112" s="19" t="s">
        <v>294</v>
      </c>
      <c r="B112" s="20">
        <v>3.492</v>
      </c>
      <c r="C112" s="20">
        <v>0.19600000000000001</v>
      </c>
      <c r="D112" s="27">
        <f t="shared" si="26"/>
        <v>17816.326530612245</v>
      </c>
      <c r="E112" s="20">
        <v>20.925999999999998</v>
      </c>
      <c r="F112" s="20">
        <v>1.7869999999999999</v>
      </c>
      <c r="G112" s="27">
        <f t="shared" si="31"/>
        <v>11710.128707330723</v>
      </c>
      <c r="H112" s="22">
        <f t="shared" si="32"/>
        <v>-83.31262544203382</v>
      </c>
      <c r="I112" s="22">
        <f t="shared" si="29"/>
        <v>-89.031897034135426</v>
      </c>
      <c r="J112" s="23">
        <f t="shared" si="30"/>
        <v>52.144583342273151</v>
      </c>
    </row>
    <row r="113" spans="1:11">
      <c r="A113" s="273" t="s">
        <v>128</v>
      </c>
      <c r="B113" s="274">
        <f>SUM(B103:B112)</f>
        <v>1704.2429999999999</v>
      </c>
      <c r="C113" s="274">
        <f>SUM(C103:C112)</f>
        <v>396.59399999999999</v>
      </c>
      <c r="D113" s="275">
        <f t="shared" si="26"/>
        <v>4297.1981421806686</v>
      </c>
      <c r="E113" s="274">
        <f>SUM(E103:E112)</f>
        <v>2614.623</v>
      </c>
      <c r="F113" s="274">
        <f>SUM(F103:F112)</f>
        <v>593.39200000000005</v>
      </c>
      <c r="G113" s="275">
        <f>(E113*1000)/F113</f>
        <v>4406.2323051203921</v>
      </c>
      <c r="H113" s="276">
        <f t="shared" ref="H113:J115" si="33">SUM(B113-E113)*100/E113</f>
        <v>-34.818786494267059</v>
      </c>
      <c r="I113" s="276">
        <f t="shared" si="33"/>
        <v>-33.164923018847581</v>
      </c>
      <c r="J113" s="277">
        <f t="shared" si="33"/>
        <v>-2.4745441317975256</v>
      </c>
    </row>
    <row r="114" spans="1:11">
      <c r="A114" s="28" t="s">
        <v>151</v>
      </c>
      <c r="B114" s="29">
        <v>0</v>
      </c>
      <c r="C114" s="29">
        <v>0</v>
      </c>
      <c r="D114" s="27">
        <v>0</v>
      </c>
      <c r="E114" s="29">
        <v>0</v>
      </c>
      <c r="F114" s="29">
        <v>0</v>
      </c>
      <c r="G114" s="27">
        <v>0</v>
      </c>
      <c r="H114" s="27">
        <v>0</v>
      </c>
      <c r="I114" s="27">
        <v>0</v>
      </c>
      <c r="J114" s="1118">
        <v>0</v>
      </c>
      <c r="K114" s="4"/>
    </row>
    <row r="115" spans="1:11">
      <c r="A115" s="278" t="s">
        <v>152</v>
      </c>
      <c r="B115" s="279">
        <f>B10</f>
        <v>1704.2429999999999</v>
      </c>
      <c r="C115" s="279">
        <f>C10</f>
        <v>396.69400000000002</v>
      </c>
      <c r="D115" s="280">
        <f>(B115*1000)/C115</f>
        <v>4296.1148895622318</v>
      </c>
      <c r="E115" s="253">
        <f>E10</f>
        <v>2615.2530000000002</v>
      </c>
      <c r="F115" s="253">
        <f>F10</f>
        <v>593.39200000000005</v>
      </c>
      <c r="G115" s="280">
        <f>(E115*1000)/F115</f>
        <v>4407.293997896837</v>
      </c>
      <c r="H115" s="262">
        <f t="shared" si="33"/>
        <v>-34.83448828851359</v>
      </c>
      <c r="I115" s="262">
        <f t="shared" si="33"/>
        <v>-33.148070752554808</v>
      </c>
      <c r="J115" s="281">
        <f t="shared" si="33"/>
        <v>-2.5226161083798795</v>
      </c>
    </row>
    <row r="116" spans="1:11">
      <c r="A116" s="257" t="s">
        <v>117</v>
      </c>
      <c r="B116" s="3"/>
      <c r="C116" s="3"/>
      <c r="D116" s="3"/>
      <c r="E116" s="3"/>
      <c r="F116" s="3"/>
      <c r="G116" s="18"/>
      <c r="H116" s="3"/>
      <c r="I116" s="3"/>
      <c r="J116" s="3"/>
    </row>
    <row r="117" spans="1:11">
      <c r="A117" s="429"/>
      <c r="B117" s="429"/>
      <c r="C117" s="429"/>
      <c r="D117" s="429"/>
      <c r="E117" s="429"/>
      <c r="F117" s="429"/>
      <c r="G117" s="430"/>
      <c r="H117" s="429"/>
      <c r="I117" s="429"/>
      <c r="J117" s="429"/>
    </row>
  </sheetData>
  <mergeCells count="39">
    <mergeCell ref="A2:J2"/>
    <mergeCell ref="A4:A5"/>
    <mergeCell ref="B4:D4"/>
    <mergeCell ref="E4:G4"/>
    <mergeCell ref="H4:J4"/>
    <mergeCell ref="H5:J5"/>
    <mergeCell ref="A20:J20"/>
    <mergeCell ref="A21:J21"/>
    <mergeCell ref="A23:C23"/>
    <mergeCell ref="A25:A26"/>
    <mergeCell ref="B25:D25"/>
    <mergeCell ref="E25:G25"/>
    <mergeCell ref="H25:J25"/>
    <mergeCell ref="H26:J26"/>
    <mergeCell ref="H80:J80"/>
    <mergeCell ref="A47:J47"/>
    <mergeCell ref="A48:J48"/>
    <mergeCell ref="A50:C50"/>
    <mergeCell ref="A52:A53"/>
    <mergeCell ref="B52:D52"/>
    <mergeCell ref="E52:G52"/>
    <mergeCell ref="H52:J52"/>
    <mergeCell ref="H53:J53"/>
    <mergeCell ref="A1:J1"/>
    <mergeCell ref="A95:J95"/>
    <mergeCell ref="A96:J96"/>
    <mergeCell ref="A98:C98"/>
    <mergeCell ref="A100:A101"/>
    <mergeCell ref="B100:D100"/>
    <mergeCell ref="E100:G100"/>
    <mergeCell ref="H100:J100"/>
    <mergeCell ref="H101:J101"/>
    <mergeCell ref="A74:J74"/>
    <mergeCell ref="A75:J75"/>
    <mergeCell ref="A77:C77"/>
    <mergeCell ref="A79:A80"/>
    <mergeCell ref="B79:D79"/>
    <mergeCell ref="E79:G79"/>
    <mergeCell ref="H79:J79"/>
  </mergeCells>
  <printOptions horizontalCentered="1"/>
  <pageMargins left="0.31496062992125984" right="0.31496062992125984" top="0.78740157480314965" bottom="0.78740157480314965" header="0.31496062992125984" footer="0.31496062992125984"/>
  <pageSetup paperSize="9" scale="90" orientation="portrait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>
  <dimension ref="A1:M43"/>
  <sheetViews>
    <sheetView workbookViewId="0">
      <selection sqref="A1:L1"/>
    </sheetView>
  </sheetViews>
  <sheetFormatPr defaultRowHeight="12.75"/>
  <cols>
    <col min="1" max="1" width="40.5703125" customWidth="1"/>
    <col min="2" max="2" width="10.28515625" bestFit="1" customWidth="1"/>
    <col min="3" max="3" width="9" bestFit="1" customWidth="1"/>
    <col min="4" max="4" width="10.28515625" bestFit="1" customWidth="1"/>
    <col min="5" max="5" width="9" bestFit="1" customWidth="1"/>
    <col min="6" max="6" width="12" customWidth="1"/>
    <col min="7" max="7" width="11.140625" customWidth="1"/>
    <col min="8" max="8" width="12.5703125" customWidth="1"/>
    <col min="9" max="9" width="11.85546875" customWidth="1"/>
    <col min="10" max="11" width="9" customWidth="1"/>
    <col min="12" max="12" width="8.5703125" customWidth="1"/>
    <col min="254" max="254" width="39.42578125" customWidth="1"/>
    <col min="255" max="255" width="10.28515625" bestFit="1" customWidth="1"/>
    <col min="256" max="256" width="9" bestFit="1" customWidth="1"/>
    <col min="257" max="257" width="10.28515625" bestFit="1" customWidth="1"/>
    <col min="258" max="258" width="9" bestFit="1" customWidth="1"/>
    <col min="259" max="259" width="11" customWidth="1"/>
    <col min="260" max="260" width="11.140625" customWidth="1"/>
    <col min="261" max="261" width="12.5703125" customWidth="1"/>
    <col min="262" max="262" width="11.85546875" customWidth="1"/>
    <col min="263" max="264" width="9" customWidth="1"/>
    <col min="265" max="265" width="8.5703125" customWidth="1"/>
    <col min="510" max="510" width="39.42578125" customWidth="1"/>
    <col min="511" max="511" width="10.28515625" bestFit="1" customWidth="1"/>
    <col min="512" max="512" width="9" bestFit="1" customWidth="1"/>
    <col min="513" max="513" width="10.28515625" bestFit="1" customWidth="1"/>
    <col min="514" max="514" width="9" bestFit="1" customWidth="1"/>
    <col min="515" max="515" width="11" customWidth="1"/>
    <col min="516" max="516" width="11.140625" customWidth="1"/>
    <col min="517" max="517" width="12.5703125" customWidth="1"/>
    <col min="518" max="518" width="11.85546875" customWidth="1"/>
    <col min="519" max="520" width="9" customWidth="1"/>
    <col min="521" max="521" width="8.5703125" customWidth="1"/>
    <col min="766" max="766" width="39.42578125" customWidth="1"/>
    <col min="767" max="767" width="10.28515625" bestFit="1" customWidth="1"/>
    <col min="768" max="768" width="9" bestFit="1" customWidth="1"/>
    <col min="769" max="769" width="10.28515625" bestFit="1" customWidth="1"/>
    <col min="770" max="770" width="9" bestFit="1" customWidth="1"/>
    <col min="771" max="771" width="11" customWidth="1"/>
    <col min="772" max="772" width="11.140625" customWidth="1"/>
    <col min="773" max="773" width="12.5703125" customWidth="1"/>
    <col min="774" max="774" width="11.85546875" customWidth="1"/>
    <col min="775" max="776" width="9" customWidth="1"/>
    <col min="777" max="777" width="8.5703125" customWidth="1"/>
    <col min="1022" max="1022" width="39.42578125" customWidth="1"/>
    <col min="1023" max="1023" width="10.28515625" bestFit="1" customWidth="1"/>
    <col min="1024" max="1024" width="9" bestFit="1" customWidth="1"/>
    <col min="1025" max="1025" width="10.28515625" bestFit="1" customWidth="1"/>
    <col min="1026" max="1026" width="9" bestFit="1" customWidth="1"/>
    <col min="1027" max="1027" width="11" customWidth="1"/>
    <col min="1028" max="1028" width="11.140625" customWidth="1"/>
    <col min="1029" max="1029" width="12.5703125" customWidth="1"/>
    <col min="1030" max="1030" width="11.85546875" customWidth="1"/>
    <col min="1031" max="1032" width="9" customWidth="1"/>
    <col min="1033" max="1033" width="8.5703125" customWidth="1"/>
    <col min="1278" max="1278" width="39.42578125" customWidth="1"/>
    <col min="1279" max="1279" width="10.28515625" bestFit="1" customWidth="1"/>
    <col min="1280" max="1280" width="9" bestFit="1" customWidth="1"/>
    <col min="1281" max="1281" width="10.28515625" bestFit="1" customWidth="1"/>
    <col min="1282" max="1282" width="9" bestFit="1" customWidth="1"/>
    <col min="1283" max="1283" width="11" customWidth="1"/>
    <col min="1284" max="1284" width="11.140625" customWidth="1"/>
    <col min="1285" max="1285" width="12.5703125" customWidth="1"/>
    <col min="1286" max="1286" width="11.85546875" customWidth="1"/>
    <col min="1287" max="1288" width="9" customWidth="1"/>
    <col min="1289" max="1289" width="8.5703125" customWidth="1"/>
    <col min="1534" max="1534" width="39.42578125" customWidth="1"/>
    <col min="1535" max="1535" width="10.28515625" bestFit="1" customWidth="1"/>
    <col min="1536" max="1536" width="9" bestFit="1" customWidth="1"/>
    <col min="1537" max="1537" width="10.28515625" bestFit="1" customWidth="1"/>
    <col min="1538" max="1538" width="9" bestFit="1" customWidth="1"/>
    <col min="1539" max="1539" width="11" customWidth="1"/>
    <col min="1540" max="1540" width="11.140625" customWidth="1"/>
    <col min="1541" max="1541" width="12.5703125" customWidth="1"/>
    <col min="1542" max="1542" width="11.85546875" customWidth="1"/>
    <col min="1543" max="1544" width="9" customWidth="1"/>
    <col min="1545" max="1545" width="8.5703125" customWidth="1"/>
    <col min="1790" max="1790" width="39.42578125" customWidth="1"/>
    <col min="1791" max="1791" width="10.28515625" bestFit="1" customWidth="1"/>
    <col min="1792" max="1792" width="9" bestFit="1" customWidth="1"/>
    <col min="1793" max="1793" width="10.28515625" bestFit="1" customWidth="1"/>
    <col min="1794" max="1794" width="9" bestFit="1" customWidth="1"/>
    <col min="1795" max="1795" width="11" customWidth="1"/>
    <col min="1796" max="1796" width="11.140625" customWidth="1"/>
    <col min="1797" max="1797" width="12.5703125" customWidth="1"/>
    <col min="1798" max="1798" width="11.85546875" customWidth="1"/>
    <col min="1799" max="1800" width="9" customWidth="1"/>
    <col min="1801" max="1801" width="8.5703125" customWidth="1"/>
    <col min="2046" max="2046" width="39.42578125" customWidth="1"/>
    <col min="2047" max="2047" width="10.28515625" bestFit="1" customWidth="1"/>
    <col min="2048" max="2048" width="9" bestFit="1" customWidth="1"/>
    <col min="2049" max="2049" width="10.28515625" bestFit="1" customWidth="1"/>
    <col min="2050" max="2050" width="9" bestFit="1" customWidth="1"/>
    <col min="2051" max="2051" width="11" customWidth="1"/>
    <col min="2052" max="2052" width="11.140625" customWidth="1"/>
    <col min="2053" max="2053" width="12.5703125" customWidth="1"/>
    <col min="2054" max="2054" width="11.85546875" customWidth="1"/>
    <col min="2055" max="2056" width="9" customWidth="1"/>
    <col min="2057" max="2057" width="8.5703125" customWidth="1"/>
    <col min="2302" max="2302" width="39.42578125" customWidth="1"/>
    <col min="2303" max="2303" width="10.28515625" bestFit="1" customWidth="1"/>
    <col min="2304" max="2304" width="9" bestFit="1" customWidth="1"/>
    <col min="2305" max="2305" width="10.28515625" bestFit="1" customWidth="1"/>
    <col min="2306" max="2306" width="9" bestFit="1" customWidth="1"/>
    <col min="2307" max="2307" width="11" customWidth="1"/>
    <col min="2308" max="2308" width="11.140625" customWidth="1"/>
    <col min="2309" max="2309" width="12.5703125" customWidth="1"/>
    <col min="2310" max="2310" width="11.85546875" customWidth="1"/>
    <col min="2311" max="2312" width="9" customWidth="1"/>
    <col min="2313" max="2313" width="8.5703125" customWidth="1"/>
    <col min="2558" max="2558" width="39.42578125" customWidth="1"/>
    <col min="2559" max="2559" width="10.28515625" bestFit="1" customWidth="1"/>
    <col min="2560" max="2560" width="9" bestFit="1" customWidth="1"/>
    <col min="2561" max="2561" width="10.28515625" bestFit="1" customWidth="1"/>
    <col min="2562" max="2562" width="9" bestFit="1" customWidth="1"/>
    <col min="2563" max="2563" width="11" customWidth="1"/>
    <col min="2564" max="2564" width="11.140625" customWidth="1"/>
    <col min="2565" max="2565" width="12.5703125" customWidth="1"/>
    <col min="2566" max="2566" width="11.85546875" customWidth="1"/>
    <col min="2567" max="2568" width="9" customWidth="1"/>
    <col min="2569" max="2569" width="8.5703125" customWidth="1"/>
    <col min="2814" max="2814" width="39.42578125" customWidth="1"/>
    <col min="2815" max="2815" width="10.28515625" bestFit="1" customWidth="1"/>
    <col min="2816" max="2816" width="9" bestFit="1" customWidth="1"/>
    <col min="2817" max="2817" width="10.28515625" bestFit="1" customWidth="1"/>
    <col min="2818" max="2818" width="9" bestFit="1" customWidth="1"/>
    <col min="2819" max="2819" width="11" customWidth="1"/>
    <col min="2820" max="2820" width="11.140625" customWidth="1"/>
    <col min="2821" max="2821" width="12.5703125" customWidth="1"/>
    <col min="2822" max="2822" width="11.85546875" customWidth="1"/>
    <col min="2823" max="2824" width="9" customWidth="1"/>
    <col min="2825" max="2825" width="8.5703125" customWidth="1"/>
    <col min="3070" max="3070" width="39.42578125" customWidth="1"/>
    <col min="3071" max="3071" width="10.28515625" bestFit="1" customWidth="1"/>
    <col min="3072" max="3072" width="9" bestFit="1" customWidth="1"/>
    <col min="3073" max="3073" width="10.28515625" bestFit="1" customWidth="1"/>
    <col min="3074" max="3074" width="9" bestFit="1" customWidth="1"/>
    <col min="3075" max="3075" width="11" customWidth="1"/>
    <col min="3076" max="3076" width="11.140625" customWidth="1"/>
    <col min="3077" max="3077" width="12.5703125" customWidth="1"/>
    <col min="3078" max="3078" width="11.85546875" customWidth="1"/>
    <col min="3079" max="3080" width="9" customWidth="1"/>
    <col min="3081" max="3081" width="8.5703125" customWidth="1"/>
    <col min="3326" max="3326" width="39.42578125" customWidth="1"/>
    <col min="3327" max="3327" width="10.28515625" bestFit="1" customWidth="1"/>
    <col min="3328" max="3328" width="9" bestFit="1" customWidth="1"/>
    <col min="3329" max="3329" width="10.28515625" bestFit="1" customWidth="1"/>
    <col min="3330" max="3330" width="9" bestFit="1" customWidth="1"/>
    <col min="3331" max="3331" width="11" customWidth="1"/>
    <col min="3332" max="3332" width="11.140625" customWidth="1"/>
    <col min="3333" max="3333" width="12.5703125" customWidth="1"/>
    <col min="3334" max="3334" width="11.85546875" customWidth="1"/>
    <col min="3335" max="3336" width="9" customWidth="1"/>
    <col min="3337" max="3337" width="8.5703125" customWidth="1"/>
    <col min="3582" max="3582" width="39.42578125" customWidth="1"/>
    <col min="3583" max="3583" width="10.28515625" bestFit="1" customWidth="1"/>
    <col min="3584" max="3584" width="9" bestFit="1" customWidth="1"/>
    <col min="3585" max="3585" width="10.28515625" bestFit="1" customWidth="1"/>
    <col min="3586" max="3586" width="9" bestFit="1" customWidth="1"/>
    <col min="3587" max="3587" width="11" customWidth="1"/>
    <col min="3588" max="3588" width="11.140625" customWidth="1"/>
    <col min="3589" max="3589" width="12.5703125" customWidth="1"/>
    <col min="3590" max="3590" width="11.85546875" customWidth="1"/>
    <col min="3591" max="3592" width="9" customWidth="1"/>
    <col min="3593" max="3593" width="8.5703125" customWidth="1"/>
    <col min="3838" max="3838" width="39.42578125" customWidth="1"/>
    <col min="3839" max="3839" width="10.28515625" bestFit="1" customWidth="1"/>
    <col min="3840" max="3840" width="9" bestFit="1" customWidth="1"/>
    <col min="3841" max="3841" width="10.28515625" bestFit="1" customWidth="1"/>
    <col min="3842" max="3842" width="9" bestFit="1" customWidth="1"/>
    <col min="3843" max="3843" width="11" customWidth="1"/>
    <col min="3844" max="3844" width="11.140625" customWidth="1"/>
    <col min="3845" max="3845" width="12.5703125" customWidth="1"/>
    <col min="3846" max="3846" width="11.85546875" customWidth="1"/>
    <col min="3847" max="3848" width="9" customWidth="1"/>
    <col min="3849" max="3849" width="8.5703125" customWidth="1"/>
    <col min="4094" max="4094" width="39.42578125" customWidth="1"/>
    <col min="4095" max="4095" width="10.28515625" bestFit="1" customWidth="1"/>
    <col min="4096" max="4096" width="9" bestFit="1" customWidth="1"/>
    <col min="4097" max="4097" width="10.28515625" bestFit="1" customWidth="1"/>
    <col min="4098" max="4098" width="9" bestFit="1" customWidth="1"/>
    <col min="4099" max="4099" width="11" customWidth="1"/>
    <col min="4100" max="4100" width="11.140625" customWidth="1"/>
    <col min="4101" max="4101" width="12.5703125" customWidth="1"/>
    <col min="4102" max="4102" width="11.85546875" customWidth="1"/>
    <col min="4103" max="4104" width="9" customWidth="1"/>
    <col min="4105" max="4105" width="8.5703125" customWidth="1"/>
    <col min="4350" max="4350" width="39.42578125" customWidth="1"/>
    <col min="4351" max="4351" width="10.28515625" bestFit="1" customWidth="1"/>
    <col min="4352" max="4352" width="9" bestFit="1" customWidth="1"/>
    <col min="4353" max="4353" width="10.28515625" bestFit="1" customWidth="1"/>
    <col min="4354" max="4354" width="9" bestFit="1" customWidth="1"/>
    <col min="4355" max="4355" width="11" customWidth="1"/>
    <col min="4356" max="4356" width="11.140625" customWidth="1"/>
    <col min="4357" max="4357" width="12.5703125" customWidth="1"/>
    <col min="4358" max="4358" width="11.85546875" customWidth="1"/>
    <col min="4359" max="4360" width="9" customWidth="1"/>
    <col min="4361" max="4361" width="8.5703125" customWidth="1"/>
    <col min="4606" max="4606" width="39.42578125" customWidth="1"/>
    <col min="4607" max="4607" width="10.28515625" bestFit="1" customWidth="1"/>
    <col min="4608" max="4608" width="9" bestFit="1" customWidth="1"/>
    <col min="4609" max="4609" width="10.28515625" bestFit="1" customWidth="1"/>
    <col min="4610" max="4610" width="9" bestFit="1" customWidth="1"/>
    <col min="4611" max="4611" width="11" customWidth="1"/>
    <col min="4612" max="4612" width="11.140625" customWidth="1"/>
    <col min="4613" max="4613" width="12.5703125" customWidth="1"/>
    <col min="4614" max="4614" width="11.85546875" customWidth="1"/>
    <col min="4615" max="4616" width="9" customWidth="1"/>
    <col min="4617" max="4617" width="8.5703125" customWidth="1"/>
    <col min="4862" max="4862" width="39.42578125" customWidth="1"/>
    <col min="4863" max="4863" width="10.28515625" bestFit="1" customWidth="1"/>
    <col min="4864" max="4864" width="9" bestFit="1" customWidth="1"/>
    <col min="4865" max="4865" width="10.28515625" bestFit="1" customWidth="1"/>
    <col min="4866" max="4866" width="9" bestFit="1" customWidth="1"/>
    <col min="4867" max="4867" width="11" customWidth="1"/>
    <col min="4868" max="4868" width="11.140625" customWidth="1"/>
    <col min="4869" max="4869" width="12.5703125" customWidth="1"/>
    <col min="4870" max="4870" width="11.85546875" customWidth="1"/>
    <col min="4871" max="4872" width="9" customWidth="1"/>
    <col min="4873" max="4873" width="8.5703125" customWidth="1"/>
    <col min="5118" max="5118" width="39.42578125" customWidth="1"/>
    <col min="5119" max="5119" width="10.28515625" bestFit="1" customWidth="1"/>
    <col min="5120" max="5120" width="9" bestFit="1" customWidth="1"/>
    <col min="5121" max="5121" width="10.28515625" bestFit="1" customWidth="1"/>
    <col min="5122" max="5122" width="9" bestFit="1" customWidth="1"/>
    <col min="5123" max="5123" width="11" customWidth="1"/>
    <col min="5124" max="5124" width="11.140625" customWidth="1"/>
    <col min="5125" max="5125" width="12.5703125" customWidth="1"/>
    <col min="5126" max="5126" width="11.85546875" customWidth="1"/>
    <col min="5127" max="5128" width="9" customWidth="1"/>
    <col min="5129" max="5129" width="8.5703125" customWidth="1"/>
    <col min="5374" max="5374" width="39.42578125" customWidth="1"/>
    <col min="5375" max="5375" width="10.28515625" bestFit="1" customWidth="1"/>
    <col min="5376" max="5376" width="9" bestFit="1" customWidth="1"/>
    <col min="5377" max="5377" width="10.28515625" bestFit="1" customWidth="1"/>
    <col min="5378" max="5378" width="9" bestFit="1" customWidth="1"/>
    <col min="5379" max="5379" width="11" customWidth="1"/>
    <col min="5380" max="5380" width="11.140625" customWidth="1"/>
    <col min="5381" max="5381" width="12.5703125" customWidth="1"/>
    <col min="5382" max="5382" width="11.85546875" customWidth="1"/>
    <col min="5383" max="5384" width="9" customWidth="1"/>
    <col min="5385" max="5385" width="8.5703125" customWidth="1"/>
    <col min="5630" max="5630" width="39.42578125" customWidth="1"/>
    <col min="5631" max="5631" width="10.28515625" bestFit="1" customWidth="1"/>
    <col min="5632" max="5632" width="9" bestFit="1" customWidth="1"/>
    <col min="5633" max="5633" width="10.28515625" bestFit="1" customWidth="1"/>
    <col min="5634" max="5634" width="9" bestFit="1" customWidth="1"/>
    <col min="5635" max="5635" width="11" customWidth="1"/>
    <col min="5636" max="5636" width="11.140625" customWidth="1"/>
    <col min="5637" max="5637" width="12.5703125" customWidth="1"/>
    <col min="5638" max="5638" width="11.85546875" customWidth="1"/>
    <col min="5639" max="5640" width="9" customWidth="1"/>
    <col min="5641" max="5641" width="8.5703125" customWidth="1"/>
    <col min="5886" max="5886" width="39.42578125" customWidth="1"/>
    <col min="5887" max="5887" width="10.28515625" bestFit="1" customWidth="1"/>
    <col min="5888" max="5888" width="9" bestFit="1" customWidth="1"/>
    <col min="5889" max="5889" width="10.28515625" bestFit="1" customWidth="1"/>
    <col min="5890" max="5890" width="9" bestFit="1" customWidth="1"/>
    <col min="5891" max="5891" width="11" customWidth="1"/>
    <col min="5892" max="5892" width="11.140625" customWidth="1"/>
    <col min="5893" max="5893" width="12.5703125" customWidth="1"/>
    <col min="5894" max="5894" width="11.85546875" customWidth="1"/>
    <col min="5895" max="5896" width="9" customWidth="1"/>
    <col min="5897" max="5897" width="8.5703125" customWidth="1"/>
    <col min="6142" max="6142" width="39.42578125" customWidth="1"/>
    <col min="6143" max="6143" width="10.28515625" bestFit="1" customWidth="1"/>
    <col min="6144" max="6144" width="9" bestFit="1" customWidth="1"/>
    <col min="6145" max="6145" width="10.28515625" bestFit="1" customWidth="1"/>
    <col min="6146" max="6146" width="9" bestFit="1" customWidth="1"/>
    <col min="6147" max="6147" width="11" customWidth="1"/>
    <col min="6148" max="6148" width="11.140625" customWidth="1"/>
    <col min="6149" max="6149" width="12.5703125" customWidth="1"/>
    <col min="6150" max="6150" width="11.85546875" customWidth="1"/>
    <col min="6151" max="6152" width="9" customWidth="1"/>
    <col min="6153" max="6153" width="8.5703125" customWidth="1"/>
    <col min="6398" max="6398" width="39.42578125" customWidth="1"/>
    <col min="6399" max="6399" width="10.28515625" bestFit="1" customWidth="1"/>
    <col min="6400" max="6400" width="9" bestFit="1" customWidth="1"/>
    <col min="6401" max="6401" width="10.28515625" bestFit="1" customWidth="1"/>
    <col min="6402" max="6402" width="9" bestFit="1" customWidth="1"/>
    <col min="6403" max="6403" width="11" customWidth="1"/>
    <col min="6404" max="6404" width="11.140625" customWidth="1"/>
    <col min="6405" max="6405" width="12.5703125" customWidth="1"/>
    <col min="6406" max="6406" width="11.85546875" customWidth="1"/>
    <col min="6407" max="6408" width="9" customWidth="1"/>
    <col min="6409" max="6409" width="8.5703125" customWidth="1"/>
    <col min="6654" max="6654" width="39.42578125" customWidth="1"/>
    <col min="6655" max="6655" width="10.28515625" bestFit="1" customWidth="1"/>
    <col min="6656" max="6656" width="9" bestFit="1" customWidth="1"/>
    <col min="6657" max="6657" width="10.28515625" bestFit="1" customWidth="1"/>
    <col min="6658" max="6658" width="9" bestFit="1" customWidth="1"/>
    <col min="6659" max="6659" width="11" customWidth="1"/>
    <col min="6660" max="6660" width="11.140625" customWidth="1"/>
    <col min="6661" max="6661" width="12.5703125" customWidth="1"/>
    <col min="6662" max="6662" width="11.85546875" customWidth="1"/>
    <col min="6663" max="6664" width="9" customWidth="1"/>
    <col min="6665" max="6665" width="8.5703125" customWidth="1"/>
    <col min="6910" max="6910" width="39.42578125" customWidth="1"/>
    <col min="6911" max="6911" width="10.28515625" bestFit="1" customWidth="1"/>
    <col min="6912" max="6912" width="9" bestFit="1" customWidth="1"/>
    <col min="6913" max="6913" width="10.28515625" bestFit="1" customWidth="1"/>
    <col min="6914" max="6914" width="9" bestFit="1" customWidth="1"/>
    <col min="6915" max="6915" width="11" customWidth="1"/>
    <col min="6916" max="6916" width="11.140625" customWidth="1"/>
    <col min="6917" max="6917" width="12.5703125" customWidth="1"/>
    <col min="6918" max="6918" width="11.85546875" customWidth="1"/>
    <col min="6919" max="6920" width="9" customWidth="1"/>
    <col min="6921" max="6921" width="8.5703125" customWidth="1"/>
    <col min="7166" max="7166" width="39.42578125" customWidth="1"/>
    <col min="7167" max="7167" width="10.28515625" bestFit="1" customWidth="1"/>
    <col min="7168" max="7168" width="9" bestFit="1" customWidth="1"/>
    <col min="7169" max="7169" width="10.28515625" bestFit="1" customWidth="1"/>
    <col min="7170" max="7170" width="9" bestFit="1" customWidth="1"/>
    <col min="7171" max="7171" width="11" customWidth="1"/>
    <col min="7172" max="7172" width="11.140625" customWidth="1"/>
    <col min="7173" max="7173" width="12.5703125" customWidth="1"/>
    <col min="7174" max="7174" width="11.85546875" customWidth="1"/>
    <col min="7175" max="7176" width="9" customWidth="1"/>
    <col min="7177" max="7177" width="8.5703125" customWidth="1"/>
    <col min="7422" max="7422" width="39.42578125" customWidth="1"/>
    <col min="7423" max="7423" width="10.28515625" bestFit="1" customWidth="1"/>
    <col min="7424" max="7424" width="9" bestFit="1" customWidth="1"/>
    <col min="7425" max="7425" width="10.28515625" bestFit="1" customWidth="1"/>
    <col min="7426" max="7426" width="9" bestFit="1" customWidth="1"/>
    <col min="7427" max="7427" width="11" customWidth="1"/>
    <col min="7428" max="7428" width="11.140625" customWidth="1"/>
    <col min="7429" max="7429" width="12.5703125" customWidth="1"/>
    <col min="7430" max="7430" width="11.85546875" customWidth="1"/>
    <col min="7431" max="7432" width="9" customWidth="1"/>
    <col min="7433" max="7433" width="8.5703125" customWidth="1"/>
    <col min="7678" max="7678" width="39.42578125" customWidth="1"/>
    <col min="7679" max="7679" width="10.28515625" bestFit="1" customWidth="1"/>
    <col min="7680" max="7680" width="9" bestFit="1" customWidth="1"/>
    <col min="7681" max="7681" width="10.28515625" bestFit="1" customWidth="1"/>
    <col min="7682" max="7682" width="9" bestFit="1" customWidth="1"/>
    <col min="7683" max="7683" width="11" customWidth="1"/>
    <col min="7684" max="7684" width="11.140625" customWidth="1"/>
    <col min="7685" max="7685" width="12.5703125" customWidth="1"/>
    <col min="7686" max="7686" width="11.85546875" customWidth="1"/>
    <col min="7687" max="7688" width="9" customWidth="1"/>
    <col min="7689" max="7689" width="8.5703125" customWidth="1"/>
    <col min="7934" max="7934" width="39.42578125" customWidth="1"/>
    <col min="7935" max="7935" width="10.28515625" bestFit="1" customWidth="1"/>
    <col min="7936" max="7936" width="9" bestFit="1" customWidth="1"/>
    <col min="7937" max="7937" width="10.28515625" bestFit="1" customWidth="1"/>
    <col min="7938" max="7938" width="9" bestFit="1" customWidth="1"/>
    <col min="7939" max="7939" width="11" customWidth="1"/>
    <col min="7940" max="7940" width="11.140625" customWidth="1"/>
    <col min="7941" max="7941" width="12.5703125" customWidth="1"/>
    <col min="7942" max="7942" width="11.85546875" customWidth="1"/>
    <col min="7943" max="7944" width="9" customWidth="1"/>
    <col min="7945" max="7945" width="8.5703125" customWidth="1"/>
    <col min="8190" max="8190" width="39.42578125" customWidth="1"/>
    <col min="8191" max="8191" width="10.28515625" bestFit="1" customWidth="1"/>
    <col min="8192" max="8192" width="9" bestFit="1" customWidth="1"/>
    <col min="8193" max="8193" width="10.28515625" bestFit="1" customWidth="1"/>
    <col min="8194" max="8194" width="9" bestFit="1" customWidth="1"/>
    <col min="8195" max="8195" width="11" customWidth="1"/>
    <col min="8196" max="8196" width="11.140625" customWidth="1"/>
    <col min="8197" max="8197" width="12.5703125" customWidth="1"/>
    <col min="8198" max="8198" width="11.85546875" customWidth="1"/>
    <col min="8199" max="8200" width="9" customWidth="1"/>
    <col min="8201" max="8201" width="8.5703125" customWidth="1"/>
    <col min="8446" max="8446" width="39.42578125" customWidth="1"/>
    <col min="8447" max="8447" width="10.28515625" bestFit="1" customWidth="1"/>
    <col min="8448" max="8448" width="9" bestFit="1" customWidth="1"/>
    <col min="8449" max="8449" width="10.28515625" bestFit="1" customWidth="1"/>
    <col min="8450" max="8450" width="9" bestFit="1" customWidth="1"/>
    <col min="8451" max="8451" width="11" customWidth="1"/>
    <col min="8452" max="8452" width="11.140625" customWidth="1"/>
    <col min="8453" max="8453" width="12.5703125" customWidth="1"/>
    <col min="8454" max="8454" width="11.85546875" customWidth="1"/>
    <col min="8455" max="8456" width="9" customWidth="1"/>
    <col min="8457" max="8457" width="8.5703125" customWidth="1"/>
    <col min="8702" max="8702" width="39.42578125" customWidth="1"/>
    <col min="8703" max="8703" width="10.28515625" bestFit="1" customWidth="1"/>
    <col min="8704" max="8704" width="9" bestFit="1" customWidth="1"/>
    <col min="8705" max="8705" width="10.28515625" bestFit="1" customWidth="1"/>
    <col min="8706" max="8706" width="9" bestFit="1" customWidth="1"/>
    <col min="8707" max="8707" width="11" customWidth="1"/>
    <col min="8708" max="8708" width="11.140625" customWidth="1"/>
    <col min="8709" max="8709" width="12.5703125" customWidth="1"/>
    <col min="8710" max="8710" width="11.85546875" customWidth="1"/>
    <col min="8711" max="8712" width="9" customWidth="1"/>
    <col min="8713" max="8713" width="8.5703125" customWidth="1"/>
    <col min="8958" max="8958" width="39.42578125" customWidth="1"/>
    <col min="8959" max="8959" width="10.28515625" bestFit="1" customWidth="1"/>
    <col min="8960" max="8960" width="9" bestFit="1" customWidth="1"/>
    <col min="8961" max="8961" width="10.28515625" bestFit="1" customWidth="1"/>
    <col min="8962" max="8962" width="9" bestFit="1" customWidth="1"/>
    <col min="8963" max="8963" width="11" customWidth="1"/>
    <col min="8964" max="8964" width="11.140625" customWidth="1"/>
    <col min="8965" max="8965" width="12.5703125" customWidth="1"/>
    <col min="8966" max="8966" width="11.85546875" customWidth="1"/>
    <col min="8967" max="8968" width="9" customWidth="1"/>
    <col min="8969" max="8969" width="8.5703125" customWidth="1"/>
    <col min="9214" max="9214" width="39.42578125" customWidth="1"/>
    <col min="9215" max="9215" width="10.28515625" bestFit="1" customWidth="1"/>
    <col min="9216" max="9216" width="9" bestFit="1" customWidth="1"/>
    <col min="9217" max="9217" width="10.28515625" bestFit="1" customWidth="1"/>
    <col min="9218" max="9218" width="9" bestFit="1" customWidth="1"/>
    <col min="9219" max="9219" width="11" customWidth="1"/>
    <col min="9220" max="9220" width="11.140625" customWidth="1"/>
    <col min="9221" max="9221" width="12.5703125" customWidth="1"/>
    <col min="9222" max="9222" width="11.85546875" customWidth="1"/>
    <col min="9223" max="9224" width="9" customWidth="1"/>
    <col min="9225" max="9225" width="8.5703125" customWidth="1"/>
    <col min="9470" max="9470" width="39.42578125" customWidth="1"/>
    <col min="9471" max="9471" width="10.28515625" bestFit="1" customWidth="1"/>
    <col min="9472" max="9472" width="9" bestFit="1" customWidth="1"/>
    <col min="9473" max="9473" width="10.28515625" bestFit="1" customWidth="1"/>
    <col min="9474" max="9474" width="9" bestFit="1" customWidth="1"/>
    <col min="9475" max="9475" width="11" customWidth="1"/>
    <col min="9476" max="9476" width="11.140625" customWidth="1"/>
    <col min="9477" max="9477" width="12.5703125" customWidth="1"/>
    <col min="9478" max="9478" width="11.85546875" customWidth="1"/>
    <col min="9479" max="9480" width="9" customWidth="1"/>
    <col min="9481" max="9481" width="8.5703125" customWidth="1"/>
    <col min="9726" max="9726" width="39.42578125" customWidth="1"/>
    <col min="9727" max="9727" width="10.28515625" bestFit="1" customWidth="1"/>
    <col min="9728" max="9728" width="9" bestFit="1" customWidth="1"/>
    <col min="9729" max="9729" width="10.28515625" bestFit="1" customWidth="1"/>
    <col min="9730" max="9730" width="9" bestFit="1" customWidth="1"/>
    <col min="9731" max="9731" width="11" customWidth="1"/>
    <col min="9732" max="9732" width="11.140625" customWidth="1"/>
    <col min="9733" max="9733" width="12.5703125" customWidth="1"/>
    <col min="9734" max="9734" width="11.85546875" customWidth="1"/>
    <col min="9735" max="9736" width="9" customWidth="1"/>
    <col min="9737" max="9737" width="8.5703125" customWidth="1"/>
    <col min="9982" max="9982" width="39.42578125" customWidth="1"/>
    <col min="9983" max="9983" width="10.28515625" bestFit="1" customWidth="1"/>
    <col min="9984" max="9984" width="9" bestFit="1" customWidth="1"/>
    <col min="9985" max="9985" width="10.28515625" bestFit="1" customWidth="1"/>
    <col min="9986" max="9986" width="9" bestFit="1" customWidth="1"/>
    <col min="9987" max="9987" width="11" customWidth="1"/>
    <col min="9988" max="9988" width="11.140625" customWidth="1"/>
    <col min="9989" max="9989" width="12.5703125" customWidth="1"/>
    <col min="9990" max="9990" width="11.85546875" customWidth="1"/>
    <col min="9991" max="9992" width="9" customWidth="1"/>
    <col min="9993" max="9993" width="8.5703125" customWidth="1"/>
    <col min="10238" max="10238" width="39.42578125" customWidth="1"/>
    <col min="10239" max="10239" width="10.28515625" bestFit="1" customWidth="1"/>
    <col min="10240" max="10240" width="9" bestFit="1" customWidth="1"/>
    <col min="10241" max="10241" width="10.28515625" bestFit="1" customWidth="1"/>
    <col min="10242" max="10242" width="9" bestFit="1" customWidth="1"/>
    <col min="10243" max="10243" width="11" customWidth="1"/>
    <col min="10244" max="10244" width="11.140625" customWidth="1"/>
    <col min="10245" max="10245" width="12.5703125" customWidth="1"/>
    <col min="10246" max="10246" width="11.85546875" customWidth="1"/>
    <col min="10247" max="10248" width="9" customWidth="1"/>
    <col min="10249" max="10249" width="8.5703125" customWidth="1"/>
    <col min="10494" max="10494" width="39.42578125" customWidth="1"/>
    <col min="10495" max="10495" width="10.28515625" bestFit="1" customWidth="1"/>
    <col min="10496" max="10496" width="9" bestFit="1" customWidth="1"/>
    <col min="10497" max="10497" width="10.28515625" bestFit="1" customWidth="1"/>
    <col min="10498" max="10498" width="9" bestFit="1" customWidth="1"/>
    <col min="10499" max="10499" width="11" customWidth="1"/>
    <col min="10500" max="10500" width="11.140625" customWidth="1"/>
    <col min="10501" max="10501" width="12.5703125" customWidth="1"/>
    <col min="10502" max="10502" width="11.85546875" customWidth="1"/>
    <col min="10503" max="10504" width="9" customWidth="1"/>
    <col min="10505" max="10505" width="8.5703125" customWidth="1"/>
    <col min="10750" max="10750" width="39.42578125" customWidth="1"/>
    <col min="10751" max="10751" width="10.28515625" bestFit="1" customWidth="1"/>
    <col min="10752" max="10752" width="9" bestFit="1" customWidth="1"/>
    <col min="10753" max="10753" width="10.28515625" bestFit="1" customWidth="1"/>
    <col min="10754" max="10754" width="9" bestFit="1" customWidth="1"/>
    <col min="10755" max="10755" width="11" customWidth="1"/>
    <col min="10756" max="10756" width="11.140625" customWidth="1"/>
    <col min="10757" max="10757" width="12.5703125" customWidth="1"/>
    <col min="10758" max="10758" width="11.85546875" customWidth="1"/>
    <col min="10759" max="10760" width="9" customWidth="1"/>
    <col min="10761" max="10761" width="8.5703125" customWidth="1"/>
    <col min="11006" max="11006" width="39.42578125" customWidth="1"/>
    <col min="11007" max="11007" width="10.28515625" bestFit="1" customWidth="1"/>
    <col min="11008" max="11008" width="9" bestFit="1" customWidth="1"/>
    <col min="11009" max="11009" width="10.28515625" bestFit="1" customWidth="1"/>
    <col min="11010" max="11010" width="9" bestFit="1" customWidth="1"/>
    <col min="11011" max="11011" width="11" customWidth="1"/>
    <col min="11012" max="11012" width="11.140625" customWidth="1"/>
    <col min="11013" max="11013" width="12.5703125" customWidth="1"/>
    <col min="11014" max="11014" width="11.85546875" customWidth="1"/>
    <col min="11015" max="11016" width="9" customWidth="1"/>
    <col min="11017" max="11017" width="8.5703125" customWidth="1"/>
    <col min="11262" max="11262" width="39.42578125" customWidth="1"/>
    <col min="11263" max="11263" width="10.28515625" bestFit="1" customWidth="1"/>
    <col min="11264" max="11264" width="9" bestFit="1" customWidth="1"/>
    <col min="11265" max="11265" width="10.28515625" bestFit="1" customWidth="1"/>
    <col min="11266" max="11266" width="9" bestFit="1" customWidth="1"/>
    <col min="11267" max="11267" width="11" customWidth="1"/>
    <col min="11268" max="11268" width="11.140625" customWidth="1"/>
    <col min="11269" max="11269" width="12.5703125" customWidth="1"/>
    <col min="11270" max="11270" width="11.85546875" customWidth="1"/>
    <col min="11271" max="11272" width="9" customWidth="1"/>
    <col min="11273" max="11273" width="8.5703125" customWidth="1"/>
    <col min="11518" max="11518" width="39.42578125" customWidth="1"/>
    <col min="11519" max="11519" width="10.28515625" bestFit="1" customWidth="1"/>
    <col min="11520" max="11520" width="9" bestFit="1" customWidth="1"/>
    <col min="11521" max="11521" width="10.28515625" bestFit="1" customWidth="1"/>
    <col min="11522" max="11522" width="9" bestFit="1" customWidth="1"/>
    <col min="11523" max="11523" width="11" customWidth="1"/>
    <col min="11524" max="11524" width="11.140625" customWidth="1"/>
    <col min="11525" max="11525" width="12.5703125" customWidth="1"/>
    <col min="11526" max="11526" width="11.85546875" customWidth="1"/>
    <col min="11527" max="11528" width="9" customWidth="1"/>
    <col min="11529" max="11529" width="8.5703125" customWidth="1"/>
    <col min="11774" max="11774" width="39.42578125" customWidth="1"/>
    <col min="11775" max="11775" width="10.28515625" bestFit="1" customWidth="1"/>
    <col min="11776" max="11776" width="9" bestFit="1" customWidth="1"/>
    <col min="11777" max="11777" width="10.28515625" bestFit="1" customWidth="1"/>
    <col min="11778" max="11778" width="9" bestFit="1" customWidth="1"/>
    <col min="11779" max="11779" width="11" customWidth="1"/>
    <col min="11780" max="11780" width="11.140625" customWidth="1"/>
    <col min="11781" max="11781" width="12.5703125" customWidth="1"/>
    <col min="11782" max="11782" width="11.85546875" customWidth="1"/>
    <col min="11783" max="11784" width="9" customWidth="1"/>
    <col min="11785" max="11785" width="8.5703125" customWidth="1"/>
    <col min="12030" max="12030" width="39.42578125" customWidth="1"/>
    <col min="12031" max="12031" width="10.28515625" bestFit="1" customWidth="1"/>
    <col min="12032" max="12032" width="9" bestFit="1" customWidth="1"/>
    <col min="12033" max="12033" width="10.28515625" bestFit="1" customWidth="1"/>
    <col min="12034" max="12034" width="9" bestFit="1" customWidth="1"/>
    <col min="12035" max="12035" width="11" customWidth="1"/>
    <col min="12036" max="12036" width="11.140625" customWidth="1"/>
    <col min="12037" max="12037" width="12.5703125" customWidth="1"/>
    <col min="12038" max="12038" width="11.85546875" customWidth="1"/>
    <col min="12039" max="12040" width="9" customWidth="1"/>
    <col min="12041" max="12041" width="8.5703125" customWidth="1"/>
    <col min="12286" max="12286" width="39.42578125" customWidth="1"/>
    <col min="12287" max="12287" width="10.28515625" bestFit="1" customWidth="1"/>
    <col min="12288" max="12288" width="9" bestFit="1" customWidth="1"/>
    <col min="12289" max="12289" width="10.28515625" bestFit="1" customWidth="1"/>
    <col min="12290" max="12290" width="9" bestFit="1" customWidth="1"/>
    <col min="12291" max="12291" width="11" customWidth="1"/>
    <col min="12292" max="12292" width="11.140625" customWidth="1"/>
    <col min="12293" max="12293" width="12.5703125" customWidth="1"/>
    <col min="12294" max="12294" width="11.85546875" customWidth="1"/>
    <col min="12295" max="12296" width="9" customWidth="1"/>
    <col min="12297" max="12297" width="8.5703125" customWidth="1"/>
    <col min="12542" max="12542" width="39.42578125" customWidth="1"/>
    <col min="12543" max="12543" width="10.28515625" bestFit="1" customWidth="1"/>
    <col min="12544" max="12544" width="9" bestFit="1" customWidth="1"/>
    <col min="12545" max="12545" width="10.28515625" bestFit="1" customWidth="1"/>
    <col min="12546" max="12546" width="9" bestFit="1" customWidth="1"/>
    <col min="12547" max="12547" width="11" customWidth="1"/>
    <col min="12548" max="12548" width="11.140625" customWidth="1"/>
    <col min="12549" max="12549" width="12.5703125" customWidth="1"/>
    <col min="12550" max="12550" width="11.85546875" customWidth="1"/>
    <col min="12551" max="12552" width="9" customWidth="1"/>
    <col min="12553" max="12553" width="8.5703125" customWidth="1"/>
    <col min="12798" max="12798" width="39.42578125" customWidth="1"/>
    <col min="12799" max="12799" width="10.28515625" bestFit="1" customWidth="1"/>
    <col min="12800" max="12800" width="9" bestFit="1" customWidth="1"/>
    <col min="12801" max="12801" width="10.28515625" bestFit="1" customWidth="1"/>
    <col min="12802" max="12802" width="9" bestFit="1" customWidth="1"/>
    <col min="12803" max="12803" width="11" customWidth="1"/>
    <col min="12804" max="12804" width="11.140625" customWidth="1"/>
    <col min="12805" max="12805" width="12.5703125" customWidth="1"/>
    <col min="12806" max="12806" width="11.85546875" customWidth="1"/>
    <col min="12807" max="12808" width="9" customWidth="1"/>
    <col min="12809" max="12809" width="8.5703125" customWidth="1"/>
    <col min="13054" max="13054" width="39.42578125" customWidth="1"/>
    <col min="13055" max="13055" width="10.28515625" bestFit="1" customWidth="1"/>
    <col min="13056" max="13056" width="9" bestFit="1" customWidth="1"/>
    <col min="13057" max="13057" width="10.28515625" bestFit="1" customWidth="1"/>
    <col min="13058" max="13058" width="9" bestFit="1" customWidth="1"/>
    <col min="13059" max="13059" width="11" customWidth="1"/>
    <col min="13060" max="13060" width="11.140625" customWidth="1"/>
    <col min="13061" max="13061" width="12.5703125" customWidth="1"/>
    <col min="13062" max="13062" width="11.85546875" customWidth="1"/>
    <col min="13063" max="13064" width="9" customWidth="1"/>
    <col min="13065" max="13065" width="8.5703125" customWidth="1"/>
    <col min="13310" max="13310" width="39.42578125" customWidth="1"/>
    <col min="13311" max="13311" width="10.28515625" bestFit="1" customWidth="1"/>
    <col min="13312" max="13312" width="9" bestFit="1" customWidth="1"/>
    <col min="13313" max="13313" width="10.28515625" bestFit="1" customWidth="1"/>
    <col min="13314" max="13314" width="9" bestFit="1" customWidth="1"/>
    <col min="13315" max="13315" width="11" customWidth="1"/>
    <col min="13316" max="13316" width="11.140625" customWidth="1"/>
    <col min="13317" max="13317" width="12.5703125" customWidth="1"/>
    <col min="13318" max="13318" width="11.85546875" customWidth="1"/>
    <col min="13319" max="13320" width="9" customWidth="1"/>
    <col min="13321" max="13321" width="8.5703125" customWidth="1"/>
    <col min="13566" max="13566" width="39.42578125" customWidth="1"/>
    <col min="13567" max="13567" width="10.28515625" bestFit="1" customWidth="1"/>
    <col min="13568" max="13568" width="9" bestFit="1" customWidth="1"/>
    <col min="13569" max="13569" width="10.28515625" bestFit="1" customWidth="1"/>
    <col min="13570" max="13570" width="9" bestFit="1" customWidth="1"/>
    <col min="13571" max="13571" width="11" customWidth="1"/>
    <col min="13572" max="13572" width="11.140625" customWidth="1"/>
    <col min="13573" max="13573" width="12.5703125" customWidth="1"/>
    <col min="13574" max="13574" width="11.85546875" customWidth="1"/>
    <col min="13575" max="13576" width="9" customWidth="1"/>
    <col min="13577" max="13577" width="8.5703125" customWidth="1"/>
    <col min="13822" max="13822" width="39.42578125" customWidth="1"/>
    <col min="13823" max="13823" width="10.28515625" bestFit="1" customWidth="1"/>
    <col min="13824" max="13824" width="9" bestFit="1" customWidth="1"/>
    <col min="13825" max="13825" width="10.28515625" bestFit="1" customWidth="1"/>
    <col min="13826" max="13826" width="9" bestFit="1" customWidth="1"/>
    <col min="13827" max="13827" width="11" customWidth="1"/>
    <col min="13828" max="13828" width="11.140625" customWidth="1"/>
    <col min="13829" max="13829" width="12.5703125" customWidth="1"/>
    <col min="13830" max="13830" width="11.85546875" customWidth="1"/>
    <col min="13831" max="13832" width="9" customWidth="1"/>
    <col min="13833" max="13833" width="8.5703125" customWidth="1"/>
    <col min="14078" max="14078" width="39.42578125" customWidth="1"/>
    <col min="14079" max="14079" width="10.28515625" bestFit="1" customWidth="1"/>
    <col min="14080" max="14080" width="9" bestFit="1" customWidth="1"/>
    <col min="14081" max="14081" width="10.28515625" bestFit="1" customWidth="1"/>
    <col min="14082" max="14082" width="9" bestFit="1" customWidth="1"/>
    <col min="14083" max="14083" width="11" customWidth="1"/>
    <col min="14084" max="14084" width="11.140625" customWidth="1"/>
    <col min="14085" max="14085" width="12.5703125" customWidth="1"/>
    <col min="14086" max="14086" width="11.85546875" customWidth="1"/>
    <col min="14087" max="14088" width="9" customWidth="1"/>
    <col min="14089" max="14089" width="8.5703125" customWidth="1"/>
    <col min="14334" max="14334" width="39.42578125" customWidth="1"/>
    <col min="14335" max="14335" width="10.28515625" bestFit="1" customWidth="1"/>
    <col min="14336" max="14336" width="9" bestFit="1" customWidth="1"/>
    <col min="14337" max="14337" width="10.28515625" bestFit="1" customWidth="1"/>
    <col min="14338" max="14338" width="9" bestFit="1" customWidth="1"/>
    <col min="14339" max="14339" width="11" customWidth="1"/>
    <col min="14340" max="14340" width="11.140625" customWidth="1"/>
    <col min="14341" max="14341" width="12.5703125" customWidth="1"/>
    <col min="14342" max="14342" width="11.85546875" customWidth="1"/>
    <col min="14343" max="14344" width="9" customWidth="1"/>
    <col min="14345" max="14345" width="8.5703125" customWidth="1"/>
    <col min="14590" max="14590" width="39.42578125" customWidth="1"/>
    <col min="14591" max="14591" width="10.28515625" bestFit="1" customWidth="1"/>
    <col min="14592" max="14592" width="9" bestFit="1" customWidth="1"/>
    <col min="14593" max="14593" width="10.28515625" bestFit="1" customWidth="1"/>
    <col min="14594" max="14594" width="9" bestFit="1" customWidth="1"/>
    <col min="14595" max="14595" width="11" customWidth="1"/>
    <col min="14596" max="14596" width="11.140625" customWidth="1"/>
    <col min="14597" max="14597" width="12.5703125" customWidth="1"/>
    <col min="14598" max="14598" width="11.85546875" customWidth="1"/>
    <col min="14599" max="14600" width="9" customWidth="1"/>
    <col min="14601" max="14601" width="8.5703125" customWidth="1"/>
    <col min="14846" max="14846" width="39.42578125" customWidth="1"/>
    <col min="14847" max="14847" width="10.28515625" bestFit="1" customWidth="1"/>
    <col min="14848" max="14848" width="9" bestFit="1" customWidth="1"/>
    <col min="14849" max="14849" width="10.28515625" bestFit="1" customWidth="1"/>
    <col min="14850" max="14850" width="9" bestFit="1" customWidth="1"/>
    <col min="14851" max="14851" width="11" customWidth="1"/>
    <col min="14852" max="14852" width="11.140625" customWidth="1"/>
    <col min="14853" max="14853" width="12.5703125" customWidth="1"/>
    <col min="14854" max="14854" width="11.85546875" customWidth="1"/>
    <col min="14855" max="14856" width="9" customWidth="1"/>
    <col min="14857" max="14857" width="8.5703125" customWidth="1"/>
    <col min="15102" max="15102" width="39.42578125" customWidth="1"/>
    <col min="15103" max="15103" width="10.28515625" bestFit="1" customWidth="1"/>
    <col min="15104" max="15104" width="9" bestFit="1" customWidth="1"/>
    <col min="15105" max="15105" width="10.28515625" bestFit="1" customWidth="1"/>
    <col min="15106" max="15106" width="9" bestFit="1" customWidth="1"/>
    <col min="15107" max="15107" width="11" customWidth="1"/>
    <col min="15108" max="15108" width="11.140625" customWidth="1"/>
    <col min="15109" max="15109" width="12.5703125" customWidth="1"/>
    <col min="15110" max="15110" width="11.85546875" customWidth="1"/>
    <col min="15111" max="15112" width="9" customWidth="1"/>
    <col min="15113" max="15113" width="8.5703125" customWidth="1"/>
    <col min="15358" max="15358" width="39.42578125" customWidth="1"/>
    <col min="15359" max="15359" width="10.28515625" bestFit="1" customWidth="1"/>
    <col min="15360" max="15360" width="9" bestFit="1" customWidth="1"/>
    <col min="15361" max="15361" width="10.28515625" bestFit="1" customWidth="1"/>
    <col min="15362" max="15362" width="9" bestFit="1" customWidth="1"/>
    <col min="15363" max="15363" width="11" customWidth="1"/>
    <col min="15364" max="15364" width="11.140625" customWidth="1"/>
    <col min="15365" max="15365" width="12.5703125" customWidth="1"/>
    <col min="15366" max="15366" width="11.85546875" customWidth="1"/>
    <col min="15367" max="15368" width="9" customWidth="1"/>
    <col min="15369" max="15369" width="8.5703125" customWidth="1"/>
    <col min="15614" max="15614" width="39.42578125" customWidth="1"/>
    <col min="15615" max="15615" width="10.28515625" bestFit="1" customWidth="1"/>
    <col min="15616" max="15616" width="9" bestFit="1" customWidth="1"/>
    <col min="15617" max="15617" width="10.28515625" bestFit="1" customWidth="1"/>
    <col min="15618" max="15618" width="9" bestFit="1" customWidth="1"/>
    <col min="15619" max="15619" width="11" customWidth="1"/>
    <col min="15620" max="15620" width="11.140625" customWidth="1"/>
    <col min="15621" max="15621" width="12.5703125" customWidth="1"/>
    <col min="15622" max="15622" width="11.85546875" customWidth="1"/>
    <col min="15623" max="15624" width="9" customWidth="1"/>
    <col min="15625" max="15625" width="8.5703125" customWidth="1"/>
    <col min="15870" max="15870" width="39.42578125" customWidth="1"/>
    <col min="15871" max="15871" width="10.28515625" bestFit="1" customWidth="1"/>
    <col min="15872" max="15872" width="9" bestFit="1" customWidth="1"/>
    <col min="15873" max="15873" width="10.28515625" bestFit="1" customWidth="1"/>
    <col min="15874" max="15874" width="9" bestFit="1" customWidth="1"/>
    <col min="15875" max="15875" width="11" customWidth="1"/>
    <col min="15876" max="15876" width="11.140625" customWidth="1"/>
    <col min="15877" max="15877" width="12.5703125" customWidth="1"/>
    <col min="15878" max="15878" width="11.85546875" customWidth="1"/>
    <col min="15879" max="15880" width="9" customWidth="1"/>
    <col min="15881" max="15881" width="8.5703125" customWidth="1"/>
    <col min="16126" max="16126" width="39.42578125" customWidth="1"/>
    <col min="16127" max="16127" width="10.28515625" bestFit="1" customWidth="1"/>
    <col min="16128" max="16128" width="9" bestFit="1" customWidth="1"/>
    <col min="16129" max="16129" width="10.28515625" bestFit="1" customWidth="1"/>
    <col min="16130" max="16130" width="9" bestFit="1" customWidth="1"/>
    <col min="16131" max="16131" width="11" customWidth="1"/>
    <col min="16132" max="16132" width="11.140625" customWidth="1"/>
    <col min="16133" max="16133" width="12.5703125" customWidth="1"/>
    <col min="16134" max="16134" width="11.85546875" customWidth="1"/>
    <col min="16135" max="16136" width="9" customWidth="1"/>
    <col min="16137" max="16137" width="8.5703125" customWidth="1"/>
  </cols>
  <sheetData>
    <row r="1" spans="1:13">
      <c r="A1" s="1261" t="s">
        <v>480</v>
      </c>
      <c r="B1" s="1261"/>
      <c r="C1" s="1261"/>
      <c r="D1" s="1261"/>
      <c r="E1" s="1261"/>
      <c r="F1" s="1261"/>
      <c r="G1" s="1261"/>
      <c r="H1" s="1261"/>
      <c r="I1" s="1261"/>
      <c r="J1" s="1261"/>
      <c r="K1" s="1261"/>
      <c r="L1" s="1261"/>
    </row>
    <row r="2" spans="1:13">
      <c r="A2" s="1288" t="s">
        <v>459</v>
      </c>
      <c r="B2" s="1288"/>
      <c r="C2" s="1288"/>
      <c r="D2" s="1288"/>
      <c r="E2" s="1288"/>
      <c r="F2" s="1288"/>
      <c r="G2" s="1288"/>
      <c r="H2" s="1288"/>
      <c r="I2" s="1288"/>
      <c r="J2" s="1288"/>
      <c r="K2" s="1288"/>
      <c r="L2" s="1288"/>
    </row>
    <row r="3" spans="1:13" ht="13.5" thickBot="1">
      <c r="A3" s="1298" t="s">
        <v>460</v>
      </c>
      <c r="B3" s="1298"/>
      <c r="C3" s="1298"/>
      <c r="D3" s="1298"/>
      <c r="E3" s="1298"/>
      <c r="F3" s="1298"/>
      <c r="G3" s="1298"/>
      <c r="H3" s="1298"/>
      <c r="I3" s="1298"/>
      <c r="J3" s="1298"/>
      <c r="K3" s="1298"/>
      <c r="L3" s="1298"/>
    </row>
    <row r="4" spans="1:13" ht="19.5" customHeight="1" thickBot="1">
      <c r="A4" s="1289" t="s">
        <v>379</v>
      </c>
      <c r="B4" s="1282" t="s">
        <v>380</v>
      </c>
      <c r="C4" s="1292"/>
      <c r="D4" s="1292"/>
      <c r="E4" s="1283"/>
      <c r="F4" s="1293" t="s">
        <v>410</v>
      </c>
      <c r="G4" s="1293" t="s">
        <v>381</v>
      </c>
      <c r="H4" s="1293" t="s">
        <v>382</v>
      </c>
      <c r="I4" s="1293" t="s">
        <v>383</v>
      </c>
      <c r="J4" s="1293" t="s">
        <v>384</v>
      </c>
      <c r="K4" s="1296" t="s">
        <v>407</v>
      </c>
      <c r="L4" s="1297"/>
    </row>
    <row r="5" spans="1:13" ht="19.5" customHeight="1" thickBot="1">
      <c r="A5" s="1290"/>
      <c r="B5" s="1282" t="s">
        <v>385</v>
      </c>
      <c r="C5" s="1283"/>
      <c r="D5" s="1282" t="s">
        <v>386</v>
      </c>
      <c r="E5" s="1283"/>
      <c r="F5" s="1294"/>
      <c r="G5" s="1294"/>
      <c r="H5" s="1294"/>
      <c r="I5" s="1294"/>
      <c r="J5" s="1294"/>
      <c r="K5" s="1284" t="s">
        <v>387</v>
      </c>
      <c r="L5" s="1286" t="s">
        <v>388</v>
      </c>
    </row>
    <row r="6" spans="1:13" ht="15" customHeight="1" thickBot="1">
      <c r="A6" s="1291"/>
      <c r="B6" s="777" t="s">
        <v>389</v>
      </c>
      <c r="C6" s="777" t="s">
        <v>390</v>
      </c>
      <c r="D6" s="777" t="s">
        <v>389</v>
      </c>
      <c r="E6" s="777" t="s">
        <v>390</v>
      </c>
      <c r="F6" s="1295"/>
      <c r="G6" s="1295"/>
      <c r="H6" s="1295"/>
      <c r="I6" s="1295"/>
      <c r="J6" s="1295"/>
      <c r="K6" s="1285"/>
      <c r="L6" s="1287"/>
    </row>
    <row r="7" spans="1:13" ht="15" customHeight="1" thickBot="1">
      <c r="A7" s="659" t="s">
        <v>409</v>
      </c>
      <c r="B7" s="660">
        <f>(B14+B25+B27+B29+B31)/5</f>
        <v>8628.6940526802555</v>
      </c>
      <c r="C7" s="660">
        <f>(C14+C25+C27+C29+C31)/5</f>
        <v>363.7218031613408</v>
      </c>
      <c r="D7" s="660">
        <f>(D14+D25+D27+D29+D31)/5</f>
        <v>10662.385455096835</v>
      </c>
      <c r="E7" s="660">
        <f>(E14+E25+E27+E29+E31)/5</f>
        <v>437.19762923111193</v>
      </c>
      <c r="F7" s="656">
        <f>F12+F14+F25+F27+F29+F31</f>
        <v>1387351</v>
      </c>
      <c r="G7" s="633">
        <v>1497293</v>
      </c>
      <c r="H7" s="658">
        <f>(G7/$G$7)*100</f>
        <v>100</v>
      </c>
      <c r="I7" s="634">
        <f>(F7/G7)*100</f>
        <v>92.65728217523224</v>
      </c>
      <c r="J7" s="661">
        <f>Cotações!F21</f>
        <v>491.31</v>
      </c>
      <c r="K7" s="664">
        <f>(J7/C7-1)*100</f>
        <v>35.078512129244913</v>
      </c>
      <c r="L7" s="665">
        <f>(J7/E7-1)*100</f>
        <v>12.377096111901164</v>
      </c>
    </row>
    <row r="8" spans="1:13" ht="12.75" customHeight="1">
      <c r="A8" s="682" t="s">
        <v>391</v>
      </c>
      <c r="B8" s="674">
        <v>7381.7209588999913</v>
      </c>
      <c r="C8" s="674">
        <f>B8/50</f>
        <v>147.63441917799983</v>
      </c>
      <c r="D8" s="674">
        <v>10165.704286997299</v>
      </c>
      <c r="E8" s="732">
        <f>D8/50</f>
        <v>203.31408573994599</v>
      </c>
      <c r="F8" s="733">
        <v>9129</v>
      </c>
      <c r="G8" s="733">
        <v>9129</v>
      </c>
      <c r="H8" s="734">
        <f>(G8/$G$7)*100</f>
        <v>0.60970030581856727</v>
      </c>
      <c r="I8" s="734">
        <f>(F8/G8)*100</f>
        <v>100</v>
      </c>
      <c r="J8" s="735">
        <f>J7</f>
        <v>491.31</v>
      </c>
      <c r="K8" s="735">
        <f>(J8/C8-1)*100</f>
        <v>232.78825001345891</v>
      </c>
      <c r="L8" s="736">
        <f>(J8/E8-1)*100</f>
        <v>141.65074358321755</v>
      </c>
    </row>
    <row r="9" spans="1:13" ht="12.75" customHeight="1">
      <c r="A9" s="737" t="s">
        <v>404</v>
      </c>
      <c r="B9" s="675"/>
      <c r="C9" s="674"/>
      <c r="D9" s="674"/>
      <c r="E9" s="675"/>
      <c r="F9" s="688"/>
      <c r="G9" s="689"/>
      <c r="H9" s="738"/>
      <c r="I9" s="692"/>
      <c r="J9" s="739"/>
      <c r="K9" s="739"/>
      <c r="L9" s="681"/>
    </row>
    <row r="10" spans="1:13" ht="12.75" customHeight="1">
      <c r="A10" s="737" t="s">
        <v>403</v>
      </c>
      <c r="B10" s="674"/>
      <c r="C10" s="674"/>
      <c r="D10" s="674"/>
      <c r="E10" s="674"/>
      <c r="F10" s="689"/>
      <c r="G10" s="689"/>
      <c r="H10" s="738"/>
      <c r="I10" s="692"/>
      <c r="J10" s="739"/>
      <c r="K10" s="739"/>
      <c r="L10" s="681"/>
    </row>
    <row r="11" spans="1:13" ht="12.75" customHeight="1">
      <c r="A11" s="737" t="s">
        <v>411</v>
      </c>
      <c r="B11" s="675"/>
      <c r="C11" s="674"/>
      <c r="D11" s="674"/>
      <c r="E11" s="674"/>
      <c r="F11" s="689"/>
      <c r="G11" s="689"/>
      <c r="H11" s="738"/>
      <c r="I11" s="692"/>
      <c r="J11" s="739"/>
      <c r="K11" s="739"/>
      <c r="L11" s="681"/>
    </row>
    <row r="12" spans="1:13" ht="15" customHeight="1" thickBot="1">
      <c r="A12" s="740" t="s">
        <v>412</v>
      </c>
      <c r="B12" s="741"/>
      <c r="C12" s="741"/>
      <c r="D12" s="741"/>
      <c r="E12" s="741"/>
      <c r="F12" s="742">
        <v>9129</v>
      </c>
      <c r="G12" s="742">
        <f>143939-35228</f>
        <v>108711</v>
      </c>
      <c r="H12" s="728">
        <f>(G12/$G$7)*100</f>
        <v>7.2605027873635954</v>
      </c>
      <c r="I12" s="728">
        <f>(F12/G12)*100</f>
        <v>8.3974942738085385</v>
      </c>
      <c r="J12" s="730">
        <f>J7</f>
        <v>491.31</v>
      </c>
      <c r="K12" s="730"/>
      <c r="L12" s="731"/>
      <c r="M12" s="4"/>
    </row>
    <row r="13" spans="1:13" ht="12.75" customHeight="1">
      <c r="A13" s="744" t="s">
        <v>392</v>
      </c>
      <c r="B13" s="745">
        <v>9865.0274836317258</v>
      </c>
      <c r="C13" s="746">
        <f>B13/55</f>
        <v>179.36413606603136</v>
      </c>
      <c r="D13" s="746">
        <v>14725.536103803714</v>
      </c>
      <c r="E13" s="746">
        <f>D13/55</f>
        <v>267.7370200691584</v>
      </c>
      <c r="F13" s="747"/>
      <c r="G13" s="747"/>
      <c r="H13" s="748"/>
      <c r="I13" s="748"/>
      <c r="J13" s="749"/>
      <c r="K13" s="749"/>
      <c r="L13" s="750"/>
      <c r="M13" s="4"/>
    </row>
    <row r="14" spans="1:13" ht="15" customHeight="1" thickBot="1">
      <c r="A14" s="751" t="s">
        <v>405</v>
      </c>
      <c r="B14" s="752">
        <f>B13</f>
        <v>9865.0274836317258</v>
      </c>
      <c r="C14" s="752">
        <f>B14/36.81</f>
        <v>267.99857331246199</v>
      </c>
      <c r="D14" s="752">
        <f>D13</f>
        <v>14725.536103803714</v>
      </c>
      <c r="E14" s="752">
        <f>D14/36.81</f>
        <v>400.04173061134782</v>
      </c>
      <c r="F14" s="753">
        <v>6175</v>
      </c>
      <c r="G14" s="753">
        <v>6175</v>
      </c>
      <c r="H14" s="754">
        <f>(G14/$G$7)*100</f>
        <v>0.41241093092667902</v>
      </c>
      <c r="I14" s="755">
        <f>(F14/G14)*100</f>
        <v>100</v>
      </c>
      <c r="J14" s="756">
        <f>J7</f>
        <v>491.31</v>
      </c>
      <c r="K14" s="757">
        <f>(J14/C14-1)*100</f>
        <v>83.325602792361593</v>
      </c>
      <c r="L14" s="758">
        <f>(J14/E14-1)*100</f>
        <v>22.814687170054746</v>
      </c>
      <c r="M14" s="4"/>
    </row>
    <row r="15" spans="1:13" ht="12.75" customHeight="1">
      <c r="A15" s="666" t="s">
        <v>535</v>
      </c>
      <c r="B15" s="667">
        <f>(SUM(B16:B20)/5)</f>
        <v>9123.7190911086036</v>
      </c>
      <c r="C15" s="667">
        <f>B15/21.6</f>
        <v>422.39440236613905</v>
      </c>
      <c r="D15" s="667">
        <f>(SUM(D16:D20)/5)</f>
        <v>10627.452445005705</v>
      </c>
      <c r="E15" s="667">
        <f>D15/21.6</f>
        <v>492.01168726878262</v>
      </c>
      <c r="F15" s="668">
        <v>474611</v>
      </c>
      <c r="G15" s="668">
        <v>474611</v>
      </c>
      <c r="H15" s="669">
        <f>(G15/$G$7)*100</f>
        <v>31.697937544622196</v>
      </c>
      <c r="I15" s="669">
        <f>(G15/F25)*100</f>
        <v>49.05763156153872</v>
      </c>
      <c r="J15" s="670">
        <f>J7</f>
        <v>491.31</v>
      </c>
      <c r="K15" s="671">
        <f>(J15/C15-1)*100</f>
        <v>16.315461864033807</v>
      </c>
      <c r="L15" s="672">
        <f>(J15/E15-1)*100</f>
        <v>-0.14261597578663077</v>
      </c>
      <c r="M15" s="4"/>
    </row>
    <row r="16" spans="1:13" ht="24.75">
      <c r="A16" s="673" t="s">
        <v>417</v>
      </c>
      <c r="B16" s="674">
        <v>8277.2707793039899</v>
      </c>
      <c r="C16" s="674">
        <f>B16/30</f>
        <v>275.90902597679968</v>
      </c>
      <c r="D16" s="674">
        <v>10136.96191223457</v>
      </c>
      <c r="E16" s="675">
        <f>D16/30</f>
        <v>337.89873040781902</v>
      </c>
      <c r="F16" s="676"/>
      <c r="G16" s="677"/>
      <c r="H16" s="678"/>
      <c r="I16" s="679"/>
      <c r="J16" s="680"/>
      <c r="K16" s="680"/>
      <c r="L16" s="681"/>
      <c r="M16" s="4"/>
    </row>
    <row r="17" spans="1:13" ht="25.5" customHeight="1">
      <c r="A17" s="682" t="s">
        <v>418</v>
      </c>
      <c r="B17" s="674">
        <v>9371.9731178054026</v>
      </c>
      <c r="C17" s="674">
        <f>B17/25</f>
        <v>374.87892471221608</v>
      </c>
      <c r="D17" s="674">
        <v>11239.60232463393</v>
      </c>
      <c r="E17" s="674">
        <f>D17/25</f>
        <v>449.58409298535719</v>
      </c>
      <c r="F17" s="683"/>
      <c r="G17" s="684"/>
      <c r="H17" s="685"/>
      <c r="I17" s="679"/>
      <c r="J17" s="686"/>
      <c r="K17" s="687"/>
      <c r="L17" s="681"/>
      <c r="M17" s="4"/>
    </row>
    <row r="18" spans="1:13" ht="12.75" customHeight="1">
      <c r="A18" s="673" t="s">
        <v>419</v>
      </c>
      <c r="B18" s="674">
        <v>10104.812174317749</v>
      </c>
      <c r="C18" s="674">
        <f>B18/30</f>
        <v>336.8270724772583</v>
      </c>
      <c r="D18" s="674">
        <v>11391.086768953783</v>
      </c>
      <c r="E18" s="675">
        <f>D18/30</f>
        <v>379.7028922984594</v>
      </c>
      <c r="F18" s="688"/>
      <c r="G18" s="689"/>
      <c r="H18" s="690"/>
      <c r="I18" s="691"/>
      <c r="J18" s="690"/>
      <c r="K18" s="690"/>
      <c r="L18" s="681"/>
      <c r="M18" s="4"/>
    </row>
    <row r="19" spans="1:13" ht="12.75" customHeight="1">
      <c r="A19" s="673" t="s">
        <v>420</v>
      </c>
      <c r="B19" s="674">
        <v>7865.6937814894081</v>
      </c>
      <c r="C19" s="674">
        <f>B19/30</f>
        <v>262.1897927163136</v>
      </c>
      <c r="D19" s="674">
        <v>9096.1008591328555</v>
      </c>
      <c r="E19" s="675">
        <f>D19/30</f>
        <v>303.20336197109521</v>
      </c>
      <c r="F19" s="688"/>
      <c r="G19" s="689"/>
      <c r="H19" s="690"/>
      <c r="I19" s="692"/>
      <c r="J19" s="693"/>
      <c r="K19" s="693"/>
      <c r="L19" s="681"/>
      <c r="M19" s="4"/>
    </row>
    <row r="20" spans="1:13" ht="12.75" customHeight="1">
      <c r="A20" s="694" t="s">
        <v>421</v>
      </c>
      <c r="B20" s="695">
        <v>9998.8456026264757</v>
      </c>
      <c r="C20" s="695">
        <f>B20/30</f>
        <v>333.29485342088253</v>
      </c>
      <c r="D20" s="695">
        <v>11273.510360073386</v>
      </c>
      <c r="E20" s="695">
        <f>D20/30</f>
        <v>375.78367866911287</v>
      </c>
      <c r="F20" s="696"/>
      <c r="G20" s="696"/>
      <c r="H20" s="697"/>
      <c r="I20" s="698"/>
      <c r="J20" s="697"/>
      <c r="K20" s="697"/>
      <c r="L20" s="699"/>
      <c r="M20" s="4"/>
    </row>
    <row r="21" spans="1:13" ht="12.75" customHeight="1">
      <c r="A21" s="666" t="s">
        <v>536</v>
      </c>
      <c r="B21" s="667">
        <f>(SUM(B16:B20))/5</f>
        <v>9123.7190911086036</v>
      </c>
      <c r="C21" s="667">
        <f>B21/24.8</f>
        <v>367.89189883502434</v>
      </c>
      <c r="D21" s="667">
        <f>(SUM(D16:D20))/5</f>
        <v>10627.452445005705</v>
      </c>
      <c r="E21" s="667">
        <f>D21/24.8</f>
        <v>428.52630826635908</v>
      </c>
      <c r="F21" s="668">
        <v>170634</v>
      </c>
      <c r="G21" s="668">
        <v>170634</v>
      </c>
      <c r="H21" s="669">
        <f>(G21/$G$7)*100</f>
        <v>11.396166281415862</v>
      </c>
      <c r="I21" s="669">
        <f>(G21/F25)*100</f>
        <v>17.637391261204645</v>
      </c>
      <c r="J21" s="700">
        <f>J7</f>
        <v>491.31</v>
      </c>
      <c r="K21" s="671">
        <f>(J21/C21-1)*100</f>
        <v>33.547382140186976</v>
      </c>
      <c r="L21" s="672">
        <f>(J21/E21-1)*100</f>
        <v>14.651070546319044</v>
      </c>
      <c r="M21" s="4"/>
    </row>
    <row r="22" spans="1:13">
      <c r="A22" s="701" t="s">
        <v>422</v>
      </c>
      <c r="B22" s="702">
        <v>8294.1817208746215</v>
      </c>
      <c r="C22" s="702">
        <f>B22/30</f>
        <v>276.47272402915405</v>
      </c>
      <c r="D22" s="702">
        <v>9004.6177638512982</v>
      </c>
      <c r="E22" s="703">
        <f>D22/30</f>
        <v>300.15392546170995</v>
      </c>
      <c r="F22" s="704"/>
      <c r="G22" s="705"/>
      <c r="H22" s="706"/>
      <c r="I22" s="707"/>
      <c r="J22" s="708"/>
      <c r="K22" s="708"/>
      <c r="L22" s="709"/>
      <c r="M22" s="4"/>
    </row>
    <row r="23" spans="1:13" ht="12.75" customHeight="1">
      <c r="A23" s="666" t="s">
        <v>537</v>
      </c>
      <c r="B23" s="667">
        <f>B24</f>
        <v>7179.9342944174532</v>
      </c>
      <c r="C23" s="667">
        <f>B23/23.25</f>
        <v>308.81437825451411</v>
      </c>
      <c r="D23" s="667">
        <f>D24</f>
        <v>8428.9819157536185</v>
      </c>
      <c r="E23" s="667">
        <f>D23/23.25</f>
        <v>362.53685659155349</v>
      </c>
      <c r="F23" s="668">
        <v>288336</v>
      </c>
      <c r="G23" s="668">
        <v>288336</v>
      </c>
      <c r="H23" s="669">
        <f>(G23/$G$7)*100</f>
        <v>19.257152741647758</v>
      </c>
      <c r="I23" s="669">
        <f>(G23/F25)*100</f>
        <v>29.803525948466909</v>
      </c>
      <c r="J23" s="670">
        <f>J7</f>
        <v>491.31</v>
      </c>
      <c r="K23" s="671">
        <f>(J23/C23-1)*100</f>
        <v>59.095571513538573</v>
      </c>
      <c r="L23" s="672">
        <f>(J23/E23-1)*100</f>
        <v>35.520014328784995</v>
      </c>
      <c r="M23" s="4"/>
    </row>
    <row r="24" spans="1:13" s="560" customFormat="1" ht="12.75" customHeight="1">
      <c r="A24" s="694" t="s">
        <v>423</v>
      </c>
      <c r="B24" s="695">
        <v>7179.9342944174532</v>
      </c>
      <c r="C24" s="695">
        <f>B24/24</f>
        <v>299.16392893406055</v>
      </c>
      <c r="D24" s="695">
        <v>8428.9819157536185</v>
      </c>
      <c r="E24" s="710">
        <f>D24/24</f>
        <v>351.20757982306742</v>
      </c>
      <c r="F24" s="711"/>
      <c r="G24" s="696"/>
      <c r="H24" s="698"/>
      <c r="I24" s="698"/>
      <c r="J24" s="697"/>
      <c r="K24" s="697"/>
      <c r="L24" s="699"/>
      <c r="M24" s="645"/>
    </row>
    <row r="25" spans="1:13" ht="15" customHeight="1" thickBot="1">
      <c r="A25" s="712" t="s">
        <v>413</v>
      </c>
      <c r="B25" s="713">
        <f>(B15+B21+B23)/3</f>
        <v>8475.7908255448874</v>
      </c>
      <c r="C25" s="713">
        <f>B25/22.59</f>
        <v>375.20101042695387</v>
      </c>
      <c r="D25" s="713">
        <f>(D15+D21+D23)/3</f>
        <v>9894.6289352550102</v>
      </c>
      <c r="E25" s="713">
        <f>D25/22.59</f>
        <v>438.0092490152727</v>
      </c>
      <c r="F25" s="714">
        <v>967456</v>
      </c>
      <c r="G25" s="714">
        <v>967456</v>
      </c>
      <c r="H25" s="715">
        <f>H15+H23+H21</f>
        <v>62.351256567685809</v>
      </c>
      <c r="I25" s="716">
        <f>I15+I21+I23</f>
        <v>96.498548771210281</v>
      </c>
      <c r="J25" s="717">
        <f>J7</f>
        <v>491.31</v>
      </c>
      <c r="K25" s="718">
        <f>(J25/C25-1)*100</f>
        <v>30.945809405183056</v>
      </c>
      <c r="L25" s="719">
        <f>(J25/E25-1)*100</f>
        <v>12.168864265893342</v>
      </c>
      <c r="M25" s="4"/>
    </row>
    <row r="26" spans="1:13" ht="12.75" customHeight="1">
      <c r="A26" s="759" t="s">
        <v>393</v>
      </c>
      <c r="B26" s="760">
        <v>9357.8097233674871</v>
      </c>
      <c r="C26" s="760">
        <f>B26/30</f>
        <v>311.92699077891626</v>
      </c>
      <c r="D26" s="760">
        <v>10830.580755063993</v>
      </c>
      <c r="E26" s="761">
        <f>D26/30</f>
        <v>361.01935850213312</v>
      </c>
      <c r="F26" s="762"/>
      <c r="G26" s="747"/>
      <c r="H26" s="748"/>
      <c r="I26" s="642"/>
      <c r="J26" s="763"/>
      <c r="K26" s="763"/>
      <c r="L26" s="750"/>
      <c r="M26" s="4"/>
    </row>
    <row r="27" spans="1:13" ht="15" customHeight="1" thickBot="1">
      <c r="A27" s="751" t="s">
        <v>406</v>
      </c>
      <c r="B27" s="764">
        <f>B26</f>
        <v>9357.8097233674871</v>
      </c>
      <c r="C27" s="764">
        <f>B27/27.19</f>
        <v>344.1636529373846</v>
      </c>
      <c r="D27" s="764">
        <f>D26</f>
        <v>10830.580755063993</v>
      </c>
      <c r="E27" s="764">
        <f>D27/27.19</f>
        <v>398.32956068642858</v>
      </c>
      <c r="F27" s="753">
        <v>44500</v>
      </c>
      <c r="G27" s="753">
        <v>44500</v>
      </c>
      <c r="H27" s="754">
        <f>(G27/$G$7)*100</f>
        <v>2.9720301904837596</v>
      </c>
      <c r="I27" s="755">
        <f>(G27/F27)*100</f>
        <v>100</v>
      </c>
      <c r="J27" s="756">
        <f>J7</f>
        <v>491.31</v>
      </c>
      <c r="K27" s="757">
        <f>(J27/C27-1)*100</f>
        <v>42.754760941994796</v>
      </c>
      <c r="L27" s="758">
        <f>(J27/E27-1)*100</f>
        <v>23.342590781698757</v>
      </c>
      <c r="M27" s="4"/>
    </row>
    <row r="28" spans="1:13" ht="12.75" customHeight="1">
      <c r="A28" s="720" t="s">
        <v>394</v>
      </c>
      <c r="B28" s="721">
        <v>8384.41</v>
      </c>
      <c r="C28" s="721">
        <f>B28/30</f>
        <v>279.48033333333331</v>
      </c>
      <c r="D28" s="721">
        <v>9748.1299999999992</v>
      </c>
      <c r="E28" s="721">
        <f>D28/30</f>
        <v>324.93766666666664</v>
      </c>
      <c r="F28" s="722"/>
      <c r="G28" s="722"/>
      <c r="H28" s="723"/>
      <c r="I28" s="698"/>
      <c r="J28" s="724"/>
      <c r="K28" s="724"/>
      <c r="L28" s="725"/>
      <c r="M28" s="4"/>
    </row>
    <row r="29" spans="1:13" ht="15" customHeight="1" thickBot="1">
      <c r="A29" s="712" t="s">
        <v>395</v>
      </c>
      <c r="B29" s="726">
        <f t="shared" ref="B29:D29" si="0">B28</f>
        <v>8384.41</v>
      </c>
      <c r="C29" s="726">
        <f>B29/18.85</f>
        <v>444.79628647214849</v>
      </c>
      <c r="D29" s="726">
        <f t="shared" si="0"/>
        <v>9748.1299999999992</v>
      </c>
      <c r="E29" s="726">
        <f>D29/18.85</f>
        <v>517.14217506631292</v>
      </c>
      <c r="F29" s="714">
        <v>203490</v>
      </c>
      <c r="G29" s="714">
        <v>203490</v>
      </c>
      <c r="H29" s="727">
        <f>(G29/$G$7)*100</f>
        <v>13.590526369922253</v>
      </c>
      <c r="I29" s="728">
        <f>(G29/F29)*100</f>
        <v>100</v>
      </c>
      <c r="J29" s="729">
        <f>J7</f>
        <v>491.31</v>
      </c>
      <c r="K29" s="730">
        <f>(J29/C29-1)*100</f>
        <v>10.4573070734852</v>
      </c>
      <c r="L29" s="731">
        <f>(J29/E29-1)*100</f>
        <v>-4.9951785624524732</v>
      </c>
      <c r="M29" s="4"/>
    </row>
    <row r="30" spans="1:13" ht="15" customHeight="1">
      <c r="A30" s="759" t="s">
        <v>396</v>
      </c>
      <c r="B30" s="760">
        <v>7060.4322308571891</v>
      </c>
      <c r="C30" s="760">
        <f>B30/20</f>
        <v>353.02161154285943</v>
      </c>
      <c r="D30" s="760">
        <v>8113.0514813614627</v>
      </c>
      <c r="E30" s="761">
        <f>D30/20</f>
        <v>405.65257406807314</v>
      </c>
      <c r="F30" s="762"/>
      <c r="G30" s="762"/>
      <c r="H30" s="748"/>
      <c r="I30" s="642"/>
      <c r="J30" s="763"/>
      <c r="K30" s="763"/>
      <c r="L30" s="750"/>
      <c r="M30" s="4"/>
    </row>
    <row r="31" spans="1:13" ht="15" customHeight="1" thickBot="1">
      <c r="A31" s="751" t="s">
        <v>414</v>
      </c>
      <c r="B31" s="764">
        <f>B30</f>
        <v>7060.4322308571891</v>
      </c>
      <c r="C31" s="764">
        <f>B31/18.27</f>
        <v>386.44949265775529</v>
      </c>
      <c r="D31" s="764">
        <f>D30</f>
        <v>8113.0514813614627</v>
      </c>
      <c r="E31" s="764">
        <f>D31/18.76</f>
        <v>432.46543077619737</v>
      </c>
      <c r="F31" s="753">
        <v>156601</v>
      </c>
      <c r="G31" s="753">
        <v>156601</v>
      </c>
      <c r="H31" s="754">
        <f>(G31/$G$7)*100</f>
        <v>10.458941569886456</v>
      </c>
      <c r="I31" s="755">
        <f>(G31/F31)*100</f>
        <v>100</v>
      </c>
      <c r="J31" s="756">
        <f>J7</f>
        <v>491.31</v>
      </c>
      <c r="K31" s="757">
        <f>(J31/C31-1)*100</f>
        <v>27.134336914529356</v>
      </c>
      <c r="L31" s="758">
        <f>(J31/E31-1)*100</f>
        <v>13.606768318611561</v>
      </c>
      <c r="M31" s="4"/>
    </row>
    <row r="32" spans="1:13" ht="15" customHeight="1" thickBot="1">
      <c r="A32" s="654" t="s">
        <v>408</v>
      </c>
      <c r="B32" s="655">
        <f>(B36+B38)/2</f>
        <v>7677.3979355275942</v>
      </c>
      <c r="C32" s="655">
        <f>(C36+C38)/2</f>
        <v>300.31386052933658</v>
      </c>
      <c r="D32" s="655">
        <f>(D36+D38)/2</f>
        <v>9095.8721006450378</v>
      </c>
      <c r="E32" s="655">
        <f>(E36+E38)/2</f>
        <v>371.77615956714021</v>
      </c>
      <c r="F32" s="656">
        <f>F36+F38</f>
        <v>361358</v>
      </c>
      <c r="G32" s="633">
        <v>432852</v>
      </c>
      <c r="H32" s="657">
        <f>(G32/$G$32)*100</f>
        <v>100</v>
      </c>
      <c r="I32" s="658">
        <f>(F32/G32)*100</f>
        <v>83.483038082300638</v>
      </c>
      <c r="J32" s="655">
        <f>Cotações!I21</f>
        <v>389.07</v>
      </c>
      <c r="K32" s="647">
        <f>(J32/C32-1)*100</f>
        <v>29.554459895464326</v>
      </c>
      <c r="L32" s="648">
        <f>(J32/E32-1)*100</f>
        <v>4.651680853606921</v>
      </c>
      <c r="M32" s="4"/>
    </row>
    <row r="33" spans="1:13" ht="12.75" customHeight="1">
      <c r="A33" s="662" t="s">
        <v>397</v>
      </c>
      <c r="B33" s="766">
        <v>3960.7204006180432</v>
      </c>
      <c r="C33" s="766">
        <f>B33/25</f>
        <v>158.42881602472173</v>
      </c>
      <c r="D33" s="766">
        <v>4744.4537254336228</v>
      </c>
      <c r="E33" s="767">
        <f>D33/25</f>
        <v>189.7781490173449</v>
      </c>
      <c r="F33" s="635"/>
      <c r="G33" s="635"/>
      <c r="H33" s="768"/>
      <c r="I33" s="639"/>
      <c r="J33" s="636"/>
      <c r="K33" s="636"/>
      <c r="L33" s="769"/>
      <c r="M33" s="4"/>
    </row>
    <row r="34" spans="1:13" ht="12.75" customHeight="1">
      <c r="A34" s="662" t="s">
        <v>398</v>
      </c>
      <c r="B34" s="766">
        <v>3449.8483415950432</v>
      </c>
      <c r="C34" s="766">
        <f>B34/20</f>
        <v>172.49241707975216</v>
      </c>
      <c r="D34" s="766">
        <v>4081.8132032870703</v>
      </c>
      <c r="E34" s="767">
        <f>D34/20</f>
        <v>204.09066016435352</v>
      </c>
      <c r="F34" s="635"/>
      <c r="G34" s="635"/>
      <c r="H34" s="768"/>
      <c r="I34" s="639"/>
      <c r="J34" s="637"/>
      <c r="K34" s="637"/>
      <c r="L34" s="638"/>
      <c r="M34" s="4"/>
    </row>
    <row r="35" spans="1:13" ht="12.75" customHeight="1">
      <c r="A35" s="646" t="s">
        <v>399</v>
      </c>
      <c r="B35" s="770">
        <v>3937.1889362068441</v>
      </c>
      <c r="C35" s="770">
        <f>B35/60</f>
        <v>65.619815603447407</v>
      </c>
      <c r="D35" s="771">
        <v>6462.79</v>
      </c>
      <c r="E35" s="772">
        <f>D35/60</f>
        <v>107.71316666666667</v>
      </c>
      <c r="F35" s="644"/>
      <c r="G35" s="640"/>
      <c r="H35" s="773"/>
      <c r="I35" s="642"/>
      <c r="J35" s="641"/>
      <c r="K35" s="641"/>
      <c r="L35" s="643"/>
      <c r="M35" s="4"/>
    </row>
    <row r="36" spans="1:13" ht="15" customHeight="1" thickBot="1">
      <c r="A36" s="751" t="s">
        <v>415</v>
      </c>
      <c r="B36" s="764">
        <f>(SUM(B33:B35))/3</f>
        <v>3782.5858928066432</v>
      </c>
      <c r="C36" s="764">
        <f>B36/21.18</f>
        <v>178.59234621372252</v>
      </c>
      <c r="D36" s="764">
        <f>(SUM(D33:D35))/3</f>
        <v>5096.3523095735645</v>
      </c>
      <c r="E36" s="764">
        <f>D36/19.51</f>
        <v>261.21744282796328</v>
      </c>
      <c r="F36" s="774">
        <v>87657</v>
      </c>
      <c r="G36" s="774">
        <v>87657</v>
      </c>
      <c r="H36" s="754">
        <f>(G36/$G$32)*100</f>
        <v>20.251032685536856</v>
      </c>
      <c r="I36" s="755">
        <f>(F36/G36)*100</f>
        <v>100</v>
      </c>
      <c r="J36" s="756">
        <f>J32</f>
        <v>389.07</v>
      </c>
      <c r="K36" s="757">
        <f>(J36/C36-1)*100</f>
        <v>117.853680881933</v>
      </c>
      <c r="L36" s="758">
        <f>(J36/E36-1)*100</f>
        <v>48.944877412432163</v>
      </c>
      <c r="M36" s="4"/>
    </row>
    <row r="37" spans="1:13">
      <c r="A37" s="720" t="s">
        <v>400</v>
      </c>
      <c r="B37" s="721">
        <v>11572.209978248546</v>
      </c>
      <c r="C37" s="721">
        <f>B37/60</f>
        <v>192.87016630414243</v>
      </c>
      <c r="D37" s="721">
        <v>13095.391891716512</v>
      </c>
      <c r="E37" s="721">
        <f>D37/60</f>
        <v>218.25653152860852</v>
      </c>
      <c r="F37" s="743"/>
      <c r="G37" s="765"/>
      <c r="H37" s="723"/>
      <c r="I37" s="698"/>
      <c r="J37" s="724"/>
      <c r="K37" s="724"/>
      <c r="L37" s="725"/>
      <c r="M37" s="4"/>
    </row>
    <row r="38" spans="1:13" ht="15" customHeight="1" thickBot="1">
      <c r="A38" s="712" t="s">
        <v>416</v>
      </c>
      <c r="B38" s="726">
        <f>B37</f>
        <v>11572.209978248546</v>
      </c>
      <c r="C38" s="726">
        <f>B38/27.42</f>
        <v>422.03537484495058</v>
      </c>
      <c r="D38" s="726">
        <f>D37</f>
        <v>13095.391891716512</v>
      </c>
      <c r="E38" s="726">
        <f>D38/27.15</f>
        <v>482.3348763063172</v>
      </c>
      <c r="F38" s="775">
        <v>273701</v>
      </c>
      <c r="G38" s="776">
        <v>273701</v>
      </c>
      <c r="H38" s="727">
        <f>(G38/$G$32)*100</f>
        <v>63.232005396763789</v>
      </c>
      <c r="I38" s="728">
        <f>(F38/G38)*100</f>
        <v>100</v>
      </c>
      <c r="J38" s="729">
        <f>J32</f>
        <v>389.07</v>
      </c>
      <c r="K38" s="730">
        <f>(J38/C38-1)*100</f>
        <v>-7.8110454264791347</v>
      </c>
      <c r="L38" s="731">
        <f>(J38/E38-1)*100</f>
        <v>-19.336125353516287</v>
      </c>
      <c r="M38" s="4"/>
    </row>
    <row r="39" spans="1:13">
      <c r="A39" t="s">
        <v>401</v>
      </c>
      <c r="B39" s="649"/>
      <c r="C39" s="649"/>
      <c r="D39" s="663"/>
      <c r="E39" s="663"/>
      <c r="G39" s="650"/>
      <c r="H39" s="651"/>
    </row>
    <row r="40" spans="1:13">
      <c r="A40" s="632" t="s">
        <v>424</v>
      </c>
      <c r="B40" s="649"/>
      <c r="C40" s="649"/>
      <c r="D40" s="663"/>
      <c r="E40" s="663"/>
      <c r="G40" s="650"/>
      <c r="H40" s="651"/>
    </row>
    <row r="41" spans="1:13">
      <c r="A41" s="632" t="s">
        <v>425</v>
      </c>
      <c r="B41" s="649"/>
      <c r="C41" s="649"/>
      <c r="D41" s="663"/>
      <c r="E41" s="663"/>
      <c r="G41" s="650"/>
      <c r="H41" s="651"/>
    </row>
    <row r="42" spans="1:13">
      <c r="A42" s="632" t="s">
        <v>402</v>
      </c>
      <c r="B42" s="652"/>
      <c r="C42" s="652"/>
      <c r="D42" s="652"/>
      <c r="E42" s="652"/>
    </row>
    <row r="43" spans="1:13">
      <c r="B43" s="653"/>
      <c r="C43" s="652"/>
      <c r="D43" s="652"/>
      <c r="E43" s="652"/>
    </row>
  </sheetData>
  <mergeCells count="15">
    <mergeCell ref="A1:L1"/>
    <mergeCell ref="D5:E5"/>
    <mergeCell ref="K5:K6"/>
    <mergeCell ref="L5:L6"/>
    <mergeCell ref="A2:L2"/>
    <mergeCell ref="A4:A6"/>
    <mergeCell ref="B4:E4"/>
    <mergeCell ref="F4:F6"/>
    <mergeCell ref="G4:G6"/>
    <mergeCell ref="H4:H6"/>
    <mergeCell ref="I4:I6"/>
    <mergeCell ref="J4:J6"/>
    <mergeCell ref="K4:L4"/>
    <mergeCell ref="B5:C5"/>
    <mergeCell ref="A3:L3"/>
  </mergeCells>
  <printOptions horizontalCentered="1"/>
  <pageMargins left="0.51181102362204722" right="0.51181102362204722" top="0.39370078740157483" bottom="0.39370078740157483" header="0.31496062992125984" footer="0.31496062992125984"/>
  <pageSetup paperSize="9" scale="90" orientation="landscape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>
  <dimension ref="A1:L24"/>
  <sheetViews>
    <sheetView workbookViewId="0">
      <selection sqref="A1:L1"/>
    </sheetView>
  </sheetViews>
  <sheetFormatPr defaultRowHeight="12.75"/>
  <cols>
    <col min="1" max="1" width="2.7109375" customWidth="1"/>
    <col min="2" max="2" width="12.7109375" customWidth="1"/>
    <col min="3" max="3" width="36.42578125" customWidth="1"/>
    <col min="4" max="4" width="15.85546875" customWidth="1"/>
    <col min="5" max="5" width="7.7109375" customWidth="1"/>
    <col min="6" max="6" width="10.7109375" customWidth="1"/>
    <col min="7" max="7" width="12.7109375" customWidth="1"/>
    <col min="8" max="8" width="7.7109375" customWidth="1"/>
    <col min="9" max="9" width="10.7109375" customWidth="1"/>
    <col min="10" max="11" width="12.7109375" customWidth="1"/>
    <col min="12" max="12" width="2.7109375" customWidth="1"/>
  </cols>
  <sheetData>
    <row r="1" spans="1:12" ht="13.5" customHeight="1">
      <c r="A1" s="1299" t="s">
        <v>481</v>
      </c>
      <c r="B1" s="1299"/>
      <c r="C1" s="1299"/>
      <c r="D1" s="1299"/>
      <c r="E1" s="1299"/>
      <c r="F1" s="1299"/>
      <c r="G1" s="1299"/>
      <c r="H1" s="1299"/>
      <c r="I1" s="1299"/>
      <c r="J1" s="1299"/>
      <c r="K1" s="1299"/>
      <c r="L1" s="1299"/>
    </row>
    <row r="2" spans="1:12" ht="15.75">
      <c r="A2" s="311"/>
      <c r="B2" s="312"/>
      <c r="C2" s="1156"/>
      <c r="D2" s="1156"/>
      <c r="E2" s="1156"/>
      <c r="F2" s="1156"/>
      <c r="G2" s="1156"/>
      <c r="H2" s="1156"/>
      <c r="I2" s="1156"/>
      <c r="J2" s="1156"/>
      <c r="K2" s="313"/>
      <c r="L2" s="311"/>
    </row>
    <row r="3" spans="1:12" ht="15.75">
      <c r="A3" s="311"/>
      <c r="B3" s="180"/>
      <c r="C3" s="1201" t="s">
        <v>258</v>
      </c>
      <c r="D3" s="1201"/>
      <c r="E3" s="1201"/>
      <c r="F3" s="1201"/>
      <c r="G3" s="1201"/>
      <c r="H3" s="1201"/>
      <c r="I3" s="1201"/>
      <c r="J3" s="1201"/>
      <c r="K3" s="138"/>
      <c r="L3" s="311"/>
    </row>
    <row r="4" spans="1:12" ht="18" customHeight="1" thickBot="1">
      <c r="A4" s="311"/>
      <c r="B4" s="180"/>
      <c r="C4" s="198"/>
      <c r="D4" s="198"/>
      <c r="E4" s="198"/>
      <c r="F4" s="198"/>
      <c r="G4" s="198"/>
      <c r="H4" s="198"/>
      <c r="I4" s="198"/>
      <c r="J4" s="198"/>
      <c r="K4" s="138"/>
      <c r="L4" s="311"/>
    </row>
    <row r="5" spans="1:12" ht="13.5" thickBot="1">
      <c r="A5" s="311"/>
      <c r="B5" s="180"/>
      <c r="C5" s="1302" t="s">
        <v>226</v>
      </c>
      <c r="D5" s="1304" t="s">
        <v>227</v>
      </c>
      <c r="E5" s="1306" t="s">
        <v>228</v>
      </c>
      <c r="F5" s="1300"/>
      <c r="G5" s="1307"/>
      <c r="H5" s="1300" t="s">
        <v>48</v>
      </c>
      <c r="I5" s="1300"/>
      <c r="J5" s="1300"/>
      <c r="K5" s="138"/>
      <c r="L5" s="311"/>
    </row>
    <row r="6" spans="1:12" ht="24.95" customHeight="1" thickBot="1">
      <c r="A6" s="311"/>
      <c r="B6" s="180"/>
      <c r="C6" s="1303"/>
      <c r="D6" s="1305"/>
      <c r="E6" s="200" t="s">
        <v>229</v>
      </c>
      <c r="F6" s="200" t="s">
        <v>230</v>
      </c>
      <c r="G6" s="200" t="s">
        <v>254</v>
      </c>
      <c r="H6" s="200" t="s">
        <v>229</v>
      </c>
      <c r="I6" s="200" t="s">
        <v>230</v>
      </c>
      <c r="J6" s="201" t="s">
        <v>254</v>
      </c>
      <c r="K6" s="138"/>
      <c r="L6" s="311"/>
    </row>
    <row r="7" spans="1:12" ht="26.25" customHeight="1">
      <c r="A7" s="311"/>
      <c r="B7" s="180"/>
      <c r="C7" s="202" t="s">
        <v>255</v>
      </c>
      <c r="D7" s="203" t="s">
        <v>231</v>
      </c>
      <c r="E7" s="204" t="s">
        <v>256</v>
      </c>
      <c r="F7" s="203" t="s">
        <v>232</v>
      </c>
      <c r="G7" s="343">
        <v>64</v>
      </c>
      <c r="H7" s="204" t="s">
        <v>262</v>
      </c>
      <c r="I7" s="204" t="s">
        <v>233</v>
      </c>
      <c r="J7" s="344">
        <v>113</v>
      </c>
      <c r="K7" s="138"/>
      <c r="L7" s="311"/>
    </row>
    <row r="8" spans="1:12" ht="23.1" customHeight="1">
      <c r="A8" s="311"/>
      <c r="B8" s="180"/>
      <c r="C8" s="205" t="s">
        <v>234</v>
      </c>
      <c r="D8" s="206" t="s">
        <v>235</v>
      </c>
      <c r="E8" s="207" t="s">
        <v>256</v>
      </c>
      <c r="F8" s="206" t="s">
        <v>232</v>
      </c>
      <c r="G8" s="345">
        <v>89</v>
      </c>
      <c r="H8" s="207" t="s">
        <v>262</v>
      </c>
      <c r="I8" s="206" t="s">
        <v>236</v>
      </c>
      <c r="J8" s="346">
        <v>157</v>
      </c>
      <c r="K8" s="138"/>
      <c r="L8" s="311"/>
    </row>
    <row r="9" spans="1:12" ht="23.1" customHeight="1">
      <c r="A9" s="311"/>
      <c r="B9" s="180"/>
      <c r="C9" s="205" t="s">
        <v>237</v>
      </c>
      <c r="D9" s="206" t="s">
        <v>238</v>
      </c>
      <c r="E9" s="207" t="s">
        <v>256</v>
      </c>
      <c r="F9" s="206" t="s">
        <v>232</v>
      </c>
      <c r="G9" s="345">
        <v>89</v>
      </c>
      <c r="H9" s="207" t="s">
        <v>262</v>
      </c>
      <c r="I9" s="206" t="s">
        <v>236</v>
      </c>
      <c r="J9" s="346">
        <v>157</v>
      </c>
      <c r="K9" s="138"/>
      <c r="L9" s="311"/>
    </row>
    <row r="10" spans="1:12" ht="23.1" customHeight="1">
      <c r="A10" s="311"/>
      <c r="B10" s="180"/>
      <c r="C10" s="205" t="s">
        <v>239</v>
      </c>
      <c r="D10" s="206" t="s">
        <v>240</v>
      </c>
      <c r="E10" s="207" t="s">
        <v>256</v>
      </c>
      <c r="F10" s="206" t="s">
        <v>232</v>
      </c>
      <c r="G10" s="345">
        <v>89</v>
      </c>
      <c r="H10" s="207" t="s">
        <v>262</v>
      </c>
      <c r="I10" s="206" t="s">
        <v>236</v>
      </c>
      <c r="J10" s="346">
        <v>157</v>
      </c>
      <c r="K10" s="138"/>
      <c r="L10" s="311"/>
    </row>
    <row r="11" spans="1:12" ht="23.1" customHeight="1">
      <c r="A11" s="311"/>
      <c r="B11" s="180"/>
      <c r="C11" s="205" t="s">
        <v>241</v>
      </c>
      <c r="D11" s="206" t="s">
        <v>242</v>
      </c>
      <c r="E11" s="207" t="s">
        <v>256</v>
      </c>
      <c r="F11" s="206" t="s">
        <v>232</v>
      </c>
      <c r="G11" s="345">
        <v>89</v>
      </c>
      <c r="H11" s="207" t="s">
        <v>262</v>
      </c>
      <c r="I11" s="206" t="s">
        <v>236</v>
      </c>
      <c r="J11" s="346">
        <v>157</v>
      </c>
      <c r="K11" s="138"/>
      <c r="L11" s="311"/>
    </row>
    <row r="12" spans="1:12" ht="23.1" customHeight="1">
      <c r="A12" s="311"/>
      <c r="B12" s="180"/>
      <c r="C12" s="205" t="s">
        <v>263</v>
      </c>
      <c r="D12" s="206" t="s">
        <v>243</v>
      </c>
      <c r="E12" s="207" t="s">
        <v>256</v>
      </c>
      <c r="F12" s="206" t="s">
        <v>232</v>
      </c>
      <c r="G12" s="345">
        <v>89</v>
      </c>
      <c r="H12" s="207" t="s">
        <v>262</v>
      </c>
      <c r="I12" s="206" t="s">
        <v>236</v>
      </c>
      <c r="J12" s="346">
        <v>157</v>
      </c>
      <c r="K12" s="138"/>
      <c r="L12" s="311"/>
    </row>
    <row r="13" spans="1:12" ht="23.1" customHeight="1">
      <c r="A13" s="311"/>
      <c r="B13" s="180"/>
      <c r="C13" s="205" t="s">
        <v>244</v>
      </c>
      <c r="D13" s="206" t="s">
        <v>245</v>
      </c>
      <c r="E13" s="207" t="s">
        <v>256</v>
      </c>
      <c r="F13" s="206" t="s">
        <v>232</v>
      </c>
      <c r="G13" s="345">
        <v>124.4</v>
      </c>
      <c r="H13" s="207" t="s">
        <v>262</v>
      </c>
      <c r="I13" s="206" t="s">
        <v>236</v>
      </c>
      <c r="J13" s="346">
        <v>211.75</v>
      </c>
      <c r="K13" s="138"/>
      <c r="L13" s="311"/>
    </row>
    <row r="14" spans="1:12" ht="36" customHeight="1">
      <c r="A14" s="311"/>
      <c r="B14" s="180"/>
      <c r="C14" s="208" t="s">
        <v>257</v>
      </c>
      <c r="D14" s="207" t="s">
        <v>246</v>
      </c>
      <c r="E14" s="207" t="s">
        <v>256</v>
      </c>
      <c r="F14" s="206" t="s">
        <v>232</v>
      </c>
      <c r="G14" s="345">
        <v>156.57</v>
      </c>
      <c r="H14" s="207" t="s">
        <v>262</v>
      </c>
      <c r="I14" s="206" t="s">
        <v>236</v>
      </c>
      <c r="J14" s="346">
        <v>261.69</v>
      </c>
      <c r="K14" s="138"/>
      <c r="L14" s="311"/>
    </row>
    <row r="15" spans="1:12" ht="23.1" customHeight="1">
      <c r="A15" s="311"/>
      <c r="B15" s="180"/>
      <c r="C15" s="205" t="s">
        <v>247</v>
      </c>
      <c r="D15" s="206" t="s">
        <v>246</v>
      </c>
      <c r="E15" s="207" t="s">
        <v>256</v>
      </c>
      <c r="F15" s="206" t="s">
        <v>232</v>
      </c>
      <c r="G15" s="345">
        <v>156.57</v>
      </c>
      <c r="H15" s="207" t="s">
        <v>262</v>
      </c>
      <c r="I15" s="207" t="s">
        <v>232</v>
      </c>
      <c r="J15" s="346">
        <v>261.69</v>
      </c>
      <c r="K15" s="138"/>
      <c r="L15" s="311"/>
    </row>
    <row r="16" spans="1:12" ht="25.5" customHeight="1">
      <c r="A16" s="311"/>
      <c r="B16" s="180"/>
      <c r="C16" s="205" t="s">
        <v>248</v>
      </c>
      <c r="D16" s="206" t="s">
        <v>249</v>
      </c>
      <c r="E16" s="207" t="s">
        <v>256</v>
      </c>
      <c r="F16" s="206" t="s">
        <v>232</v>
      </c>
      <c r="G16" s="345">
        <v>156.57</v>
      </c>
      <c r="H16" s="207" t="s">
        <v>262</v>
      </c>
      <c r="I16" s="207" t="s">
        <v>232</v>
      </c>
      <c r="J16" s="346">
        <v>261.69</v>
      </c>
      <c r="K16" s="138"/>
      <c r="L16" s="311"/>
    </row>
    <row r="17" spans="1:12" ht="23.1" customHeight="1">
      <c r="A17" s="311"/>
      <c r="B17" s="180"/>
      <c r="C17" s="205" t="s">
        <v>250</v>
      </c>
      <c r="D17" s="206" t="s">
        <v>251</v>
      </c>
      <c r="E17" s="207" t="s">
        <v>256</v>
      </c>
      <c r="F17" s="206" t="s">
        <v>232</v>
      </c>
      <c r="G17" s="345">
        <v>156.57</v>
      </c>
      <c r="H17" s="207" t="s">
        <v>262</v>
      </c>
      <c r="I17" s="207" t="s">
        <v>232</v>
      </c>
      <c r="J17" s="346">
        <v>307</v>
      </c>
      <c r="K17" s="138"/>
      <c r="L17" s="311"/>
    </row>
    <row r="18" spans="1:12" ht="23.1" customHeight="1">
      <c r="A18" s="311"/>
      <c r="B18" s="180"/>
      <c r="C18" s="205" t="s">
        <v>252</v>
      </c>
      <c r="D18" s="206" t="s">
        <v>253</v>
      </c>
      <c r="E18" s="207" t="s">
        <v>256</v>
      </c>
      <c r="F18" s="206" t="s">
        <v>232</v>
      </c>
      <c r="G18" s="345">
        <v>180.8</v>
      </c>
      <c r="H18" s="207" t="s">
        <v>262</v>
      </c>
      <c r="I18" s="207" t="s">
        <v>232</v>
      </c>
      <c r="J18" s="346">
        <v>307</v>
      </c>
      <c r="K18" s="138"/>
      <c r="L18" s="311"/>
    </row>
    <row r="19" spans="1:12" ht="23.1" customHeight="1" thickBot="1">
      <c r="A19" s="311"/>
      <c r="B19" s="180"/>
      <c r="C19" s="209" t="s">
        <v>309</v>
      </c>
      <c r="D19" s="210" t="s">
        <v>310</v>
      </c>
      <c r="E19" s="211" t="s">
        <v>256</v>
      </c>
      <c r="F19" s="210" t="s">
        <v>232</v>
      </c>
      <c r="G19" s="347">
        <v>193.54</v>
      </c>
      <c r="H19" s="212" t="s">
        <v>262</v>
      </c>
      <c r="I19" s="212" t="s">
        <v>232</v>
      </c>
      <c r="J19" s="348">
        <v>307</v>
      </c>
      <c r="K19" s="138"/>
      <c r="L19" s="311"/>
    </row>
    <row r="20" spans="1:12" ht="14.1" customHeight="1">
      <c r="A20" s="311"/>
      <c r="B20" s="180"/>
      <c r="C20" s="1301" t="s">
        <v>259</v>
      </c>
      <c r="D20" s="1301"/>
      <c r="E20" s="1301"/>
      <c r="F20" s="1301"/>
      <c r="G20" s="197"/>
      <c r="H20" s="197"/>
      <c r="I20" s="197"/>
      <c r="J20" s="197"/>
      <c r="K20" s="138"/>
      <c r="L20" s="311"/>
    </row>
    <row r="21" spans="1:12" ht="14.1" customHeight="1">
      <c r="A21" s="311"/>
      <c r="B21" s="180"/>
      <c r="C21" s="199" t="s">
        <v>260</v>
      </c>
      <c r="D21" s="197"/>
      <c r="E21" s="197"/>
      <c r="F21" s="197"/>
      <c r="G21" s="197"/>
      <c r="H21" s="197"/>
      <c r="I21" s="197"/>
      <c r="J21" s="197"/>
      <c r="K21" s="138"/>
      <c r="L21" s="311"/>
    </row>
    <row r="22" spans="1:12" ht="14.1" customHeight="1">
      <c r="A22" s="311"/>
      <c r="B22" s="180"/>
      <c r="C22" s="141" t="s">
        <v>261</v>
      </c>
      <c r="D22" s="197"/>
      <c r="E22" s="197"/>
      <c r="F22" s="197"/>
      <c r="G22" s="197"/>
      <c r="H22" s="197"/>
      <c r="I22" s="197"/>
      <c r="J22" s="197"/>
      <c r="K22" s="138"/>
      <c r="L22" s="311"/>
    </row>
    <row r="23" spans="1:12" ht="9.75" customHeight="1">
      <c r="A23" s="311"/>
      <c r="B23" s="119"/>
      <c r="C23" s="120"/>
      <c r="D23" s="121"/>
      <c r="E23" s="121"/>
      <c r="F23" s="121"/>
      <c r="G23" s="121"/>
      <c r="H23" s="121"/>
      <c r="I23" s="121"/>
      <c r="J23" s="121"/>
      <c r="K23" s="139"/>
      <c r="L23" s="311"/>
    </row>
    <row r="24" spans="1:12">
      <c r="A24" s="311"/>
      <c r="B24" s="311"/>
      <c r="C24" s="311"/>
      <c r="D24" s="311"/>
      <c r="E24" s="311"/>
      <c r="F24" s="311"/>
      <c r="G24" s="311"/>
      <c r="H24" s="311"/>
      <c r="I24" s="311"/>
      <c r="J24" s="311"/>
      <c r="K24" s="311"/>
      <c r="L24" s="311"/>
    </row>
  </sheetData>
  <mergeCells count="8">
    <mergeCell ref="A1:L1"/>
    <mergeCell ref="H5:J5"/>
    <mergeCell ref="C20:F20"/>
    <mergeCell ref="C2:J2"/>
    <mergeCell ref="C3:J3"/>
    <mergeCell ref="C5:C6"/>
    <mergeCell ref="D5:D6"/>
    <mergeCell ref="E5:G5"/>
  </mergeCells>
  <pageMargins left="0.51181102362204722" right="0.51181102362204722" top="0.78740157480314965" bottom="0.78740157480314965" header="0.31496062992125984" footer="0.31496062992125984"/>
  <pageSetup paperSize="9" scale="95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>
  <dimension ref="A1:T62"/>
  <sheetViews>
    <sheetView workbookViewId="0">
      <pane xSplit="2" ySplit="6" topLeftCell="C7" activePane="bottomRight" state="frozen"/>
      <selection pane="topRight" activeCell="C1" sqref="C1"/>
      <selection pane="bottomLeft" activeCell="A7" sqref="A7"/>
      <selection pane="bottomRight" sqref="A1:R1"/>
    </sheetView>
  </sheetViews>
  <sheetFormatPr defaultRowHeight="15"/>
  <cols>
    <col min="1" max="2" width="2.7109375" style="1" customWidth="1"/>
    <col min="3" max="3" width="8.7109375" style="1" customWidth="1"/>
    <col min="4" max="4" width="19.7109375" style="32" customWidth="1"/>
    <col min="5" max="6" width="10.7109375" style="32" customWidth="1"/>
    <col min="7" max="13" width="6.7109375" style="32" customWidth="1"/>
    <col min="14" max="15" width="10.7109375" style="32" customWidth="1"/>
    <col min="16" max="16" width="6.7109375" style="32" bestFit="1" customWidth="1"/>
    <col min="17" max="18" width="2.7109375" style="1" customWidth="1"/>
    <col min="19" max="16384" width="9.140625" style="1"/>
  </cols>
  <sheetData>
    <row r="1" spans="1:18" ht="14.25" customHeight="1">
      <c r="A1" s="1308" t="s">
        <v>482</v>
      </c>
      <c r="B1" s="1308"/>
      <c r="C1" s="1308"/>
      <c r="D1" s="1308"/>
      <c r="E1" s="1308"/>
      <c r="F1" s="1308"/>
      <c r="G1" s="1308"/>
      <c r="H1" s="1308"/>
      <c r="I1" s="1308"/>
      <c r="J1" s="1308"/>
      <c r="K1" s="1308"/>
      <c r="L1" s="1308"/>
      <c r="M1" s="1308"/>
      <c r="N1" s="1308"/>
      <c r="O1" s="1308"/>
      <c r="P1" s="1308"/>
      <c r="Q1" s="1308"/>
      <c r="R1" s="1308"/>
    </row>
    <row r="2" spans="1:18" ht="15.75">
      <c r="A2" s="481"/>
      <c r="B2" s="218"/>
      <c r="C2" s="1317" t="s">
        <v>434</v>
      </c>
      <c r="D2" s="1317"/>
      <c r="E2" s="1317"/>
      <c r="F2" s="1317"/>
      <c r="G2" s="1317"/>
      <c r="H2" s="1317"/>
      <c r="I2" s="1317"/>
      <c r="J2" s="1317"/>
      <c r="K2" s="1317"/>
      <c r="L2" s="1317"/>
      <c r="M2" s="1317"/>
      <c r="N2" s="1317"/>
      <c r="O2" s="1317"/>
      <c r="P2" s="1317"/>
      <c r="Q2" s="197"/>
      <c r="R2" s="65"/>
    </row>
    <row r="3" spans="1:18" ht="12.75" customHeight="1" thickBot="1">
      <c r="A3" s="481"/>
      <c r="B3" s="218"/>
      <c r="C3" s="1318" t="s">
        <v>486</v>
      </c>
      <c r="D3" s="1318"/>
      <c r="E3" s="1318"/>
      <c r="F3" s="1318"/>
      <c r="G3" s="1318"/>
      <c r="H3" s="1318"/>
      <c r="I3" s="1318"/>
      <c r="J3" s="1318"/>
      <c r="K3" s="1318"/>
      <c r="L3" s="1318"/>
      <c r="M3" s="1318"/>
      <c r="N3" s="1318"/>
      <c r="O3" s="1318"/>
      <c r="P3" s="1318"/>
      <c r="Q3" s="197"/>
      <c r="R3" s="65"/>
    </row>
    <row r="4" spans="1:18" ht="11.1" customHeight="1" thickBot="1">
      <c r="A4" s="481"/>
      <c r="B4" s="218"/>
      <c r="C4" s="1316" t="s">
        <v>444</v>
      </c>
      <c r="D4" s="1316"/>
      <c r="E4" s="1320" t="s">
        <v>443</v>
      </c>
      <c r="F4" s="1321"/>
      <c r="G4" s="1322"/>
      <c r="H4" s="1313" t="s">
        <v>520</v>
      </c>
      <c r="I4" s="1314"/>
      <c r="J4" s="1314"/>
      <c r="K4" s="1314"/>
      <c r="L4" s="1314"/>
      <c r="M4" s="1315"/>
      <c r="N4" s="1316" t="s">
        <v>357</v>
      </c>
      <c r="O4" s="1316"/>
      <c r="P4" s="1316"/>
      <c r="Q4" s="133"/>
      <c r="R4" s="65"/>
    </row>
    <row r="5" spans="1:18" ht="13.5" customHeight="1">
      <c r="A5" s="481"/>
      <c r="B5" s="218"/>
      <c r="C5" s="1316"/>
      <c r="D5" s="1316"/>
      <c r="E5" s="1323" t="s">
        <v>441</v>
      </c>
      <c r="F5" s="1324"/>
      <c r="G5" s="1325"/>
      <c r="H5" s="1324" t="s">
        <v>532</v>
      </c>
      <c r="I5" s="1324"/>
      <c r="J5" s="1325"/>
      <c r="K5" s="1323" t="s">
        <v>531</v>
      </c>
      <c r="L5" s="1324"/>
      <c r="M5" s="1325"/>
      <c r="N5" s="1323" t="s">
        <v>442</v>
      </c>
      <c r="O5" s="1324"/>
      <c r="P5" s="1324"/>
      <c r="Q5" s="133"/>
      <c r="R5" s="65"/>
    </row>
    <row r="6" spans="1:18" ht="11.1" customHeight="1" thickBot="1">
      <c r="A6" s="481"/>
      <c r="B6" s="218"/>
      <c r="C6" s="1319"/>
      <c r="D6" s="1319"/>
      <c r="E6" s="803">
        <v>2015</v>
      </c>
      <c r="F6" s="858">
        <v>2016</v>
      </c>
      <c r="G6" s="804" t="s">
        <v>13</v>
      </c>
      <c r="H6" s="803">
        <v>2015</v>
      </c>
      <c r="I6" s="858">
        <v>2016</v>
      </c>
      <c r="J6" s="804" t="s">
        <v>13</v>
      </c>
      <c r="K6" s="803">
        <v>2015</v>
      </c>
      <c r="L6" s="858">
        <v>2016</v>
      </c>
      <c r="M6" s="804" t="s">
        <v>13</v>
      </c>
      <c r="N6" s="778">
        <v>2015</v>
      </c>
      <c r="O6" s="858">
        <v>2016</v>
      </c>
      <c r="P6" s="525" t="s">
        <v>13</v>
      </c>
      <c r="Q6" s="133"/>
      <c r="R6" s="65"/>
    </row>
    <row r="7" spans="1:18" ht="14.1" customHeight="1">
      <c r="A7" s="481"/>
      <c r="B7" s="218"/>
      <c r="C7" s="917" t="s">
        <v>4</v>
      </c>
      <c r="D7" s="918" t="s">
        <v>430</v>
      </c>
      <c r="E7" s="939">
        <v>87657</v>
      </c>
      <c r="F7" s="919">
        <v>87657</v>
      </c>
      <c r="G7" s="920">
        <f t="shared" ref="G7:G8" si="0">(F7/E7-1)*100</f>
        <v>0</v>
      </c>
      <c r="H7" s="921">
        <v>0</v>
      </c>
      <c r="I7" s="941">
        <v>0</v>
      </c>
      <c r="J7" s="940">
        <v>0</v>
      </c>
      <c r="K7" s="893">
        <f>N7*1000/E7</f>
        <v>19.66642709652395</v>
      </c>
      <c r="L7" s="922">
        <f>O7*1000/F7</f>
        <v>19.141654402956981</v>
      </c>
      <c r="M7" s="940">
        <f t="shared" ref="M7:M32" si="1">(L7/K7-1)*100</f>
        <v>-2.6683682348163984</v>
      </c>
      <c r="N7" s="923">
        <v>1723.9</v>
      </c>
      <c r="O7" s="924">
        <v>1677.9</v>
      </c>
      <c r="P7" s="925">
        <f t="shared" ref="P7:P35" si="2">(O7/N7-1)*100</f>
        <v>-2.6683682348164095</v>
      </c>
      <c r="Q7" s="133"/>
      <c r="R7" s="65"/>
    </row>
    <row r="8" spans="1:18" ht="14.1" customHeight="1">
      <c r="A8" s="481"/>
      <c r="B8" s="218"/>
      <c r="C8" s="904" t="s">
        <v>5</v>
      </c>
      <c r="D8" s="797" t="s">
        <v>430</v>
      </c>
      <c r="E8" s="780">
        <v>1243</v>
      </c>
      <c r="F8" s="926">
        <v>1243</v>
      </c>
      <c r="G8" s="902">
        <f t="shared" si="0"/>
        <v>0</v>
      </c>
      <c r="H8" s="826">
        <v>0</v>
      </c>
      <c r="I8" s="942">
        <v>0</v>
      </c>
      <c r="J8" s="819">
        <v>0</v>
      </c>
      <c r="K8" s="894">
        <f>N8*1000/E8</f>
        <v>13.354786806114239</v>
      </c>
      <c r="L8" s="931">
        <f>O8*1000/F8</f>
        <v>13.354786806114239</v>
      </c>
      <c r="M8" s="819">
        <f t="shared" si="1"/>
        <v>0</v>
      </c>
      <c r="N8" s="927">
        <v>16.600000000000001</v>
      </c>
      <c r="O8" s="928">
        <v>16.600000000000001</v>
      </c>
      <c r="P8" s="480">
        <f t="shared" si="2"/>
        <v>0</v>
      </c>
      <c r="Q8" s="133"/>
      <c r="R8" s="65"/>
    </row>
    <row r="9" spans="1:18" ht="14.1" customHeight="1">
      <c r="A9" s="481"/>
      <c r="B9" s="218"/>
      <c r="C9" s="905" t="s">
        <v>6</v>
      </c>
      <c r="D9" s="798"/>
      <c r="E9" s="839">
        <f>E10+E11+E12</f>
        <v>138678</v>
      </c>
      <c r="F9" s="840">
        <f>F10+F11+F12</f>
        <v>147760</v>
      </c>
      <c r="G9" s="898">
        <f t="shared" ref="G9:G35" si="3">(F9/E9-1)*100</f>
        <v>6.5489839772710834</v>
      </c>
      <c r="H9" s="894">
        <f>SUM(N10+N11)*1000/SUM(E10+E11)</f>
        <v>11.233446109231513</v>
      </c>
      <c r="I9" s="895">
        <f>SUM(O10+O11)*1000/SUM(F10+F11)</f>
        <v>12.77830133113441</v>
      </c>
      <c r="J9" s="819">
        <f t="shared" ref="J9:J11" si="4">(I9/H9-1)*100</f>
        <v>13.752282308394692</v>
      </c>
      <c r="K9" s="894">
        <f>N12*1000/E12</f>
        <v>33.598274100147613</v>
      </c>
      <c r="L9" s="895">
        <f>O12*1000/F12</f>
        <v>40.000435805804933</v>
      </c>
      <c r="M9" s="819">
        <f t="shared" si="1"/>
        <v>19.055031477432927</v>
      </c>
      <c r="N9" s="839">
        <f>N10+N11+N12</f>
        <v>2345.6999999999998</v>
      </c>
      <c r="O9" s="840">
        <f>O10+O11+O12</f>
        <v>3137.4</v>
      </c>
      <c r="P9" s="477">
        <f t="shared" si="2"/>
        <v>33.751119068934663</v>
      </c>
      <c r="Q9" s="133"/>
      <c r="R9" s="65"/>
    </row>
    <row r="10" spans="1:18" ht="14.1" customHeight="1">
      <c r="A10" s="481"/>
      <c r="B10" s="218"/>
      <c r="C10" s="906"/>
      <c r="D10" s="891" t="s">
        <v>426</v>
      </c>
      <c r="E10" s="541">
        <v>9129</v>
      </c>
      <c r="F10" s="788">
        <v>10787</v>
      </c>
      <c r="G10" s="899">
        <f t="shared" si="3"/>
        <v>18.161901632161246</v>
      </c>
      <c r="H10" s="886">
        <f t="shared" ref="H10:I31" si="5">N10*1000/E10</f>
        <v>37.002957607624055</v>
      </c>
      <c r="I10" s="974">
        <f t="shared" si="5"/>
        <v>37.08167238342449</v>
      </c>
      <c r="J10" s="953">
        <f t="shared" si="4"/>
        <v>0.21272563300240854</v>
      </c>
      <c r="K10" s="934">
        <v>0</v>
      </c>
      <c r="L10" s="954">
        <v>0</v>
      </c>
      <c r="M10" s="953">
        <v>0</v>
      </c>
      <c r="N10" s="831">
        <v>337.8</v>
      </c>
      <c r="O10" s="540">
        <v>400</v>
      </c>
      <c r="P10" s="545">
        <f t="shared" si="2"/>
        <v>18.413262285375964</v>
      </c>
      <c r="Q10" s="133"/>
      <c r="R10" s="65"/>
    </row>
    <row r="11" spans="1:18" ht="14.1" customHeight="1">
      <c r="A11" s="481"/>
      <c r="B11" s="218"/>
      <c r="C11" s="907"/>
      <c r="D11" s="799" t="s">
        <v>427</v>
      </c>
      <c r="E11" s="530">
        <v>94321</v>
      </c>
      <c r="F11" s="859">
        <v>91081</v>
      </c>
      <c r="G11" s="899">
        <f t="shared" si="3"/>
        <v>-3.4350780844138673</v>
      </c>
      <c r="H11" s="884">
        <f t="shared" si="5"/>
        <v>8.7393051388344052</v>
      </c>
      <c r="I11" s="975">
        <f t="shared" si="5"/>
        <v>9.8999791394473053</v>
      </c>
      <c r="J11" s="955">
        <f t="shared" si="4"/>
        <v>13.2810787834295</v>
      </c>
      <c r="K11" s="961">
        <v>0</v>
      </c>
      <c r="L11" s="962">
        <v>0</v>
      </c>
      <c r="M11" s="953">
        <v>0</v>
      </c>
      <c r="N11" s="831">
        <v>824.3</v>
      </c>
      <c r="O11" s="540">
        <v>901.7</v>
      </c>
      <c r="P11" s="545">
        <f t="shared" si="2"/>
        <v>9.3897852723523023</v>
      </c>
      <c r="Q11" s="133"/>
      <c r="R11" s="65"/>
    </row>
    <row r="12" spans="1:18" ht="14.1" customHeight="1">
      <c r="A12" s="481"/>
      <c r="B12" s="218"/>
      <c r="C12" s="908"/>
      <c r="D12" s="871" t="s">
        <v>428</v>
      </c>
      <c r="E12" s="534">
        <v>35228</v>
      </c>
      <c r="F12" s="860">
        <v>45892</v>
      </c>
      <c r="G12" s="900">
        <f t="shared" si="3"/>
        <v>30.271375042579773</v>
      </c>
      <c r="H12" s="956">
        <v>0</v>
      </c>
      <c r="I12" s="957">
        <v>0</v>
      </c>
      <c r="J12" s="958">
        <v>0</v>
      </c>
      <c r="K12" s="952">
        <f>N12*1000/E12</f>
        <v>33.598274100147613</v>
      </c>
      <c r="L12" s="982">
        <f>O12*1000/F12</f>
        <v>40.000435805804933</v>
      </c>
      <c r="M12" s="958">
        <f t="shared" si="1"/>
        <v>19.055031477432927</v>
      </c>
      <c r="N12" s="832">
        <v>1183.5999999999999</v>
      </c>
      <c r="O12" s="528">
        <v>1835.7</v>
      </c>
      <c r="P12" s="523">
        <f t="shared" si="2"/>
        <v>55.094626563028058</v>
      </c>
      <c r="Q12" s="133"/>
      <c r="R12" s="65"/>
    </row>
    <row r="13" spans="1:18" ht="14.1" customHeight="1">
      <c r="A13" s="481"/>
      <c r="B13" s="218"/>
      <c r="C13" s="905" t="s">
        <v>10</v>
      </c>
      <c r="D13" s="798"/>
      <c r="E13" s="786">
        <f>E14+E15</f>
        <v>20189</v>
      </c>
      <c r="F13" s="529">
        <f>F14+F15</f>
        <v>20189</v>
      </c>
      <c r="G13" s="898">
        <f t="shared" si="3"/>
        <v>0</v>
      </c>
      <c r="H13" s="894">
        <f>N14*1000/E14</f>
        <v>15.315315315315315</v>
      </c>
      <c r="I13" s="895">
        <f>O14*1000/F14</f>
        <v>15.315315315315315</v>
      </c>
      <c r="J13" s="819">
        <f t="shared" ref="J13:J31" si="6">(I13/H13-1)*100</f>
        <v>0</v>
      </c>
      <c r="K13" s="894">
        <f>N15*1000/E15</f>
        <v>6.2854866022512201</v>
      </c>
      <c r="L13" s="895">
        <f>O15*1000/F15</f>
        <v>6.2854866022512201</v>
      </c>
      <c r="M13" s="819">
        <f t="shared" si="1"/>
        <v>0</v>
      </c>
      <c r="N13" s="829">
        <f>N14+N15</f>
        <v>127.9</v>
      </c>
      <c r="O13" s="824">
        <f>O14+O15</f>
        <v>127.9</v>
      </c>
      <c r="P13" s="477">
        <f t="shared" si="2"/>
        <v>0</v>
      </c>
      <c r="Q13" s="133"/>
      <c r="R13" s="65"/>
    </row>
    <row r="14" spans="1:18" ht="14.1" customHeight="1">
      <c r="A14" s="481"/>
      <c r="B14" s="218"/>
      <c r="C14" s="908"/>
      <c r="D14" s="872" t="s">
        <v>429</v>
      </c>
      <c r="E14" s="541">
        <v>111</v>
      </c>
      <c r="F14" s="788">
        <v>111</v>
      </c>
      <c r="G14" s="899">
        <f t="shared" si="3"/>
        <v>0</v>
      </c>
      <c r="H14" s="886">
        <f t="shared" si="5"/>
        <v>15.315315315315315</v>
      </c>
      <c r="I14" s="972">
        <f t="shared" si="5"/>
        <v>15.315315315315315</v>
      </c>
      <c r="J14" s="821">
        <f t="shared" si="6"/>
        <v>0</v>
      </c>
      <c r="K14" s="977">
        <v>0</v>
      </c>
      <c r="L14" s="973">
        <v>0</v>
      </c>
      <c r="M14" s="953">
        <v>0</v>
      </c>
      <c r="N14" s="831">
        <v>1.7</v>
      </c>
      <c r="O14" s="540">
        <v>1.7</v>
      </c>
      <c r="P14" s="545">
        <f t="shared" si="2"/>
        <v>0</v>
      </c>
      <c r="Q14" s="133"/>
      <c r="R14" s="65"/>
    </row>
    <row r="15" spans="1:18" ht="14.1" customHeight="1">
      <c r="A15" s="481"/>
      <c r="B15" s="218"/>
      <c r="C15" s="909"/>
      <c r="D15" s="797" t="s">
        <v>430</v>
      </c>
      <c r="E15" s="539">
        <v>20078</v>
      </c>
      <c r="F15" s="793">
        <v>20078</v>
      </c>
      <c r="G15" s="900">
        <f t="shared" si="3"/>
        <v>0</v>
      </c>
      <c r="H15" s="956">
        <v>0</v>
      </c>
      <c r="I15" s="957">
        <v>0</v>
      </c>
      <c r="J15" s="958">
        <v>0</v>
      </c>
      <c r="K15" s="952">
        <f>N15*1000/E15</f>
        <v>6.2854866022512201</v>
      </c>
      <c r="L15" s="982">
        <f>O15*1000/F15</f>
        <v>6.2854866022512201</v>
      </c>
      <c r="M15" s="959">
        <f t="shared" si="1"/>
        <v>0</v>
      </c>
      <c r="N15" s="833">
        <v>126.2</v>
      </c>
      <c r="O15" s="538">
        <v>126.2</v>
      </c>
      <c r="P15" s="544">
        <f t="shared" si="2"/>
        <v>0</v>
      </c>
      <c r="Q15" s="133"/>
      <c r="R15" s="65"/>
    </row>
    <row r="16" spans="1:18" ht="14.1" customHeight="1">
      <c r="A16" s="481"/>
      <c r="B16" s="218"/>
      <c r="C16" s="904" t="s">
        <v>11</v>
      </c>
      <c r="D16" s="873" t="s">
        <v>429</v>
      </c>
      <c r="E16" s="1028">
        <v>6175</v>
      </c>
      <c r="F16" s="926">
        <v>5782</v>
      </c>
      <c r="G16" s="902">
        <f t="shared" si="3"/>
        <v>-6.3643724696356259</v>
      </c>
      <c r="H16" s="894">
        <f t="shared" si="5"/>
        <v>36.631578947368418</v>
      </c>
      <c r="I16" s="840">
        <f t="shared" si="5"/>
        <v>39.311656866136282</v>
      </c>
      <c r="J16" s="805">
        <f t="shared" si="6"/>
        <v>7.3163046633030859</v>
      </c>
      <c r="K16" s="1029">
        <v>0</v>
      </c>
      <c r="L16" s="864">
        <v>0</v>
      </c>
      <c r="M16" s="805">
        <v>0</v>
      </c>
      <c r="N16" s="1029">
        <v>226.2</v>
      </c>
      <c r="O16" s="937">
        <v>227.3</v>
      </c>
      <c r="P16" s="480">
        <f t="shared" si="2"/>
        <v>0.48629531388153513</v>
      </c>
      <c r="Q16" s="133"/>
      <c r="R16" s="65"/>
    </row>
    <row r="17" spans="1:20" ht="14.1" customHeight="1">
      <c r="A17" s="481"/>
      <c r="B17" s="218"/>
      <c r="C17" s="910" t="s">
        <v>8</v>
      </c>
      <c r="D17" s="874"/>
      <c r="E17" s="839">
        <f>E18+E19+E20+E21+E22+E23</f>
        <v>968872</v>
      </c>
      <c r="F17" s="840">
        <f>F18+F19+F20+F21+F22+F23</f>
        <v>1032874</v>
      </c>
      <c r="G17" s="898">
        <f t="shared" si="3"/>
        <v>6.6058261566027232</v>
      </c>
      <c r="H17" s="894">
        <f>SUM(N18+N19+N20+N22)*1000/SUM(E18+E19+E20+E22)</f>
        <v>22.988769195507679</v>
      </c>
      <c r="I17" s="895">
        <f>SUM(O18+O19+O20+O22)*1000/SUM(F18+F19+F20+F22)</f>
        <v>26.878349071455681</v>
      </c>
      <c r="J17" s="819">
        <f t="shared" si="6"/>
        <v>16.91947856307192</v>
      </c>
      <c r="K17" s="894">
        <f>SUM(N21+N23)*1000/SUM(E21+E23)</f>
        <v>25.211214953271028</v>
      </c>
      <c r="L17" s="895">
        <f>SUM(O21+O23)*1000/SUM(F21+F23)</f>
        <v>25.211214953271028</v>
      </c>
      <c r="M17" s="819">
        <f t="shared" si="1"/>
        <v>0</v>
      </c>
      <c r="N17" s="837">
        <f>N18+N19+N20+N21+N22+N23</f>
        <v>22302.9</v>
      </c>
      <c r="O17" s="896">
        <f>O18+O19+O20+O21+O22+O23</f>
        <v>27739.649999999998</v>
      </c>
      <c r="P17" s="477">
        <f t="shared" si="2"/>
        <v>24.376874756197608</v>
      </c>
      <c r="Q17" s="133"/>
      <c r="R17" s="65"/>
    </row>
    <row r="18" spans="1:20" ht="14.1" customHeight="1">
      <c r="A18" s="481"/>
      <c r="B18" s="218"/>
      <c r="C18" s="911"/>
      <c r="D18" s="875" t="s">
        <v>440</v>
      </c>
      <c r="E18" s="541">
        <v>478056</v>
      </c>
      <c r="F18" s="859">
        <v>519829</v>
      </c>
      <c r="G18" s="899">
        <f t="shared" si="3"/>
        <v>8.7380976287296797</v>
      </c>
      <c r="H18" s="886">
        <f t="shared" si="5"/>
        <v>22.608857539702463</v>
      </c>
      <c r="I18" s="974">
        <f t="shared" si="5"/>
        <v>26.921545354337677</v>
      </c>
      <c r="J18" s="953">
        <f t="shared" si="6"/>
        <v>19.075213363001133</v>
      </c>
      <c r="K18" s="934">
        <v>0</v>
      </c>
      <c r="L18" s="954">
        <v>0</v>
      </c>
      <c r="M18" s="953">
        <v>0</v>
      </c>
      <c r="N18" s="831">
        <v>10808.3</v>
      </c>
      <c r="O18" s="540">
        <v>13994.6</v>
      </c>
      <c r="P18" s="545">
        <f t="shared" si="2"/>
        <v>29.480121758278365</v>
      </c>
      <c r="Q18" s="133"/>
      <c r="R18" s="65"/>
    </row>
    <row r="19" spans="1:20" ht="14.1" customHeight="1">
      <c r="A19" s="481"/>
      <c r="B19" s="218"/>
      <c r="C19" s="908"/>
      <c r="D19" s="876" t="s">
        <v>439</v>
      </c>
      <c r="E19" s="530">
        <v>170634</v>
      </c>
      <c r="F19" s="861">
        <v>183273</v>
      </c>
      <c r="G19" s="901">
        <f t="shared" si="3"/>
        <v>7.4070818242554237</v>
      </c>
      <c r="H19" s="884">
        <f t="shared" si="5"/>
        <v>24.806896632558576</v>
      </c>
      <c r="I19" s="892">
        <f t="shared" si="5"/>
        <v>35.47767538044338</v>
      </c>
      <c r="J19" s="955">
        <f t="shared" si="6"/>
        <v>43.015371515192328</v>
      </c>
      <c r="K19" s="934">
        <v>0</v>
      </c>
      <c r="L19" s="954">
        <v>0</v>
      </c>
      <c r="M19" s="953">
        <v>0</v>
      </c>
      <c r="N19" s="831">
        <v>4232.8999999999996</v>
      </c>
      <c r="O19" s="540">
        <v>6502.1</v>
      </c>
      <c r="P19" s="545">
        <f t="shared" si="2"/>
        <v>53.608637104585519</v>
      </c>
      <c r="Q19" s="133"/>
      <c r="R19" s="65"/>
    </row>
    <row r="20" spans="1:20" ht="14.1" customHeight="1">
      <c r="A20" s="481"/>
      <c r="B20" s="218"/>
      <c r="C20" s="908"/>
      <c r="D20" s="877" t="s">
        <v>435</v>
      </c>
      <c r="E20" s="533">
        <v>278646</v>
      </c>
      <c r="F20" s="861">
        <v>283818</v>
      </c>
      <c r="G20" s="901">
        <f t="shared" si="3"/>
        <v>1.8561185159664984</v>
      </c>
      <c r="H20" s="884">
        <f t="shared" si="5"/>
        <v>22.933399366938698</v>
      </c>
      <c r="I20" s="975">
        <f t="shared" si="5"/>
        <v>21.858726366897095</v>
      </c>
      <c r="J20" s="955">
        <f t="shared" si="6"/>
        <v>-4.6860606351750711</v>
      </c>
      <c r="K20" s="961">
        <v>0</v>
      </c>
      <c r="L20" s="962">
        <v>0</v>
      </c>
      <c r="M20" s="955">
        <v>0</v>
      </c>
      <c r="N20" s="830">
        <v>6390.3</v>
      </c>
      <c r="O20" s="532">
        <v>6203.9</v>
      </c>
      <c r="P20" s="524">
        <f t="shared" si="2"/>
        <v>-2.9169209583274736</v>
      </c>
      <c r="Q20" s="133"/>
      <c r="R20" s="65"/>
    </row>
    <row r="21" spans="1:20" ht="14.1" customHeight="1">
      <c r="A21" s="481"/>
      <c r="B21" s="218"/>
      <c r="C21" s="908"/>
      <c r="D21" s="877" t="s">
        <v>436</v>
      </c>
      <c r="E21" s="533">
        <v>8694</v>
      </c>
      <c r="F21" s="861">
        <v>8694</v>
      </c>
      <c r="G21" s="901">
        <f t="shared" si="3"/>
        <v>0</v>
      </c>
      <c r="H21" s="981">
        <v>0</v>
      </c>
      <c r="I21" s="984">
        <v>0</v>
      </c>
      <c r="J21" s="955">
        <v>0</v>
      </c>
      <c r="K21" s="884">
        <f>N21*1000/E21</f>
        <v>25.212790430181734</v>
      </c>
      <c r="L21" s="985">
        <f>O21*1000/F21</f>
        <v>25.212790430181734</v>
      </c>
      <c r="M21" s="955">
        <f t="shared" si="1"/>
        <v>0</v>
      </c>
      <c r="N21" s="830">
        <v>219.2</v>
      </c>
      <c r="O21" s="532">
        <v>219.2</v>
      </c>
      <c r="P21" s="524">
        <f t="shared" si="2"/>
        <v>0</v>
      </c>
      <c r="Q21" s="133"/>
      <c r="R21" s="65"/>
    </row>
    <row r="22" spans="1:20" ht="14.1" customHeight="1">
      <c r="A22" s="481"/>
      <c r="B22" s="218"/>
      <c r="C22" s="908"/>
      <c r="D22" s="878" t="s">
        <v>437</v>
      </c>
      <c r="E22" s="533">
        <v>28161</v>
      </c>
      <c r="F22" s="861">
        <v>32579</v>
      </c>
      <c r="G22" s="901"/>
      <c r="H22" s="884">
        <v>0</v>
      </c>
      <c r="I22" s="975">
        <f t="shared" si="5"/>
        <v>21.543018508855397</v>
      </c>
      <c r="J22" s="955">
        <v>0</v>
      </c>
      <c r="K22" s="961">
        <v>0</v>
      </c>
      <c r="L22" s="962">
        <v>0</v>
      </c>
      <c r="M22" s="955">
        <v>0</v>
      </c>
      <c r="N22" s="830">
        <v>534.20000000000005</v>
      </c>
      <c r="O22" s="532">
        <v>701.85</v>
      </c>
      <c r="P22" s="524">
        <v>0</v>
      </c>
      <c r="Q22" s="133"/>
      <c r="R22" s="65"/>
      <c r="S22" s="787" t="s">
        <v>311</v>
      </c>
    </row>
    <row r="23" spans="1:20" ht="14.1" customHeight="1">
      <c r="A23" s="481"/>
      <c r="B23" s="218"/>
      <c r="C23" s="912"/>
      <c r="D23" s="879" t="s">
        <v>438</v>
      </c>
      <c r="E23" s="537">
        <v>4681</v>
      </c>
      <c r="F23" s="862">
        <v>4681</v>
      </c>
      <c r="G23" s="900"/>
      <c r="H23" s="956">
        <v>0</v>
      </c>
      <c r="I23" s="971">
        <v>0</v>
      </c>
      <c r="J23" s="958">
        <v>0</v>
      </c>
      <c r="K23" s="952">
        <v>0</v>
      </c>
      <c r="L23" s="982">
        <f>O23*1000/F23</f>
        <v>25.208288827173682</v>
      </c>
      <c r="M23" s="959">
        <v>0</v>
      </c>
      <c r="N23" s="833">
        <v>118</v>
      </c>
      <c r="O23" s="538">
        <v>118</v>
      </c>
      <c r="P23" s="544">
        <v>0</v>
      </c>
      <c r="Q23" s="133"/>
      <c r="R23" s="65"/>
    </row>
    <row r="24" spans="1:20" ht="14.1" customHeight="1">
      <c r="A24" s="481"/>
      <c r="B24" s="218"/>
      <c r="C24" s="913" t="s">
        <v>30</v>
      </c>
      <c r="D24" s="880"/>
      <c r="E24" s="789">
        <f>E25+E26</f>
        <v>433242</v>
      </c>
      <c r="F24" s="863">
        <f>F25+F26</f>
        <v>410057</v>
      </c>
      <c r="G24" s="902">
        <f t="shared" si="3"/>
        <v>-5.3515125495681382</v>
      </c>
      <c r="H24" s="894">
        <f>N25*1000/E25</f>
        <v>19.577932026805581</v>
      </c>
      <c r="I24" s="895">
        <f>O25*1000/F25</f>
        <v>23.102816197300449</v>
      </c>
      <c r="J24" s="805">
        <f t="shared" si="6"/>
        <v>18.0043743418288</v>
      </c>
      <c r="K24" s="894">
        <f>N26*1000/E26</f>
        <v>27.41201734928865</v>
      </c>
      <c r="L24" s="895">
        <f>O26*1000/F26</f>
        <v>29.60020305193207</v>
      </c>
      <c r="M24" s="805">
        <f t="shared" si="1"/>
        <v>7.9825781326532175</v>
      </c>
      <c r="N24" s="834">
        <f>N25+N26</f>
        <v>10700</v>
      </c>
      <c r="O24" s="791">
        <f>O25+O26</f>
        <v>11163</v>
      </c>
      <c r="P24" s="480">
        <f t="shared" si="2"/>
        <v>4.3271028037383141</v>
      </c>
      <c r="Q24" s="133"/>
      <c r="R24" s="65"/>
      <c r="T24" s="787" t="s">
        <v>311</v>
      </c>
    </row>
    <row r="25" spans="1:20" ht="14.1" customHeight="1">
      <c r="A25" s="481"/>
      <c r="B25" s="218"/>
      <c r="C25" s="914"/>
      <c r="D25" s="872" t="s">
        <v>429</v>
      </c>
      <c r="E25" s="530">
        <v>150118</v>
      </c>
      <c r="F25" s="859">
        <v>150025</v>
      </c>
      <c r="G25" s="899">
        <f t="shared" si="3"/>
        <v>-6.1951265004867029E-2</v>
      </c>
      <c r="H25" s="886">
        <f t="shared" si="5"/>
        <v>19.577932026805581</v>
      </c>
      <c r="I25" s="972">
        <f t="shared" si="5"/>
        <v>23.102816197300449</v>
      </c>
      <c r="J25" s="821">
        <f t="shared" si="6"/>
        <v>18.0043743418288</v>
      </c>
      <c r="K25" s="977">
        <v>0</v>
      </c>
      <c r="L25" s="973">
        <v>0</v>
      </c>
      <c r="M25" s="953">
        <v>0</v>
      </c>
      <c r="N25" s="831">
        <v>2939</v>
      </c>
      <c r="O25" s="540">
        <v>3466</v>
      </c>
      <c r="P25" s="545">
        <f t="shared" si="2"/>
        <v>17.931269139162985</v>
      </c>
      <c r="Q25" s="133"/>
      <c r="R25" s="65"/>
    </row>
    <row r="26" spans="1:20" ht="14.1" customHeight="1">
      <c r="A26" s="481"/>
      <c r="B26" s="218"/>
      <c r="C26" s="915"/>
      <c r="D26" s="881" t="s">
        <v>430</v>
      </c>
      <c r="E26" s="537">
        <v>283124</v>
      </c>
      <c r="F26" s="862">
        <v>260032</v>
      </c>
      <c r="G26" s="900">
        <f t="shared" si="3"/>
        <v>-8.1561435978581791</v>
      </c>
      <c r="H26" s="979">
        <v>0</v>
      </c>
      <c r="I26" s="963">
        <v>0</v>
      </c>
      <c r="J26" s="958">
        <v>0</v>
      </c>
      <c r="K26" s="952">
        <f>N26*1000/E26</f>
        <v>27.41201734928865</v>
      </c>
      <c r="L26" s="982">
        <f>O26*1000/F26</f>
        <v>29.60020305193207</v>
      </c>
      <c r="M26" s="959">
        <f t="shared" si="1"/>
        <v>7.9825781326532175</v>
      </c>
      <c r="N26" s="833">
        <v>7761</v>
      </c>
      <c r="O26" s="538">
        <v>7697</v>
      </c>
      <c r="P26" s="544">
        <f t="shared" si="2"/>
        <v>-0.82463600051539965</v>
      </c>
      <c r="Q26" s="133"/>
      <c r="R26" s="65"/>
    </row>
    <row r="27" spans="1:20" ht="14.1" customHeight="1">
      <c r="A27" s="481"/>
      <c r="B27" s="218"/>
      <c r="C27" s="913" t="s">
        <v>31</v>
      </c>
      <c r="D27" s="882" t="s">
        <v>429</v>
      </c>
      <c r="E27" s="780">
        <v>12538</v>
      </c>
      <c r="F27" s="864">
        <v>12538</v>
      </c>
      <c r="G27" s="898">
        <f t="shared" si="3"/>
        <v>0</v>
      </c>
      <c r="H27" s="894">
        <f t="shared" si="5"/>
        <v>24.69293348221407</v>
      </c>
      <c r="I27" s="840">
        <f t="shared" si="5"/>
        <v>24.684957728505342</v>
      </c>
      <c r="J27" s="819">
        <f t="shared" si="6"/>
        <v>-3.2299741602070942E-2</v>
      </c>
      <c r="K27" s="839">
        <v>0</v>
      </c>
      <c r="L27" s="864">
        <v>0</v>
      </c>
      <c r="M27" s="819">
        <v>0</v>
      </c>
      <c r="N27" s="839">
        <v>309.60000000000002</v>
      </c>
      <c r="O27" s="840">
        <v>309.5</v>
      </c>
      <c r="P27" s="477">
        <f t="shared" si="2"/>
        <v>-3.2299741602070942E-2</v>
      </c>
      <c r="Q27" s="133"/>
      <c r="R27" s="65"/>
    </row>
    <row r="28" spans="1:20" ht="14.1" customHeight="1">
      <c r="A28" s="481"/>
      <c r="B28" s="218"/>
      <c r="C28" s="910" t="s">
        <v>9</v>
      </c>
      <c r="D28" s="882" t="s">
        <v>429</v>
      </c>
      <c r="E28" s="780">
        <v>198971.3</v>
      </c>
      <c r="F28" s="864">
        <v>200997.3</v>
      </c>
      <c r="G28" s="898">
        <f t="shared" si="3"/>
        <v>1.0182373035709125</v>
      </c>
      <c r="H28" s="894">
        <f t="shared" si="5"/>
        <v>20.424553691914362</v>
      </c>
      <c r="I28" s="840">
        <f t="shared" si="5"/>
        <v>24.568489228462273</v>
      </c>
      <c r="J28" s="819">
        <f t="shared" si="6"/>
        <v>20.288989414678895</v>
      </c>
      <c r="K28" s="839">
        <v>0</v>
      </c>
      <c r="L28" s="864">
        <v>0</v>
      </c>
      <c r="M28" s="819">
        <v>0</v>
      </c>
      <c r="N28" s="839">
        <v>4063.9</v>
      </c>
      <c r="O28" s="840">
        <v>4938.2</v>
      </c>
      <c r="P28" s="477">
        <f t="shared" si="2"/>
        <v>21.513816776987625</v>
      </c>
      <c r="Q28" s="133"/>
      <c r="R28" s="65"/>
    </row>
    <row r="29" spans="1:20" ht="14.1" customHeight="1">
      <c r="A29" s="481"/>
      <c r="B29" s="218"/>
      <c r="C29" s="905" t="s">
        <v>7</v>
      </c>
      <c r="D29" s="873" t="s">
        <v>429</v>
      </c>
      <c r="E29" s="780">
        <v>44500</v>
      </c>
      <c r="F29" s="864">
        <v>46500</v>
      </c>
      <c r="G29" s="898">
        <f t="shared" si="3"/>
        <v>4.4943820224719211</v>
      </c>
      <c r="H29" s="894">
        <f t="shared" si="5"/>
        <v>28.988764044943821</v>
      </c>
      <c r="I29" s="840">
        <f t="shared" si="5"/>
        <v>22.580645161290324</v>
      </c>
      <c r="J29" s="819">
        <f t="shared" si="6"/>
        <v>-22.105526381595396</v>
      </c>
      <c r="K29" s="839">
        <v>0</v>
      </c>
      <c r="L29" s="864">
        <v>0</v>
      </c>
      <c r="M29" s="819">
        <v>0</v>
      </c>
      <c r="N29" s="839">
        <v>1290</v>
      </c>
      <c r="O29" s="840">
        <v>1050</v>
      </c>
      <c r="P29" s="477">
        <f t="shared" si="2"/>
        <v>-18.604651162790699</v>
      </c>
      <c r="Q29" s="133"/>
      <c r="R29" s="65"/>
    </row>
    <row r="30" spans="1:20" ht="14.1" customHeight="1">
      <c r="A30" s="481"/>
      <c r="B30" s="218"/>
      <c r="C30" s="916" t="s">
        <v>15</v>
      </c>
      <c r="D30" s="873"/>
      <c r="E30" s="780">
        <f>E31+E32</f>
        <v>10009</v>
      </c>
      <c r="F30" s="864">
        <f>F31+F32</f>
        <v>11921</v>
      </c>
      <c r="G30" s="898">
        <f t="shared" si="3"/>
        <v>19.102807473274062</v>
      </c>
      <c r="H30" s="894">
        <f>N31*1000/E31</f>
        <v>10.662721893491124</v>
      </c>
      <c r="I30" s="840">
        <f t="shared" si="5"/>
        <v>12.381511618152839</v>
      </c>
      <c r="J30" s="819">
        <f t="shared" si="6"/>
        <v>16.119615064807434</v>
      </c>
      <c r="K30" s="894">
        <f>N32*1000/E32</f>
        <v>24.50288646568313</v>
      </c>
      <c r="L30" s="895">
        <f>O32*1000/F32</f>
        <v>23.454038997214486</v>
      </c>
      <c r="M30" s="819">
        <f t="shared" si="1"/>
        <v>-4.2805057679126008</v>
      </c>
      <c r="N30" s="829">
        <f>N31+N32</f>
        <v>128.30000000000001</v>
      </c>
      <c r="O30" s="529">
        <f>O31+O32</f>
        <v>147.6</v>
      </c>
      <c r="P30" s="477">
        <f t="shared" si="2"/>
        <v>15.042868277474653</v>
      </c>
      <c r="Q30" s="133"/>
      <c r="R30" s="65"/>
    </row>
    <row r="31" spans="1:20" ht="14.1" customHeight="1">
      <c r="A31" s="481"/>
      <c r="B31" s="218"/>
      <c r="C31" s="783"/>
      <c r="D31" s="873" t="s">
        <v>429</v>
      </c>
      <c r="E31" s="867">
        <v>8450</v>
      </c>
      <c r="F31" s="865">
        <v>10126</v>
      </c>
      <c r="G31" s="897">
        <f t="shared" si="3"/>
        <v>19.834319526627219</v>
      </c>
      <c r="H31" s="886">
        <f t="shared" si="5"/>
        <v>10.662721893491124</v>
      </c>
      <c r="I31" s="972">
        <f t="shared" si="5"/>
        <v>10.418724076634406</v>
      </c>
      <c r="J31" s="821">
        <f t="shared" si="6"/>
        <v>-2.288325807368774</v>
      </c>
      <c r="K31" s="966">
        <v>0</v>
      </c>
      <c r="L31" s="973">
        <v>0</v>
      </c>
      <c r="M31" s="821">
        <v>0</v>
      </c>
      <c r="N31" s="827">
        <v>90.1</v>
      </c>
      <c r="O31" s="801">
        <v>105.5</v>
      </c>
      <c r="P31" s="796">
        <f t="shared" si="2"/>
        <v>17.092119866814649</v>
      </c>
      <c r="Q31" s="133"/>
      <c r="R31" s="65"/>
    </row>
    <row r="32" spans="1:20" ht="14.1" customHeight="1" thickBot="1">
      <c r="A32" s="481"/>
      <c r="B32" s="218"/>
      <c r="C32" s="479"/>
      <c r="D32" s="883" t="s">
        <v>430</v>
      </c>
      <c r="E32" s="822">
        <v>1559</v>
      </c>
      <c r="F32" s="866">
        <v>1795</v>
      </c>
      <c r="G32" s="903">
        <f t="shared" si="3"/>
        <v>15.137908915971776</v>
      </c>
      <c r="H32" s="967">
        <v>0</v>
      </c>
      <c r="I32" s="968">
        <v>0</v>
      </c>
      <c r="J32" s="836">
        <v>0</v>
      </c>
      <c r="K32" s="952">
        <f>N32*1000/E32</f>
        <v>24.50288646568313</v>
      </c>
      <c r="L32" s="969">
        <f>O32*1000/F32</f>
        <v>23.454038997214486</v>
      </c>
      <c r="M32" s="836">
        <f t="shared" si="1"/>
        <v>-4.2805057679126008</v>
      </c>
      <c r="N32" s="835">
        <v>38.200000000000003</v>
      </c>
      <c r="O32" s="825">
        <v>42.1</v>
      </c>
      <c r="P32" s="887">
        <f t="shared" si="2"/>
        <v>10.209424083769637</v>
      </c>
      <c r="Q32" s="133"/>
      <c r="R32" s="65"/>
    </row>
    <row r="33" spans="1:18" ht="14.1" customHeight="1" thickBot="1">
      <c r="A33" s="481"/>
      <c r="B33" s="218"/>
      <c r="C33" s="1067" t="s">
        <v>431</v>
      </c>
      <c r="D33" s="1068"/>
      <c r="E33" s="1069">
        <f>E10+E11+E14+E16+E18+E19+E20+E22+E25+E27+E28+E29+E31</f>
        <v>1479810.3</v>
      </c>
      <c r="F33" s="1070">
        <f>F10+F11+F14+F16+F18+F19+F20+F22+F25+F27+F28+F29+F31</f>
        <v>1547446.3</v>
      </c>
      <c r="G33" s="1071">
        <f>(F33/E35-1)*100</f>
        <v>-19.490817810737081</v>
      </c>
      <c r="H33" s="1072">
        <f>N33*1000/E35</f>
        <v>16.673809123820028</v>
      </c>
      <c r="I33" s="1073">
        <f>O33*1000/F33</f>
        <v>25.075086612052385</v>
      </c>
      <c r="J33" s="1074">
        <f t="shared" ref="J33" si="7">(I33/H33-1)*100</f>
        <v>50.386072107724814</v>
      </c>
      <c r="K33" s="1069">
        <v>0</v>
      </c>
      <c r="L33" s="1075">
        <v>0</v>
      </c>
      <c r="M33" s="1076">
        <v>0</v>
      </c>
      <c r="N33" s="1069">
        <f>N10+N11+N14+N16+N18+N19+N20+N22+N25+N27+N28+N29+N31</f>
        <v>32048.299999999996</v>
      </c>
      <c r="O33" s="1075">
        <f>O10+O11+O14+O16+O18+O19+O20+O22+O25+O27+O28+O29+O31</f>
        <v>38802.35</v>
      </c>
      <c r="P33" s="1077">
        <f t="shared" si="2"/>
        <v>21.074596780484466</v>
      </c>
      <c r="Q33" s="133"/>
      <c r="R33" s="65"/>
    </row>
    <row r="34" spans="1:18" ht="14.1" customHeight="1" thickBot="1">
      <c r="A34" s="481"/>
      <c r="B34" s="218"/>
      <c r="C34" s="1096" t="s">
        <v>432</v>
      </c>
      <c r="D34" s="1097"/>
      <c r="E34" s="1104">
        <f>E7+E8+E12+E15+E21+E23+E26+E32</f>
        <v>442264</v>
      </c>
      <c r="F34" s="1105">
        <f>F7+F8+F12+F15+F21+F23+F26+F32</f>
        <v>430072</v>
      </c>
      <c r="G34" s="1107">
        <f t="shared" si="3"/>
        <v>-2.7567244903496602</v>
      </c>
      <c r="H34" s="1104">
        <v>0</v>
      </c>
      <c r="I34" s="1102">
        <v>0</v>
      </c>
      <c r="J34" s="1108">
        <v>0</v>
      </c>
      <c r="K34" s="1101">
        <f>N34*1000/E34</f>
        <v>25.294168189135902</v>
      </c>
      <c r="L34" s="1105">
        <f>N34*1000/F34</f>
        <v>26.011226027269853</v>
      </c>
      <c r="M34" s="1109">
        <f t="shared" ref="M34" si="8">(L34/K34-1)*100</f>
        <v>2.8348741606056604</v>
      </c>
      <c r="N34" s="1104">
        <f>N7+N8+N12+N15+N21+N23+N26+N32</f>
        <v>11186.7</v>
      </c>
      <c r="O34" s="1106">
        <f>O7+O8+O12+O15+O21+O23+O26+O32</f>
        <v>11732.699999999999</v>
      </c>
      <c r="P34" s="1103">
        <f t="shared" si="2"/>
        <v>4.8807959451848903</v>
      </c>
      <c r="Q34" s="133"/>
      <c r="R34" s="65"/>
    </row>
    <row r="35" spans="1:18" ht="14.1" customHeight="1" thickTop="1" thickBot="1">
      <c r="A35" s="481"/>
      <c r="B35" s="218"/>
      <c r="C35" s="1091" t="s">
        <v>433</v>
      </c>
      <c r="D35" s="1092"/>
      <c r="E35" s="1078">
        <f>E33+E34</f>
        <v>1922074.3</v>
      </c>
      <c r="F35" s="1079">
        <f>F33+F34</f>
        <v>1977518.3</v>
      </c>
      <c r="G35" s="1093">
        <f t="shared" si="3"/>
        <v>2.8845919223830174</v>
      </c>
      <c r="H35" s="1309">
        <f>N35*1000/E35</f>
        <v>22.493927524029637</v>
      </c>
      <c r="I35" s="1310"/>
      <c r="J35" s="1309">
        <f>O35*1000/F35</f>
        <v>25.55478247660211</v>
      </c>
      <c r="K35" s="1310"/>
      <c r="L35" s="1311">
        <f>(J35/H35-1)*100</f>
        <v>13.607472280252741</v>
      </c>
      <c r="M35" s="1312"/>
      <c r="N35" s="1080">
        <f>N33+N34</f>
        <v>43235</v>
      </c>
      <c r="O35" s="1079">
        <f>O33+O34</f>
        <v>50535.049999999996</v>
      </c>
      <c r="P35" s="1094">
        <f t="shared" si="2"/>
        <v>16.884584248872425</v>
      </c>
      <c r="Q35" s="133"/>
      <c r="R35" s="65"/>
    </row>
    <row r="36" spans="1:18">
      <c r="A36" s="481"/>
      <c r="B36" s="218"/>
      <c r="C36" s="1110" t="s">
        <v>534</v>
      </c>
      <c r="D36" s="784"/>
      <c r="E36" s="483"/>
      <c r="F36" s="483"/>
      <c r="G36" s="483"/>
      <c r="H36" s="483"/>
      <c r="I36" s="483"/>
      <c r="J36" s="483"/>
      <c r="K36" s="483"/>
      <c r="L36" s="483"/>
      <c r="M36" s="483"/>
      <c r="N36" s="483"/>
      <c r="O36" s="483"/>
      <c r="P36" s="483"/>
      <c r="Q36" s="197"/>
      <c r="R36" s="65"/>
    </row>
    <row r="37" spans="1:18">
      <c r="A37" s="481"/>
      <c r="B37" s="481"/>
      <c r="C37" s="481"/>
      <c r="D37" s="482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65"/>
    </row>
    <row r="38" spans="1:18">
      <c r="D38"/>
      <c r="E38"/>
      <c r="F38" s="4"/>
      <c r="G38" s="4"/>
      <c r="H38"/>
      <c r="I38" s="4"/>
      <c r="J38" s="4"/>
      <c r="K38"/>
      <c r="L38" s="4"/>
      <c r="M38" s="4"/>
      <c r="N38"/>
      <c r="O38" s="4"/>
      <c r="P38" s="4"/>
      <c r="Q38"/>
      <c r="R38"/>
    </row>
    <row r="39" spans="1:18"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</row>
    <row r="40" spans="1:18">
      <c r="D40"/>
      <c r="E40"/>
      <c r="F40"/>
      <c r="G40"/>
      <c r="H40"/>
      <c r="I40"/>
      <c r="J40"/>
      <c r="K40"/>
      <c r="L40"/>
      <c r="M40"/>
      <c r="N40"/>
      <c r="O40"/>
      <c r="P40"/>
    </row>
    <row r="41" spans="1:18">
      <c r="D41"/>
      <c r="E41"/>
      <c r="F41"/>
      <c r="G41"/>
      <c r="H41"/>
      <c r="I41"/>
      <c r="J41"/>
      <c r="K41"/>
      <c r="L41"/>
      <c r="M41"/>
      <c r="N41"/>
      <c r="O41"/>
      <c r="P41"/>
    </row>
    <row r="42" spans="1:18">
      <c r="D42"/>
      <c r="E42"/>
      <c r="F42"/>
      <c r="G42"/>
      <c r="H42"/>
      <c r="I42"/>
      <c r="J42"/>
      <c r="K42"/>
      <c r="L42"/>
      <c r="M42"/>
      <c r="N42"/>
      <c r="O42"/>
      <c r="P42"/>
    </row>
    <row r="43" spans="1:18">
      <c r="D43"/>
      <c r="E43"/>
      <c r="F43"/>
      <c r="G43"/>
      <c r="H43"/>
      <c r="I43"/>
      <c r="J43"/>
      <c r="K43"/>
      <c r="L43"/>
      <c r="M43"/>
      <c r="N43"/>
      <c r="O43"/>
      <c r="P43"/>
    </row>
    <row r="44" spans="1:18">
      <c r="D44"/>
      <c r="E44"/>
      <c r="F44"/>
      <c r="G44"/>
      <c r="H44"/>
      <c r="I44"/>
      <c r="J44"/>
      <c r="K44"/>
      <c r="L44"/>
      <c r="M44"/>
      <c r="N44"/>
      <c r="O44"/>
      <c r="P44"/>
    </row>
    <row r="45" spans="1:18">
      <c r="D45"/>
      <c r="E45"/>
      <c r="F45"/>
      <c r="G45"/>
      <c r="H45"/>
      <c r="I45"/>
      <c r="J45"/>
      <c r="K45"/>
      <c r="L45"/>
      <c r="M45"/>
      <c r="N45"/>
      <c r="O45"/>
      <c r="P45"/>
    </row>
    <row r="46" spans="1:18">
      <c r="D46"/>
      <c r="E46"/>
      <c r="F46"/>
      <c r="G46"/>
      <c r="H46"/>
      <c r="I46"/>
      <c r="J46"/>
      <c r="K46"/>
      <c r="L46"/>
      <c r="M46"/>
      <c r="N46"/>
      <c r="O46"/>
      <c r="P46"/>
    </row>
    <row r="47" spans="1:18">
      <c r="D47"/>
      <c r="E47"/>
      <c r="F47"/>
      <c r="G47"/>
      <c r="H47"/>
      <c r="I47"/>
      <c r="J47"/>
      <c r="K47"/>
      <c r="L47"/>
      <c r="M47"/>
      <c r="N47"/>
      <c r="O47"/>
      <c r="P47"/>
    </row>
    <row r="48" spans="1:18">
      <c r="D48"/>
      <c r="E48"/>
      <c r="F48"/>
      <c r="G48"/>
      <c r="H48"/>
      <c r="I48"/>
      <c r="J48"/>
      <c r="K48"/>
      <c r="L48"/>
      <c r="M48"/>
      <c r="N48"/>
      <c r="O48"/>
      <c r="P48"/>
    </row>
    <row r="49" spans="4:16">
      <c r="D49"/>
      <c r="E49"/>
      <c r="F49"/>
      <c r="G49"/>
      <c r="H49"/>
      <c r="I49"/>
      <c r="J49"/>
      <c r="K49"/>
      <c r="L49"/>
      <c r="M49"/>
      <c r="N49"/>
      <c r="O49"/>
      <c r="P49"/>
    </row>
    <row r="50" spans="4:16">
      <c r="D50"/>
      <c r="E50"/>
      <c r="F50"/>
      <c r="G50"/>
      <c r="H50"/>
      <c r="I50"/>
      <c r="J50"/>
      <c r="K50"/>
      <c r="L50"/>
      <c r="M50"/>
      <c r="N50"/>
      <c r="O50"/>
      <c r="P50"/>
    </row>
    <row r="51" spans="4:16">
      <c r="D51"/>
      <c r="E51"/>
      <c r="F51"/>
      <c r="G51"/>
      <c r="H51"/>
      <c r="I51"/>
      <c r="J51"/>
      <c r="K51"/>
      <c r="L51"/>
      <c r="M51"/>
      <c r="N51"/>
      <c r="O51"/>
      <c r="P51"/>
    </row>
    <row r="52" spans="4:16">
      <c r="D52"/>
      <c r="E52"/>
      <c r="F52"/>
      <c r="G52"/>
      <c r="H52"/>
      <c r="I52"/>
      <c r="J52"/>
      <c r="K52"/>
      <c r="L52"/>
      <c r="M52"/>
      <c r="N52"/>
      <c r="O52"/>
      <c r="P52"/>
    </row>
    <row r="53" spans="4:16">
      <c r="D53"/>
      <c r="E53"/>
      <c r="F53"/>
      <c r="G53"/>
      <c r="H53"/>
      <c r="I53"/>
      <c r="J53"/>
      <c r="K53"/>
      <c r="L53"/>
      <c r="M53"/>
      <c r="N53"/>
      <c r="O53"/>
      <c r="P53"/>
    </row>
    <row r="54" spans="4:16">
      <c r="D54"/>
      <c r="E54"/>
      <c r="F54"/>
      <c r="G54"/>
      <c r="H54"/>
      <c r="I54"/>
      <c r="J54"/>
      <c r="K54"/>
      <c r="L54"/>
      <c r="M54"/>
      <c r="N54"/>
      <c r="O54"/>
      <c r="P54"/>
    </row>
    <row r="55" spans="4:16">
      <c r="D55"/>
      <c r="E55"/>
      <c r="F55"/>
      <c r="G55"/>
      <c r="H55"/>
      <c r="I55"/>
      <c r="J55"/>
      <c r="K55"/>
      <c r="L55"/>
      <c r="M55"/>
      <c r="N55"/>
      <c r="O55"/>
      <c r="P55"/>
    </row>
    <row r="56" spans="4:16">
      <c r="D56"/>
      <c r="E56"/>
      <c r="F56"/>
      <c r="G56"/>
      <c r="H56"/>
      <c r="I56"/>
      <c r="J56"/>
      <c r="K56"/>
      <c r="L56"/>
      <c r="M56"/>
      <c r="N56"/>
      <c r="O56"/>
      <c r="P56"/>
    </row>
    <row r="57" spans="4:16">
      <c r="D57"/>
      <c r="E57"/>
      <c r="F57"/>
      <c r="G57"/>
      <c r="H57"/>
      <c r="I57"/>
      <c r="J57"/>
      <c r="K57"/>
      <c r="L57"/>
      <c r="M57"/>
      <c r="N57"/>
      <c r="O57"/>
      <c r="P57"/>
    </row>
    <row r="58" spans="4:16">
      <c r="D58"/>
      <c r="E58"/>
      <c r="F58"/>
      <c r="G58"/>
      <c r="H58"/>
      <c r="I58"/>
      <c r="J58"/>
      <c r="K58"/>
      <c r="L58"/>
      <c r="M58"/>
      <c r="N58"/>
      <c r="O58"/>
      <c r="P58"/>
    </row>
    <row r="59" spans="4:16">
      <c r="D59"/>
      <c r="E59"/>
      <c r="F59"/>
      <c r="G59"/>
      <c r="H59"/>
      <c r="I59"/>
      <c r="J59"/>
      <c r="K59"/>
      <c r="L59"/>
      <c r="M59"/>
      <c r="N59"/>
      <c r="O59"/>
      <c r="P59"/>
    </row>
    <row r="60" spans="4:16">
      <c r="D60"/>
      <c r="E60"/>
      <c r="F60"/>
      <c r="G60"/>
      <c r="H60"/>
      <c r="I60"/>
      <c r="J60"/>
      <c r="K60"/>
      <c r="L60"/>
      <c r="M60"/>
      <c r="N60"/>
      <c r="O60"/>
      <c r="P60"/>
    </row>
    <row r="61" spans="4:16">
      <c r="D61"/>
      <c r="E61"/>
      <c r="F61"/>
      <c r="G61"/>
      <c r="H61"/>
      <c r="I61"/>
      <c r="J61"/>
      <c r="K61"/>
      <c r="L61"/>
      <c r="M61"/>
      <c r="N61"/>
      <c r="O61"/>
      <c r="P61"/>
    </row>
    <row r="62" spans="4:16">
      <c r="D62"/>
    </row>
  </sheetData>
  <mergeCells count="14">
    <mergeCell ref="A1:R1"/>
    <mergeCell ref="H35:I35"/>
    <mergeCell ref="J35:K35"/>
    <mergeCell ref="L35:M35"/>
    <mergeCell ref="H4:M4"/>
    <mergeCell ref="N4:P4"/>
    <mergeCell ref="C2:P2"/>
    <mergeCell ref="C3:P3"/>
    <mergeCell ref="C4:D6"/>
    <mergeCell ref="E4:G4"/>
    <mergeCell ref="E5:G5"/>
    <mergeCell ref="H5:J5"/>
    <mergeCell ref="K5:M5"/>
    <mergeCell ref="N5:P5"/>
  </mergeCells>
  <printOptions horizontalCentered="1" verticalCentered="1"/>
  <pageMargins left="0.51181102362204722" right="0.51181102362204722" top="0.59055118110236227" bottom="0.59055118110236227" header="0.31496062992125984" footer="0.31496062992125984"/>
  <pageSetup paperSize="9" orientation="landscape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>
  <dimension ref="A1:U62"/>
  <sheetViews>
    <sheetView workbookViewId="0">
      <pane xSplit="2" ySplit="6" topLeftCell="C7" activePane="bottomRight" state="frozen"/>
      <selection pane="topRight" activeCell="C1" sqref="C1"/>
      <selection pane="bottomLeft" activeCell="A6" sqref="A6"/>
      <selection pane="bottomRight" sqref="A1:R1"/>
    </sheetView>
  </sheetViews>
  <sheetFormatPr defaultRowHeight="15"/>
  <cols>
    <col min="1" max="2" width="2.7109375" style="1" customWidth="1"/>
    <col min="3" max="3" width="8.7109375" style="1" customWidth="1"/>
    <col min="4" max="4" width="28" style="32" customWidth="1"/>
    <col min="5" max="6" width="10.28515625" style="32" bestFit="1" customWidth="1"/>
    <col min="7" max="13" width="6.7109375" style="32" customWidth="1"/>
    <col min="14" max="15" width="7.7109375" style="32" bestFit="1" customWidth="1"/>
    <col min="16" max="16" width="6.7109375" style="32" bestFit="1" customWidth="1"/>
    <col min="17" max="18" width="2.7109375" style="1" customWidth="1"/>
    <col min="19" max="16384" width="9.140625" style="1"/>
  </cols>
  <sheetData>
    <row r="1" spans="1:18" ht="14.25" customHeight="1">
      <c r="A1" s="1308" t="s">
        <v>483</v>
      </c>
      <c r="B1" s="1308"/>
      <c r="C1" s="1308"/>
      <c r="D1" s="1308"/>
      <c r="E1" s="1308"/>
      <c r="F1" s="1308"/>
      <c r="G1" s="1308"/>
      <c r="H1" s="1308"/>
      <c r="I1" s="1308"/>
      <c r="J1" s="1308"/>
      <c r="K1" s="1308"/>
      <c r="L1" s="1308"/>
      <c r="M1" s="1308"/>
      <c r="N1" s="1308"/>
      <c r="O1" s="1308"/>
      <c r="P1" s="1308"/>
      <c r="Q1" s="1308"/>
      <c r="R1" s="1308"/>
    </row>
    <row r="2" spans="1:18" ht="15.75">
      <c r="A2" s="481"/>
      <c r="B2" s="1326" t="s">
        <v>434</v>
      </c>
      <c r="C2" s="1326"/>
      <c r="D2" s="1326"/>
      <c r="E2" s="1326"/>
      <c r="F2" s="1326"/>
      <c r="G2" s="1326"/>
      <c r="H2" s="1326"/>
      <c r="I2" s="1326"/>
      <c r="J2" s="1326"/>
      <c r="K2" s="1326"/>
      <c r="L2" s="1326"/>
      <c r="M2" s="1326"/>
      <c r="N2" s="1326"/>
      <c r="O2" s="1326"/>
      <c r="P2" s="1326"/>
      <c r="Q2" s="1326"/>
      <c r="R2" s="65"/>
    </row>
    <row r="3" spans="1:18" ht="13.5" customHeight="1" thickBot="1">
      <c r="A3" s="481"/>
      <c r="B3" s="218"/>
      <c r="C3" s="1318" t="s">
        <v>487</v>
      </c>
      <c r="D3" s="1318"/>
      <c r="E3" s="1318"/>
      <c r="F3" s="1318"/>
      <c r="G3" s="1318"/>
      <c r="H3" s="1318"/>
      <c r="I3" s="1318"/>
      <c r="J3" s="1318"/>
      <c r="K3" s="1318"/>
      <c r="L3" s="1318"/>
      <c r="M3" s="1318"/>
      <c r="N3" s="1318"/>
      <c r="O3" s="1318"/>
      <c r="P3" s="1318"/>
      <c r="Q3" s="197"/>
      <c r="R3" s="65"/>
    </row>
    <row r="4" spans="1:18" ht="11.1" customHeight="1" thickBot="1">
      <c r="A4" s="481"/>
      <c r="B4" s="218"/>
      <c r="C4" s="1316" t="s">
        <v>444</v>
      </c>
      <c r="D4" s="1316"/>
      <c r="E4" s="1320" t="s">
        <v>443</v>
      </c>
      <c r="F4" s="1321"/>
      <c r="G4" s="1322"/>
      <c r="H4" s="1313" t="s">
        <v>520</v>
      </c>
      <c r="I4" s="1314"/>
      <c r="J4" s="1314"/>
      <c r="K4" s="1314"/>
      <c r="L4" s="1314"/>
      <c r="M4" s="1315"/>
      <c r="N4" s="1316" t="s">
        <v>357</v>
      </c>
      <c r="O4" s="1316"/>
      <c r="P4" s="1316"/>
      <c r="Q4" s="133"/>
      <c r="R4" s="65"/>
    </row>
    <row r="5" spans="1:18" ht="13.5" customHeight="1">
      <c r="A5" s="481"/>
      <c r="B5" s="218"/>
      <c r="C5" s="1316"/>
      <c r="D5" s="1316"/>
      <c r="E5" s="1323" t="s">
        <v>441</v>
      </c>
      <c r="F5" s="1324"/>
      <c r="G5" s="1325"/>
      <c r="H5" s="1324" t="s">
        <v>532</v>
      </c>
      <c r="I5" s="1324"/>
      <c r="J5" s="1325"/>
      <c r="K5" s="1323" t="s">
        <v>531</v>
      </c>
      <c r="L5" s="1324"/>
      <c r="M5" s="1325"/>
      <c r="N5" s="1323" t="s">
        <v>442</v>
      </c>
      <c r="O5" s="1324"/>
      <c r="P5" s="1324"/>
      <c r="Q5" s="133"/>
      <c r="R5" s="65"/>
    </row>
    <row r="6" spans="1:18" ht="11.1" customHeight="1" thickBot="1">
      <c r="A6" s="481"/>
      <c r="B6" s="218"/>
      <c r="C6" s="1319"/>
      <c r="D6" s="1319"/>
      <c r="E6" s="803">
        <v>2014</v>
      </c>
      <c r="F6" s="858">
        <v>2015</v>
      </c>
      <c r="G6" s="804" t="s">
        <v>13</v>
      </c>
      <c r="H6" s="803">
        <v>2014</v>
      </c>
      <c r="I6" s="858">
        <v>2015</v>
      </c>
      <c r="J6" s="804" t="s">
        <v>13</v>
      </c>
      <c r="K6" s="803">
        <v>2014</v>
      </c>
      <c r="L6" s="858">
        <v>2015</v>
      </c>
      <c r="M6" s="804" t="s">
        <v>13</v>
      </c>
      <c r="N6" s="803">
        <v>2014</v>
      </c>
      <c r="O6" s="858">
        <v>2015</v>
      </c>
      <c r="P6" s="525" t="s">
        <v>13</v>
      </c>
      <c r="Q6" s="133"/>
      <c r="R6" s="65"/>
    </row>
    <row r="7" spans="1:18" ht="14.1" customHeight="1">
      <c r="A7" s="481"/>
      <c r="B7" s="218"/>
      <c r="C7" s="917" t="s">
        <v>4</v>
      </c>
      <c r="D7" s="918" t="s">
        <v>430</v>
      </c>
      <c r="E7" s="938">
        <v>86004</v>
      </c>
      <c r="F7" s="939">
        <v>87657</v>
      </c>
      <c r="G7" s="940">
        <f t="shared" ref="G7:G35" si="0">(F7/E7-1)*100</f>
        <v>1.9220036277382446</v>
      </c>
      <c r="H7" s="1027" t="s">
        <v>311</v>
      </c>
      <c r="I7" s="941">
        <v>0</v>
      </c>
      <c r="J7" s="940">
        <v>0</v>
      </c>
      <c r="K7" s="893">
        <f>N7*1000/E7</f>
        <v>17.177108041486441</v>
      </c>
      <c r="L7" s="922">
        <f>O7*1000/F7</f>
        <v>19.66642709652395</v>
      </c>
      <c r="M7" s="940">
        <f t="shared" ref="M7:M32" si="1">(L7/K7-1)*100</f>
        <v>14.492073106982062</v>
      </c>
      <c r="N7" s="924">
        <v>1477.3</v>
      </c>
      <c r="O7" s="941">
        <v>1723.9</v>
      </c>
      <c r="P7" s="925">
        <f t="shared" ref="P7:P35" si="2">(O7/N7-1)*100</f>
        <v>16.692614905570991</v>
      </c>
      <c r="Q7" s="133"/>
      <c r="R7" s="65"/>
    </row>
    <row r="8" spans="1:18" ht="14.1" customHeight="1">
      <c r="A8" s="481"/>
      <c r="B8" s="218"/>
      <c r="C8" s="905" t="s">
        <v>5</v>
      </c>
      <c r="D8" s="933" t="s">
        <v>430</v>
      </c>
      <c r="E8" s="818">
        <v>4377</v>
      </c>
      <c r="F8" s="780">
        <v>1243</v>
      </c>
      <c r="G8" s="819">
        <f t="shared" si="0"/>
        <v>-71.601553575508333</v>
      </c>
      <c r="H8" s="826">
        <v>0</v>
      </c>
      <c r="I8" s="942">
        <v>0</v>
      </c>
      <c r="J8" s="819">
        <v>0</v>
      </c>
      <c r="K8" s="894">
        <f>N8*1000/E8</f>
        <v>15.695681973954764</v>
      </c>
      <c r="L8" s="931">
        <f>O8*1000/F8</f>
        <v>13.354786806114239</v>
      </c>
      <c r="M8" s="819">
        <f t="shared" si="1"/>
        <v>-14.914262226547271</v>
      </c>
      <c r="N8" s="840">
        <v>68.7</v>
      </c>
      <c r="O8" s="942">
        <v>16.600000000000001</v>
      </c>
      <c r="P8" s="477">
        <f t="shared" si="2"/>
        <v>-75.836972343522561</v>
      </c>
      <c r="Q8" s="133"/>
      <c r="R8" s="65"/>
    </row>
    <row r="9" spans="1:18" ht="14.1" customHeight="1">
      <c r="A9" s="481"/>
      <c r="B9" s="218"/>
      <c r="C9" s="905" t="s">
        <v>6</v>
      </c>
      <c r="D9" s="798"/>
      <c r="E9" s="837">
        <f>E10+E11+E12</f>
        <v>143939</v>
      </c>
      <c r="F9" s="838">
        <f>F10+F11+F12</f>
        <v>138678</v>
      </c>
      <c r="G9" s="819">
        <f t="shared" si="0"/>
        <v>-3.6550205295298732</v>
      </c>
      <c r="H9" s="894">
        <f>SUM(N10+N11)*1000/SUM(E10+E11)</f>
        <v>11.957175832367815</v>
      </c>
      <c r="I9" s="895">
        <f>SUM(O10+O11)*1000/SUM(F10+F11)</f>
        <v>11.233446109231513</v>
      </c>
      <c r="J9" s="819">
        <f t="shared" ref="J9:J11" si="3">(I9/H9-1)*100</f>
        <v>-6.0526811120162787</v>
      </c>
      <c r="K9" s="894">
        <f>N12*1000/E12</f>
        <v>31.901840490797547</v>
      </c>
      <c r="L9" s="895">
        <f>O12*1000/F12</f>
        <v>33.598274100147613</v>
      </c>
      <c r="M9" s="819">
        <f t="shared" si="1"/>
        <v>5.3176668908473168</v>
      </c>
      <c r="N9" s="840">
        <f>N10+N11+N12</f>
        <v>2371.3000000000002</v>
      </c>
      <c r="O9" s="838">
        <f>O10+O11+O12</f>
        <v>2345.6999999999998</v>
      </c>
      <c r="P9" s="477">
        <f t="shared" si="2"/>
        <v>-1.0795766035508136</v>
      </c>
      <c r="Q9" s="133"/>
      <c r="R9" s="65"/>
    </row>
    <row r="10" spans="1:18" ht="14.1" customHeight="1">
      <c r="A10" s="481"/>
      <c r="B10" s="218"/>
      <c r="C10" s="906"/>
      <c r="D10" s="891" t="s">
        <v>426</v>
      </c>
      <c r="E10" s="856">
        <v>11973</v>
      </c>
      <c r="F10" s="541">
        <v>9129</v>
      </c>
      <c r="G10" s="816">
        <f t="shared" si="0"/>
        <v>-23.753445251816586</v>
      </c>
      <c r="H10" s="886">
        <f t="shared" ref="H10:I33" si="4">N10*1000/E10</f>
        <v>36.340098555082271</v>
      </c>
      <c r="I10" s="972">
        <f t="shared" si="4"/>
        <v>37.002957607624055</v>
      </c>
      <c r="J10" s="821">
        <f t="shared" si="3"/>
        <v>1.8240430788514672</v>
      </c>
      <c r="K10" s="934">
        <v>0</v>
      </c>
      <c r="L10" s="954">
        <v>0</v>
      </c>
      <c r="M10" s="953">
        <v>0</v>
      </c>
      <c r="N10" s="540">
        <v>435.1</v>
      </c>
      <c r="O10" s="542">
        <v>337.8</v>
      </c>
      <c r="P10" s="545">
        <f t="shared" si="2"/>
        <v>-22.362675247069642</v>
      </c>
      <c r="Q10" s="133"/>
      <c r="R10" s="65"/>
    </row>
    <row r="11" spans="1:18" ht="14.1" customHeight="1">
      <c r="A11" s="481"/>
      <c r="B11" s="218"/>
      <c r="C11" s="907"/>
      <c r="D11" s="478" t="s">
        <v>427</v>
      </c>
      <c r="E11" s="809">
        <v>99366</v>
      </c>
      <c r="F11" s="530">
        <v>94321</v>
      </c>
      <c r="G11" s="816">
        <f t="shared" si="0"/>
        <v>-5.0771893806734747</v>
      </c>
      <c r="H11" s="884">
        <f t="shared" si="4"/>
        <v>9.0191816114163803</v>
      </c>
      <c r="I11" s="975">
        <f t="shared" si="4"/>
        <v>8.7393051388344052</v>
      </c>
      <c r="J11" s="955">
        <f t="shared" si="3"/>
        <v>-3.1031249246351811</v>
      </c>
      <c r="K11" s="961">
        <v>0</v>
      </c>
      <c r="L11" s="976">
        <v>0</v>
      </c>
      <c r="M11" s="953">
        <v>0</v>
      </c>
      <c r="N11" s="540">
        <v>896.2</v>
      </c>
      <c r="O11" s="542">
        <v>824.3</v>
      </c>
      <c r="P11" s="545">
        <f t="shared" si="2"/>
        <v>-8.0227627761660472</v>
      </c>
      <c r="Q11" s="133"/>
      <c r="R11" s="65"/>
    </row>
    <row r="12" spans="1:18" ht="14.1" customHeight="1">
      <c r="A12" s="481"/>
      <c r="B12" s="218"/>
      <c r="C12" s="908"/>
      <c r="D12" s="843" t="s">
        <v>428</v>
      </c>
      <c r="E12" s="812">
        <v>32600</v>
      </c>
      <c r="F12" s="534">
        <v>35228</v>
      </c>
      <c r="G12" s="807">
        <f t="shared" si="0"/>
        <v>8.0613496932515396</v>
      </c>
      <c r="H12" s="956">
        <v>0</v>
      </c>
      <c r="I12" s="957">
        <v>0</v>
      </c>
      <c r="J12" s="958">
        <v>0</v>
      </c>
      <c r="K12" s="952">
        <f>N12*1000/E12</f>
        <v>31.901840490797547</v>
      </c>
      <c r="L12" s="969">
        <f>O12*1000/F12</f>
        <v>33.598274100147613</v>
      </c>
      <c r="M12" s="958">
        <f t="shared" si="1"/>
        <v>5.3176668908473168</v>
      </c>
      <c r="N12" s="528">
        <v>1040</v>
      </c>
      <c r="O12" s="527">
        <v>1183.5999999999999</v>
      </c>
      <c r="P12" s="523">
        <f t="shared" si="2"/>
        <v>13.807692307692299</v>
      </c>
      <c r="Q12" s="133"/>
      <c r="R12" s="65"/>
    </row>
    <row r="13" spans="1:18" ht="14.1" customHeight="1">
      <c r="A13" s="481"/>
      <c r="B13" s="218"/>
      <c r="C13" s="905" t="s">
        <v>10</v>
      </c>
      <c r="D13" s="844"/>
      <c r="E13" s="808">
        <f>E14+E15</f>
        <v>20115</v>
      </c>
      <c r="F13" s="786">
        <f>F14+F15</f>
        <v>20189</v>
      </c>
      <c r="G13" s="819">
        <f t="shared" si="0"/>
        <v>0.36788466318666835</v>
      </c>
      <c r="H13" s="894">
        <f>N14*1000/E14</f>
        <v>14.814814814814815</v>
      </c>
      <c r="I13" s="895">
        <f>O14*1000/F14</f>
        <v>15.315315315315315</v>
      </c>
      <c r="J13" s="819">
        <f t="shared" ref="J13:J31" si="5">(I13/H13-1)*100</f>
        <v>3.3783783783783772</v>
      </c>
      <c r="K13" s="894">
        <f>N15*1000/E15</f>
        <v>8.1981981981981988</v>
      </c>
      <c r="L13" s="895">
        <f>O15*1000/F15</f>
        <v>6.2854866022512201</v>
      </c>
      <c r="M13" s="819">
        <f t="shared" si="1"/>
        <v>-23.330877708803797</v>
      </c>
      <c r="N13" s="824">
        <f>N14+N15</f>
        <v>165.8</v>
      </c>
      <c r="O13" s="824">
        <f>O14+O15</f>
        <v>127.9</v>
      </c>
      <c r="P13" s="477">
        <f t="shared" si="2"/>
        <v>-22.858866103739452</v>
      </c>
      <c r="Q13" s="133"/>
      <c r="R13" s="65"/>
    </row>
    <row r="14" spans="1:18" ht="14.1" customHeight="1">
      <c r="A14" s="481"/>
      <c r="B14" s="218"/>
      <c r="C14" s="908"/>
      <c r="D14" s="842" t="s">
        <v>429</v>
      </c>
      <c r="E14" s="856">
        <v>135</v>
      </c>
      <c r="F14" s="541">
        <v>111</v>
      </c>
      <c r="G14" s="816">
        <f t="shared" si="0"/>
        <v>-17.777777777777782</v>
      </c>
      <c r="H14" s="886">
        <f t="shared" si="4"/>
        <v>14.814814814814815</v>
      </c>
      <c r="I14" s="972">
        <f t="shared" si="4"/>
        <v>15.315315315315315</v>
      </c>
      <c r="J14" s="821">
        <f t="shared" si="5"/>
        <v>3.3783783783783772</v>
      </c>
      <c r="K14" s="977">
        <v>0</v>
      </c>
      <c r="L14" s="973">
        <v>0</v>
      </c>
      <c r="M14" s="953">
        <v>0</v>
      </c>
      <c r="N14" s="540">
        <v>2</v>
      </c>
      <c r="O14" s="542">
        <v>1.7</v>
      </c>
      <c r="P14" s="545">
        <f t="shared" ref="P14:P15" si="6">(O14/N14-1)*100</f>
        <v>-15.000000000000002</v>
      </c>
      <c r="Q14" s="133"/>
      <c r="R14" s="65"/>
    </row>
    <row r="15" spans="1:18" ht="14.1" customHeight="1">
      <c r="A15" s="481"/>
      <c r="B15" s="218"/>
      <c r="C15" s="909"/>
      <c r="D15" s="845" t="s">
        <v>430</v>
      </c>
      <c r="E15" s="857">
        <v>19980</v>
      </c>
      <c r="F15" s="539">
        <v>20078</v>
      </c>
      <c r="G15" s="814">
        <f t="shared" si="0"/>
        <v>0.49049049049048055</v>
      </c>
      <c r="H15" s="956">
        <v>0</v>
      </c>
      <c r="I15" s="986">
        <v>0</v>
      </c>
      <c r="J15" s="958">
        <v>0</v>
      </c>
      <c r="K15" s="952">
        <f>N15*1000/E15</f>
        <v>8.1981981981981988</v>
      </c>
      <c r="L15" s="982">
        <f>O15*1000/F15</f>
        <v>6.2854866022512201</v>
      </c>
      <c r="M15" s="959">
        <f t="shared" si="1"/>
        <v>-23.330877708803797</v>
      </c>
      <c r="N15" s="538">
        <v>163.80000000000001</v>
      </c>
      <c r="O15" s="539">
        <v>126.2</v>
      </c>
      <c r="P15" s="544">
        <f t="shared" si="6"/>
        <v>-22.954822954822962</v>
      </c>
      <c r="Q15" s="133"/>
      <c r="R15" s="65"/>
    </row>
    <row r="16" spans="1:18" ht="14.1" customHeight="1">
      <c r="A16" s="481"/>
      <c r="B16" s="218"/>
      <c r="C16" s="904" t="s">
        <v>11</v>
      </c>
      <c r="D16" s="841" t="s">
        <v>429</v>
      </c>
      <c r="E16" s="936">
        <v>6136.8</v>
      </c>
      <c r="F16" s="1028">
        <v>6175</v>
      </c>
      <c r="G16" s="805">
        <f t="shared" si="0"/>
        <v>0.62247425368269216</v>
      </c>
      <c r="H16" s="894">
        <f t="shared" si="4"/>
        <v>38.55429539825316</v>
      </c>
      <c r="I16" s="840">
        <f t="shared" si="4"/>
        <v>36.631578947368418</v>
      </c>
      <c r="J16" s="805">
        <f t="shared" si="5"/>
        <v>-4.9870356364283497</v>
      </c>
      <c r="K16" s="1029">
        <v>0</v>
      </c>
      <c r="L16" s="864">
        <v>0</v>
      </c>
      <c r="M16" s="805">
        <v>0</v>
      </c>
      <c r="N16" s="937">
        <v>236.6</v>
      </c>
      <c r="O16" s="1030">
        <v>226.2</v>
      </c>
      <c r="P16" s="480">
        <f t="shared" si="2"/>
        <v>-4.3956043956044022</v>
      </c>
      <c r="Q16" s="133"/>
      <c r="R16" s="65"/>
    </row>
    <row r="17" spans="1:21" ht="14.1" customHeight="1">
      <c r="A17" s="481"/>
      <c r="B17" s="218"/>
      <c r="C17" s="910" t="s">
        <v>8</v>
      </c>
      <c r="D17" s="846"/>
      <c r="E17" s="837">
        <f>E18+E19+E20+E21+E22+E23</f>
        <v>1008548</v>
      </c>
      <c r="F17" s="838">
        <f>F18+F19+F20+F21+F22+F23</f>
        <v>968872</v>
      </c>
      <c r="G17" s="819">
        <f t="shared" si="0"/>
        <v>-3.9339724038915391</v>
      </c>
      <c r="H17" s="894">
        <f>SUM(N18+N19+N20+N22)*1000/SUM(E18+E19+E20+E22)</f>
        <v>22.755982188348863</v>
      </c>
      <c r="I17" s="895">
        <f>SUM(O18+O19+O20+O22)*1000/SUM(F18+F19+F20+F22)</f>
        <v>22.988769195507679</v>
      </c>
      <c r="J17" s="819">
        <f t="shared" si="5"/>
        <v>1.0229705983774373</v>
      </c>
      <c r="K17" s="894">
        <f>SUM(N21+N23)*1000/SUM(E21+E23)</f>
        <v>22.080332615635903</v>
      </c>
      <c r="L17" s="895">
        <f>SUM(O21+O23)*1000/SUM(F21+F23)</f>
        <v>25.211214953271028</v>
      </c>
      <c r="M17" s="819">
        <f t="shared" si="1"/>
        <v>14.179507130332048</v>
      </c>
      <c r="N17" s="839">
        <f>N18+N19+N20+N21+N22+N23</f>
        <v>22941.399999999998</v>
      </c>
      <c r="O17" s="840">
        <f>O18+O19+O20+O21+O22+O23</f>
        <v>22302.9</v>
      </c>
      <c r="P17" s="477">
        <f t="shared" si="2"/>
        <v>-2.7831780100603942</v>
      </c>
      <c r="Q17" s="133"/>
      <c r="R17" s="65"/>
    </row>
    <row r="18" spans="1:21" ht="14.1" customHeight="1">
      <c r="A18" s="481"/>
      <c r="B18" s="218"/>
      <c r="C18" s="911"/>
      <c r="D18" s="847" t="s">
        <v>440</v>
      </c>
      <c r="E18" s="809">
        <v>501214</v>
      </c>
      <c r="F18" s="541">
        <v>478056</v>
      </c>
      <c r="G18" s="816">
        <f t="shared" si="0"/>
        <v>-4.6203817132003504</v>
      </c>
      <c r="H18" s="886">
        <f t="shared" si="4"/>
        <v>21.555064303870203</v>
      </c>
      <c r="I18" s="974">
        <f t="shared" si="4"/>
        <v>22.608857539702463</v>
      </c>
      <c r="J18" s="953">
        <f t="shared" si="5"/>
        <v>4.8888429232987862</v>
      </c>
      <c r="K18" s="934">
        <v>0</v>
      </c>
      <c r="L18" s="954">
        <v>0</v>
      </c>
      <c r="M18" s="953">
        <v>0</v>
      </c>
      <c r="N18" s="540">
        <v>10803.7</v>
      </c>
      <c r="O18" s="542">
        <v>10808.3</v>
      </c>
      <c r="P18" s="545">
        <f t="shared" si="2"/>
        <v>4.2578005683213682E-2</v>
      </c>
      <c r="Q18" s="133"/>
      <c r="R18" s="65"/>
    </row>
    <row r="19" spans="1:21" ht="14.1" customHeight="1">
      <c r="A19" s="481"/>
      <c r="B19" s="218"/>
      <c r="C19" s="908"/>
      <c r="D19" s="848" t="s">
        <v>439</v>
      </c>
      <c r="E19" s="811">
        <v>174369</v>
      </c>
      <c r="F19" s="530">
        <v>170634</v>
      </c>
      <c r="G19" s="810">
        <f t="shared" si="0"/>
        <v>-2.1420091874128966</v>
      </c>
      <c r="H19" s="884">
        <f t="shared" si="4"/>
        <v>33.064937001416538</v>
      </c>
      <c r="I19" s="892">
        <f t="shared" si="4"/>
        <v>24.806896632558576</v>
      </c>
      <c r="J19" s="955">
        <f t="shared" si="5"/>
        <v>-24.975218820178547</v>
      </c>
      <c r="K19" s="934">
        <v>0</v>
      </c>
      <c r="L19" s="954">
        <v>0</v>
      </c>
      <c r="M19" s="953">
        <v>0</v>
      </c>
      <c r="N19" s="540">
        <v>5765.5</v>
      </c>
      <c r="O19" s="542">
        <v>4232.8999999999996</v>
      </c>
      <c r="P19" s="545">
        <f t="shared" si="2"/>
        <v>-26.582256525886748</v>
      </c>
      <c r="Q19" s="133"/>
      <c r="R19" s="65"/>
    </row>
    <row r="20" spans="1:21" ht="14.1" customHeight="1">
      <c r="A20" s="481"/>
      <c r="B20" s="218"/>
      <c r="C20" s="908"/>
      <c r="D20" s="849" t="s">
        <v>435</v>
      </c>
      <c r="E20" s="811">
        <v>284582</v>
      </c>
      <c r="F20" s="533">
        <v>278646</v>
      </c>
      <c r="G20" s="810">
        <f t="shared" si="0"/>
        <v>-2.0858662880997358</v>
      </c>
      <c r="H20" s="884">
        <f t="shared" si="4"/>
        <v>18.640672987047669</v>
      </c>
      <c r="I20" s="975">
        <f t="shared" si="4"/>
        <v>22.933399366938698</v>
      </c>
      <c r="J20" s="955">
        <f t="shared" si="5"/>
        <v>23.02881651791111</v>
      </c>
      <c r="K20" s="961">
        <v>0</v>
      </c>
      <c r="L20" s="962">
        <v>0</v>
      </c>
      <c r="M20" s="955">
        <v>0</v>
      </c>
      <c r="N20" s="532">
        <v>5304.8</v>
      </c>
      <c r="O20" s="531">
        <v>6390.3</v>
      </c>
      <c r="P20" s="524">
        <f t="shared" si="2"/>
        <v>20.462599909515909</v>
      </c>
      <c r="Q20" s="133"/>
      <c r="R20" s="65"/>
      <c r="U20" s="543"/>
    </row>
    <row r="21" spans="1:21" ht="14.1" customHeight="1">
      <c r="A21" s="481"/>
      <c r="B21" s="218"/>
      <c r="C21" s="908"/>
      <c r="D21" s="849" t="s">
        <v>436</v>
      </c>
      <c r="E21" s="811">
        <v>8755</v>
      </c>
      <c r="F21" s="533">
        <v>8694</v>
      </c>
      <c r="G21" s="810">
        <f t="shared" si="0"/>
        <v>-0.69674471730439835</v>
      </c>
      <c r="H21" s="981">
        <v>0</v>
      </c>
      <c r="I21" s="984">
        <v>0</v>
      </c>
      <c r="J21" s="955">
        <v>0</v>
      </c>
      <c r="K21" s="884">
        <f>N21*1000/E21</f>
        <v>22.07881210736722</v>
      </c>
      <c r="L21" s="985">
        <f>O21*1000/F21</f>
        <v>25.212790430181734</v>
      </c>
      <c r="M21" s="955">
        <f t="shared" si="1"/>
        <v>14.19450606116972</v>
      </c>
      <c r="N21" s="532">
        <v>193.3</v>
      </c>
      <c r="O21" s="536">
        <v>219.2</v>
      </c>
      <c r="P21" s="524">
        <f t="shared" si="2"/>
        <v>13.398861872736667</v>
      </c>
      <c r="Q21" s="133"/>
      <c r="R21" s="65"/>
    </row>
    <row r="22" spans="1:21" ht="14.1" customHeight="1">
      <c r="A22" s="481"/>
      <c r="B22" s="218"/>
      <c r="C22" s="908"/>
      <c r="D22" s="850" t="s">
        <v>437</v>
      </c>
      <c r="E22" s="811">
        <v>34914</v>
      </c>
      <c r="F22" s="533">
        <v>28161</v>
      </c>
      <c r="G22" s="810">
        <f t="shared" si="0"/>
        <v>-19.341811307784841</v>
      </c>
      <c r="H22" s="884">
        <f t="shared" si="4"/>
        <v>22.054190296156271</v>
      </c>
      <c r="I22" s="975">
        <f t="shared" si="4"/>
        <v>18.969496821845816</v>
      </c>
      <c r="J22" s="955">
        <f t="shared" si="5"/>
        <v>-13.986881553516262</v>
      </c>
      <c r="K22" s="961">
        <v>0</v>
      </c>
      <c r="L22" s="962">
        <v>0</v>
      </c>
      <c r="M22" s="955">
        <v>0</v>
      </c>
      <c r="N22" s="532">
        <v>770</v>
      </c>
      <c r="O22" s="536">
        <v>534.20000000000005</v>
      </c>
      <c r="P22" s="524">
        <f t="shared" si="2"/>
        <v>-30.623376623376618</v>
      </c>
      <c r="Q22" s="133"/>
      <c r="R22" s="65"/>
    </row>
    <row r="23" spans="1:21" ht="14.1" customHeight="1">
      <c r="A23" s="481"/>
      <c r="B23" s="218"/>
      <c r="C23" s="912"/>
      <c r="D23" s="851" t="s">
        <v>438</v>
      </c>
      <c r="E23" s="813">
        <v>4714</v>
      </c>
      <c r="F23" s="537">
        <v>4681</v>
      </c>
      <c r="G23" s="814">
        <f t="shared" si="0"/>
        <v>-0.70004242681375173</v>
      </c>
      <c r="H23" s="956">
        <v>0</v>
      </c>
      <c r="I23" s="971">
        <v>0</v>
      </c>
      <c r="J23" s="958">
        <v>0</v>
      </c>
      <c r="K23" s="952">
        <f>N23*1000/E23</f>
        <v>22.083156554942725</v>
      </c>
      <c r="L23" s="982">
        <f>O23*1000/F23</f>
        <v>25.208288827173682</v>
      </c>
      <c r="M23" s="959">
        <f t="shared" si="1"/>
        <v>14.151655649660633</v>
      </c>
      <c r="N23" s="538">
        <v>104.1</v>
      </c>
      <c r="O23" s="792">
        <v>118</v>
      </c>
      <c r="P23" s="544">
        <f t="shared" si="2"/>
        <v>13.352545629202694</v>
      </c>
      <c r="Q23" s="133"/>
      <c r="R23" s="65"/>
    </row>
    <row r="24" spans="1:21" ht="14.1" customHeight="1">
      <c r="A24" s="481"/>
      <c r="B24" s="218"/>
      <c r="C24" s="913" t="s">
        <v>30</v>
      </c>
      <c r="D24" s="852"/>
      <c r="E24" s="815">
        <f>E25+E26</f>
        <v>433242</v>
      </c>
      <c r="F24" s="789">
        <f>F25+F26</f>
        <v>433242</v>
      </c>
      <c r="G24" s="805">
        <f t="shared" si="0"/>
        <v>0</v>
      </c>
      <c r="H24" s="894">
        <f>N25*1000/E25</f>
        <v>19.029696638644268</v>
      </c>
      <c r="I24" s="895">
        <f>O25*1000/F25</f>
        <v>19.577932026805581</v>
      </c>
      <c r="J24" s="805">
        <f t="shared" si="5"/>
        <v>2.8809465467147355</v>
      </c>
      <c r="K24" s="894">
        <f>N26*1000/E26</f>
        <v>35.140079964962347</v>
      </c>
      <c r="L24" s="895">
        <f>O26*1000/F26</f>
        <v>27.41201734928865</v>
      </c>
      <c r="M24" s="805">
        <f t="shared" si="1"/>
        <v>-21.992160016082018</v>
      </c>
      <c r="N24" s="791">
        <f>N25+N26</f>
        <v>12805.7</v>
      </c>
      <c r="O24" s="790">
        <f>O25+O26</f>
        <v>10700</v>
      </c>
      <c r="P24" s="480">
        <f t="shared" si="2"/>
        <v>-16.443458772265483</v>
      </c>
      <c r="Q24" s="133"/>
      <c r="R24" s="65"/>
    </row>
    <row r="25" spans="1:21" ht="14.1" customHeight="1">
      <c r="A25" s="481"/>
      <c r="B25" s="218"/>
      <c r="C25" s="914"/>
      <c r="D25" s="842" t="s">
        <v>429</v>
      </c>
      <c r="E25" s="809">
        <v>150118</v>
      </c>
      <c r="F25" s="530">
        <v>150118</v>
      </c>
      <c r="G25" s="816">
        <f t="shared" si="0"/>
        <v>0</v>
      </c>
      <c r="H25" s="886">
        <f t="shared" si="4"/>
        <v>19.029696638644268</v>
      </c>
      <c r="I25" s="972">
        <f t="shared" si="4"/>
        <v>19.577932026805581</v>
      </c>
      <c r="J25" s="821">
        <f t="shared" si="5"/>
        <v>2.8809465467147355</v>
      </c>
      <c r="K25" s="977">
        <v>0</v>
      </c>
      <c r="L25" s="973">
        <v>0</v>
      </c>
      <c r="M25" s="953">
        <v>0</v>
      </c>
      <c r="N25" s="540">
        <v>2856.7</v>
      </c>
      <c r="O25" s="535">
        <v>2939</v>
      </c>
      <c r="P25" s="545">
        <f t="shared" si="2"/>
        <v>2.8809465467147577</v>
      </c>
      <c r="Q25" s="133"/>
      <c r="R25" s="65"/>
    </row>
    <row r="26" spans="1:21" ht="14.1" customHeight="1">
      <c r="A26" s="481"/>
      <c r="B26" s="218"/>
      <c r="C26" s="915"/>
      <c r="D26" s="853" t="s">
        <v>430</v>
      </c>
      <c r="E26" s="813">
        <v>283124</v>
      </c>
      <c r="F26" s="537">
        <v>283124</v>
      </c>
      <c r="G26" s="814">
        <f t="shared" si="0"/>
        <v>0</v>
      </c>
      <c r="H26" s="979">
        <v>0</v>
      </c>
      <c r="I26" s="963">
        <v>0</v>
      </c>
      <c r="J26" s="958">
        <v>0</v>
      </c>
      <c r="K26" s="952">
        <f>N26*1000/E26</f>
        <v>35.140079964962347</v>
      </c>
      <c r="L26" s="982">
        <f>O26*1000/F26</f>
        <v>27.41201734928865</v>
      </c>
      <c r="M26" s="959">
        <f t="shared" si="1"/>
        <v>-21.992160016082018</v>
      </c>
      <c r="N26" s="538">
        <v>9949</v>
      </c>
      <c r="O26" s="792">
        <v>7761</v>
      </c>
      <c r="P26" s="544">
        <f t="shared" si="2"/>
        <v>-21.992160016082018</v>
      </c>
      <c r="Q26" s="133"/>
      <c r="R26" s="65"/>
    </row>
    <row r="27" spans="1:21" ht="14.1" customHeight="1">
      <c r="A27" s="481"/>
      <c r="B27" s="218"/>
      <c r="C27" s="913" t="s">
        <v>31</v>
      </c>
      <c r="D27" s="854" t="s">
        <v>429</v>
      </c>
      <c r="E27" s="818">
        <v>12783</v>
      </c>
      <c r="F27" s="780">
        <v>12538</v>
      </c>
      <c r="G27" s="819">
        <f t="shared" si="0"/>
        <v>-1.9166079949933468</v>
      </c>
      <c r="H27" s="894">
        <f t="shared" si="4"/>
        <v>22.866306813736994</v>
      </c>
      <c r="I27" s="840">
        <f t="shared" si="4"/>
        <v>24.69293348221407</v>
      </c>
      <c r="J27" s="819">
        <f t="shared" si="5"/>
        <v>7.9882889849957062</v>
      </c>
      <c r="K27" s="839">
        <v>0</v>
      </c>
      <c r="L27" s="864">
        <v>0</v>
      </c>
      <c r="M27" s="819">
        <v>0</v>
      </c>
      <c r="N27" s="840">
        <v>292.3</v>
      </c>
      <c r="O27" s="1031">
        <v>309.60000000000002</v>
      </c>
      <c r="P27" s="477">
        <f t="shared" si="2"/>
        <v>5.9185768046527532</v>
      </c>
      <c r="Q27" s="133"/>
      <c r="R27" s="65"/>
    </row>
    <row r="28" spans="1:21" ht="14.1" customHeight="1">
      <c r="A28" s="481"/>
      <c r="B28" s="218"/>
      <c r="C28" s="910" t="s">
        <v>9</v>
      </c>
      <c r="D28" s="854" t="s">
        <v>429</v>
      </c>
      <c r="E28" s="818">
        <v>199686</v>
      </c>
      <c r="F28" s="780">
        <v>198971.3</v>
      </c>
      <c r="G28" s="819">
        <f t="shared" si="0"/>
        <v>-0.35791192171710229</v>
      </c>
      <c r="H28" s="894">
        <f t="shared" si="4"/>
        <v>22.980078723596044</v>
      </c>
      <c r="I28" s="840">
        <f t="shared" si="4"/>
        <v>20.424553691914362</v>
      </c>
      <c r="J28" s="819">
        <f t="shared" si="5"/>
        <v>-11.120610431406652</v>
      </c>
      <c r="K28" s="839">
        <v>0</v>
      </c>
      <c r="L28" s="864">
        <v>0</v>
      </c>
      <c r="M28" s="819">
        <v>0</v>
      </c>
      <c r="N28" s="840">
        <v>4588.8</v>
      </c>
      <c r="O28" s="942">
        <v>4063.9</v>
      </c>
      <c r="P28" s="477">
        <f t="shared" si="2"/>
        <v>-11.438720362622036</v>
      </c>
      <c r="Q28" s="133"/>
      <c r="R28" s="65"/>
    </row>
    <row r="29" spans="1:21" ht="14.1" customHeight="1">
      <c r="A29" s="481"/>
      <c r="B29" s="218"/>
      <c r="C29" s="905" t="s">
        <v>7</v>
      </c>
      <c r="D29" s="841" t="s">
        <v>429</v>
      </c>
      <c r="E29" s="818">
        <v>33251</v>
      </c>
      <c r="F29" s="780">
        <v>44500</v>
      </c>
      <c r="G29" s="819">
        <f t="shared" si="0"/>
        <v>33.830561486872583</v>
      </c>
      <c r="H29" s="894">
        <f t="shared" si="4"/>
        <v>16.799494752037532</v>
      </c>
      <c r="I29" s="840">
        <f t="shared" si="4"/>
        <v>28.988764044943821</v>
      </c>
      <c r="J29" s="819">
        <f t="shared" si="5"/>
        <v>72.557356473044578</v>
      </c>
      <c r="K29" s="839">
        <v>0</v>
      </c>
      <c r="L29" s="864">
        <v>0</v>
      </c>
      <c r="M29" s="819">
        <v>0</v>
      </c>
      <c r="N29" s="840">
        <v>558.6</v>
      </c>
      <c r="O29" s="942">
        <v>1290</v>
      </c>
      <c r="P29" s="477">
        <f t="shared" si="2"/>
        <v>130.93447905477981</v>
      </c>
      <c r="Q29" s="133"/>
      <c r="R29" s="65"/>
    </row>
    <row r="30" spans="1:21" ht="14.1" customHeight="1">
      <c r="A30" s="481"/>
      <c r="B30" s="218"/>
      <c r="C30" s="916" t="s">
        <v>15</v>
      </c>
      <c r="D30" s="841"/>
      <c r="E30" s="818">
        <f>E31+E32</f>
        <v>12587</v>
      </c>
      <c r="F30" s="780">
        <f>F31+F32</f>
        <v>10009</v>
      </c>
      <c r="G30" s="819">
        <f t="shared" si="0"/>
        <v>-20.481449114165407</v>
      </c>
      <c r="H30" s="885">
        <f>N31*1000/E31</f>
        <v>8.5343399005707976</v>
      </c>
      <c r="I30" s="951">
        <f t="shared" ref="I30" si="7">O30*1000/F30</f>
        <v>12.818463382955342</v>
      </c>
      <c r="J30" s="950">
        <f t="shared" si="5"/>
        <v>50.19865077201824</v>
      </c>
      <c r="K30" s="885">
        <f>N32*1000/E32</f>
        <v>23.188405797101449</v>
      </c>
      <c r="L30" s="970">
        <f>O32*1000/F32</f>
        <v>24.50288646568313</v>
      </c>
      <c r="M30" s="950">
        <f t="shared" si="1"/>
        <v>5.6686978832585</v>
      </c>
      <c r="N30" s="829">
        <f>N31+N32</f>
        <v>132.69999999999999</v>
      </c>
      <c r="O30" s="529">
        <f>O31+O32</f>
        <v>128.30000000000001</v>
      </c>
      <c r="P30" s="477">
        <f t="shared" si="2"/>
        <v>-3.3157498116051065</v>
      </c>
      <c r="Q30" s="133"/>
      <c r="R30" s="65"/>
    </row>
    <row r="31" spans="1:21" ht="14.1" customHeight="1">
      <c r="A31" s="481"/>
      <c r="B31" s="218"/>
      <c r="C31" s="929"/>
      <c r="D31" s="841" t="s">
        <v>429</v>
      </c>
      <c r="E31" s="820">
        <v>10862</v>
      </c>
      <c r="F31" s="794">
        <v>8450</v>
      </c>
      <c r="G31" s="821">
        <f t="shared" si="0"/>
        <v>-22.205855275271592</v>
      </c>
      <c r="H31" s="886">
        <f t="shared" si="4"/>
        <v>8.5343399005707976</v>
      </c>
      <c r="I31" s="972">
        <f t="shared" si="4"/>
        <v>10.662721893491124</v>
      </c>
      <c r="J31" s="821">
        <f t="shared" si="5"/>
        <v>24.939034743366317</v>
      </c>
      <c r="K31" s="966">
        <v>0</v>
      </c>
      <c r="L31" s="973">
        <v>0</v>
      </c>
      <c r="M31" s="821">
        <v>0</v>
      </c>
      <c r="N31" s="801">
        <v>92.7</v>
      </c>
      <c r="O31" s="795">
        <v>90.1</v>
      </c>
      <c r="P31" s="796">
        <f t="shared" si="2"/>
        <v>-2.8047464940668898</v>
      </c>
      <c r="Q31" s="133"/>
      <c r="R31" s="65"/>
    </row>
    <row r="32" spans="1:21" ht="14.1" customHeight="1" thickBot="1">
      <c r="A32" s="481"/>
      <c r="B32" s="218"/>
      <c r="C32" s="930"/>
      <c r="D32" s="855" t="s">
        <v>430</v>
      </c>
      <c r="E32" s="822">
        <v>1725</v>
      </c>
      <c r="F32" s="785">
        <v>1559</v>
      </c>
      <c r="G32" s="836">
        <f t="shared" si="0"/>
        <v>-9.6231884057971016</v>
      </c>
      <c r="H32" s="967">
        <v>0</v>
      </c>
      <c r="I32" s="968">
        <v>0</v>
      </c>
      <c r="J32" s="836">
        <v>0</v>
      </c>
      <c r="K32" s="952">
        <f>N32*1000/E32</f>
        <v>23.188405797101449</v>
      </c>
      <c r="L32" s="983">
        <f>O32*1000/F32</f>
        <v>24.50288646568313</v>
      </c>
      <c r="M32" s="836">
        <f t="shared" si="1"/>
        <v>5.6686978832585</v>
      </c>
      <c r="N32" s="825">
        <v>40</v>
      </c>
      <c r="O32" s="785">
        <v>38.200000000000003</v>
      </c>
      <c r="P32" s="523">
        <f t="shared" si="2"/>
        <v>-4.4999999999999929</v>
      </c>
      <c r="Q32" s="133"/>
      <c r="R32" s="65"/>
    </row>
    <row r="33" spans="1:19" ht="14.1" customHeight="1" thickBot="1">
      <c r="A33" s="481"/>
      <c r="B33" s="218"/>
      <c r="C33" s="781" t="s">
        <v>431</v>
      </c>
      <c r="D33" s="800"/>
      <c r="E33" s="828">
        <f>E10+E11+E14+E16+E18+E19+E20+E22+E25+E27+E28+E29+E31</f>
        <v>1519389.8</v>
      </c>
      <c r="F33" s="828">
        <f>F10+F11+F14+F16+F18+F19+F20+F22+F25+F27+F28+F29+F31</f>
        <v>1479810.3</v>
      </c>
      <c r="G33" s="823">
        <f t="shared" ref="G33:G34" si="8">(F33/E33-1)*100</f>
        <v>-2.6049602281126294</v>
      </c>
      <c r="H33" s="890">
        <f t="shared" si="4"/>
        <v>21.457956345369698</v>
      </c>
      <c r="I33" s="932">
        <f t="shared" si="4"/>
        <v>21.657032661551277</v>
      </c>
      <c r="J33" s="823">
        <f t="shared" ref="J33" si="9">(I33/H33-1)*100</f>
        <v>0.9277505880681769</v>
      </c>
      <c r="K33" s="828">
        <v>0</v>
      </c>
      <c r="L33" s="782">
        <v>0</v>
      </c>
      <c r="M33" s="823">
        <v>0</v>
      </c>
      <c r="N33" s="828">
        <f>N10+N11+N14+N16+N18+N19+N20+N22+N25+N27+N28+N29+N31</f>
        <v>32602.999999999996</v>
      </c>
      <c r="O33" s="782">
        <f>O10+O11+O14+O16+O18+O19+O20+O22+O25+O27+O28+O29+O31</f>
        <v>32048.299999999996</v>
      </c>
      <c r="P33" s="526">
        <f t="shared" ref="P33:P34" si="10">(O33/N33-1)*100</f>
        <v>-1.7013771738797034</v>
      </c>
      <c r="Q33" s="133"/>
      <c r="R33" s="65"/>
      <c r="S33" s="787" t="s">
        <v>311</v>
      </c>
    </row>
    <row r="34" spans="1:19" ht="14.1" customHeight="1" thickBot="1">
      <c r="A34" s="481"/>
      <c r="B34" s="218"/>
      <c r="C34" s="1096" t="s">
        <v>432</v>
      </c>
      <c r="D34" s="1097"/>
      <c r="E34" s="1098">
        <f>E7+E8+E12+E15+E21+E23+E26+E32</f>
        <v>441279</v>
      </c>
      <c r="F34" s="1099">
        <f>F7+F8+F12+F15+F21+F23+F26+F32</f>
        <v>442264</v>
      </c>
      <c r="G34" s="1100">
        <f t="shared" si="8"/>
        <v>0.22321479154912005</v>
      </c>
      <c r="H34" s="1098">
        <v>0</v>
      </c>
      <c r="I34" s="1099">
        <v>0</v>
      </c>
      <c r="J34" s="1100">
        <v>0</v>
      </c>
      <c r="K34" s="1101">
        <f>N34*1000/E34</f>
        <v>29.541854473020472</v>
      </c>
      <c r="L34" s="1102">
        <f>O34*1000/F34</f>
        <v>25.294168189135902</v>
      </c>
      <c r="M34" s="1100">
        <f t="shared" ref="M34" si="11">(L34/K34-1)*100</f>
        <v>-14.37853635005829</v>
      </c>
      <c r="N34" s="1098">
        <f>N7+N8+N12+N15+N21+N23+N26+N32</f>
        <v>13036.2</v>
      </c>
      <c r="O34" s="1098">
        <f>O7+O8+O12+O15+O21+O23+O26+O32</f>
        <v>11186.7</v>
      </c>
      <c r="P34" s="1103">
        <f t="shared" si="10"/>
        <v>-14.187416578450772</v>
      </c>
      <c r="Q34" s="133"/>
      <c r="R34" s="65"/>
    </row>
    <row r="35" spans="1:19" ht="14.1" customHeight="1" thickTop="1" thickBot="1">
      <c r="A35" s="481"/>
      <c r="B35" s="218"/>
      <c r="C35" s="1091" t="s">
        <v>433</v>
      </c>
      <c r="D35" s="1092"/>
      <c r="E35" s="1081">
        <f>E33+E34</f>
        <v>1960668.8</v>
      </c>
      <c r="F35" s="1082">
        <f>F33+F34</f>
        <v>1922074.3</v>
      </c>
      <c r="G35" s="1095">
        <f t="shared" si="0"/>
        <v>-1.9684354644700863</v>
      </c>
      <c r="H35" s="1309">
        <f>N35*1000/E35</f>
        <v>23.277363316027675</v>
      </c>
      <c r="I35" s="1310"/>
      <c r="J35" s="1309">
        <f>O35*1000/F35</f>
        <v>22.493927524029637</v>
      </c>
      <c r="K35" s="1310"/>
      <c r="L35" s="1311">
        <f>(J35/H35-1)*100</f>
        <v>-3.3656552134433637</v>
      </c>
      <c r="M35" s="1312"/>
      <c r="N35" s="1079">
        <f>N33+N34</f>
        <v>45639.199999999997</v>
      </c>
      <c r="O35" s="1083">
        <f>O33+O34</f>
        <v>43235</v>
      </c>
      <c r="P35" s="1094">
        <f t="shared" si="2"/>
        <v>-5.2678399270802201</v>
      </c>
      <c r="Q35" s="133"/>
      <c r="R35" s="65"/>
    </row>
    <row r="36" spans="1:19" ht="15" customHeight="1">
      <c r="A36" s="481"/>
      <c r="B36" s="218"/>
      <c r="C36" s="199" t="s">
        <v>353</v>
      </c>
      <c r="D36" s="784"/>
      <c r="E36" s="483"/>
      <c r="F36" s="483"/>
      <c r="G36" s="483"/>
      <c r="H36" s="483"/>
      <c r="I36" s="483"/>
      <c r="J36" s="483"/>
      <c r="K36" s="483"/>
      <c r="L36" s="483"/>
      <c r="M36" s="483"/>
      <c r="N36" s="483"/>
      <c r="O36" s="483"/>
      <c r="P36" s="483"/>
      <c r="Q36" s="197"/>
      <c r="R36" s="65"/>
    </row>
    <row r="37" spans="1:19">
      <c r="A37" s="481"/>
      <c r="B37" s="481"/>
      <c r="C37" s="481"/>
      <c r="D37" s="482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65"/>
    </row>
    <row r="38" spans="1:19">
      <c r="D38"/>
      <c r="E38"/>
      <c r="F38" s="4"/>
      <c r="G38" s="4"/>
      <c r="H38"/>
      <c r="I38" s="4"/>
      <c r="J38" s="4"/>
      <c r="K38"/>
      <c r="L38" s="4"/>
      <c r="M38" s="4"/>
      <c r="N38"/>
      <c r="O38" s="4"/>
      <c r="P38" s="4"/>
      <c r="Q38"/>
      <c r="R38"/>
    </row>
    <row r="39" spans="1:19"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</row>
    <row r="40" spans="1:19">
      <c r="D40"/>
      <c r="E40"/>
      <c r="F40"/>
      <c r="G40"/>
      <c r="H40"/>
      <c r="I40"/>
      <c r="J40"/>
      <c r="K40"/>
      <c r="L40"/>
      <c r="M40"/>
      <c r="N40"/>
      <c r="O40"/>
      <c r="P40"/>
    </row>
    <row r="41" spans="1:19">
      <c r="D41"/>
      <c r="E41"/>
      <c r="F41"/>
      <c r="G41"/>
      <c r="H41"/>
      <c r="I41"/>
      <c r="J41"/>
      <c r="K41"/>
      <c r="L41"/>
      <c r="M41"/>
      <c r="N41"/>
      <c r="O41"/>
      <c r="P41"/>
    </row>
    <row r="42" spans="1:19">
      <c r="D42"/>
      <c r="E42"/>
      <c r="F42"/>
      <c r="G42"/>
      <c r="H42"/>
      <c r="I42"/>
      <c r="J42"/>
      <c r="K42"/>
      <c r="L42"/>
      <c r="M42"/>
      <c r="N42"/>
      <c r="O42"/>
      <c r="P42"/>
    </row>
    <row r="43" spans="1:19">
      <c r="D43"/>
      <c r="E43"/>
      <c r="F43"/>
      <c r="G43"/>
      <c r="H43"/>
      <c r="I43"/>
      <c r="J43"/>
      <c r="K43"/>
      <c r="L43"/>
      <c r="M43"/>
      <c r="N43"/>
      <c r="O43"/>
      <c r="P43"/>
    </row>
    <row r="44" spans="1:19">
      <c r="D44"/>
      <c r="E44"/>
      <c r="F44"/>
      <c r="G44"/>
      <c r="H44"/>
      <c r="I44"/>
      <c r="J44"/>
      <c r="K44"/>
      <c r="L44"/>
      <c r="M44"/>
      <c r="N44"/>
      <c r="O44"/>
      <c r="P44"/>
    </row>
    <row r="45" spans="1:19">
      <c r="D45"/>
      <c r="E45"/>
      <c r="F45"/>
      <c r="G45"/>
      <c r="H45"/>
      <c r="I45"/>
      <c r="J45"/>
      <c r="K45"/>
      <c r="L45"/>
      <c r="M45"/>
      <c r="N45"/>
      <c r="O45"/>
      <c r="P45"/>
    </row>
    <row r="46" spans="1:19">
      <c r="D46"/>
      <c r="E46"/>
      <c r="F46"/>
      <c r="G46"/>
      <c r="H46"/>
      <c r="I46"/>
      <c r="J46"/>
      <c r="K46"/>
      <c r="L46"/>
      <c r="M46"/>
      <c r="N46"/>
      <c r="O46"/>
      <c r="P46"/>
    </row>
    <row r="47" spans="1:19">
      <c r="D47"/>
      <c r="E47"/>
      <c r="F47"/>
      <c r="G47"/>
      <c r="H47"/>
      <c r="I47"/>
      <c r="J47"/>
      <c r="K47"/>
      <c r="L47"/>
      <c r="M47"/>
      <c r="N47"/>
      <c r="O47"/>
      <c r="P47"/>
    </row>
    <row r="48" spans="1:19">
      <c r="D48"/>
      <c r="E48"/>
      <c r="F48"/>
      <c r="G48"/>
      <c r="H48"/>
      <c r="I48"/>
      <c r="J48"/>
      <c r="K48"/>
      <c r="L48"/>
      <c r="M48"/>
      <c r="N48"/>
      <c r="O48"/>
      <c r="P48"/>
    </row>
    <row r="49" spans="4:16">
      <c r="D49"/>
      <c r="E49"/>
      <c r="F49"/>
      <c r="G49"/>
      <c r="H49"/>
      <c r="I49"/>
      <c r="J49"/>
      <c r="K49"/>
      <c r="L49"/>
      <c r="M49"/>
      <c r="N49"/>
      <c r="O49"/>
      <c r="P49"/>
    </row>
    <row r="50" spans="4:16">
      <c r="D50"/>
      <c r="E50"/>
      <c r="F50"/>
      <c r="G50"/>
      <c r="H50"/>
      <c r="I50"/>
      <c r="J50"/>
      <c r="K50"/>
      <c r="L50"/>
      <c r="M50"/>
      <c r="N50"/>
      <c r="O50"/>
      <c r="P50"/>
    </row>
    <row r="51" spans="4:16">
      <c r="D51"/>
      <c r="E51"/>
      <c r="F51"/>
      <c r="G51"/>
      <c r="H51"/>
      <c r="I51"/>
      <c r="J51"/>
      <c r="K51"/>
      <c r="L51"/>
      <c r="M51"/>
      <c r="N51"/>
      <c r="O51"/>
      <c r="P51"/>
    </row>
    <row r="52" spans="4:16">
      <c r="D52"/>
      <c r="E52"/>
      <c r="F52"/>
      <c r="G52"/>
      <c r="H52"/>
      <c r="I52"/>
      <c r="J52"/>
      <c r="K52"/>
      <c r="L52"/>
      <c r="M52"/>
      <c r="N52"/>
      <c r="O52"/>
      <c r="P52"/>
    </row>
    <row r="53" spans="4:16">
      <c r="D53"/>
      <c r="E53"/>
      <c r="F53"/>
      <c r="G53"/>
      <c r="H53"/>
      <c r="I53"/>
      <c r="J53"/>
      <c r="K53"/>
      <c r="L53"/>
      <c r="M53"/>
      <c r="N53"/>
      <c r="O53"/>
      <c r="P53"/>
    </row>
    <row r="54" spans="4:16">
      <c r="D54"/>
      <c r="E54"/>
      <c r="F54"/>
      <c r="G54"/>
      <c r="H54"/>
      <c r="I54"/>
      <c r="J54"/>
      <c r="K54"/>
      <c r="L54"/>
      <c r="M54"/>
      <c r="N54"/>
      <c r="O54"/>
      <c r="P54"/>
    </row>
    <row r="55" spans="4:16">
      <c r="D55"/>
      <c r="E55"/>
      <c r="F55"/>
      <c r="G55"/>
      <c r="H55"/>
      <c r="I55"/>
      <c r="J55"/>
      <c r="K55"/>
      <c r="L55"/>
      <c r="M55"/>
      <c r="N55"/>
      <c r="O55"/>
      <c r="P55"/>
    </row>
    <row r="56" spans="4:16">
      <c r="D56"/>
      <c r="E56"/>
      <c r="F56"/>
      <c r="G56"/>
      <c r="H56"/>
      <c r="I56"/>
      <c r="J56"/>
      <c r="K56"/>
      <c r="L56"/>
      <c r="M56"/>
      <c r="N56"/>
      <c r="O56"/>
      <c r="P56"/>
    </row>
    <row r="57" spans="4:16">
      <c r="D57"/>
      <c r="E57"/>
      <c r="F57"/>
      <c r="G57"/>
      <c r="H57"/>
      <c r="I57"/>
      <c r="J57"/>
      <c r="K57"/>
      <c r="L57"/>
      <c r="M57"/>
      <c r="N57"/>
      <c r="O57"/>
      <c r="P57"/>
    </row>
    <row r="58" spans="4:16">
      <c r="D58"/>
      <c r="E58"/>
      <c r="F58"/>
      <c r="G58"/>
      <c r="H58"/>
      <c r="I58"/>
      <c r="J58"/>
      <c r="K58"/>
      <c r="L58"/>
      <c r="M58"/>
      <c r="N58"/>
      <c r="O58"/>
      <c r="P58"/>
    </row>
    <row r="59" spans="4:16">
      <c r="D59"/>
      <c r="E59"/>
      <c r="F59"/>
      <c r="G59"/>
      <c r="H59"/>
      <c r="I59"/>
      <c r="J59"/>
      <c r="K59"/>
      <c r="L59"/>
      <c r="M59"/>
      <c r="N59"/>
      <c r="O59"/>
      <c r="P59"/>
    </row>
    <row r="60" spans="4:16">
      <c r="D60"/>
      <c r="E60"/>
      <c r="F60"/>
      <c r="G60"/>
      <c r="H60"/>
      <c r="I60"/>
      <c r="J60"/>
      <c r="K60"/>
      <c r="L60"/>
      <c r="M60"/>
      <c r="N60"/>
      <c r="O60"/>
      <c r="P60"/>
    </row>
    <row r="61" spans="4:16">
      <c r="D61"/>
      <c r="E61"/>
      <c r="F61"/>
      <c r="G61"/>
      <c r="H61"/>
      <c r="I61"/>
      <c r="J61"/>
      <c r="K61"/>
      <c r="L61"/>
      <c r="M61"/>
      <c r="N61"/>
      <c r="O61"/>
      <c r="P61"/>
    </row>
    <row r="62" spans="4:16">
      <c r="D62"/>
    </row>
  </sheetData>
  <mergeCells count="14">
    <mergeCell ref="A1:R1"/>
    <mergeCell ref="B2:Q2"/>
    <mergeCell ref="H35:I35"/>
    <mergeCell ref="J35:K35"/>
    <mergeCell ref="L35:M35"/>
    <mergeCell ref="H4:M4"/>
    <mergeCell ref="C3:P3"/>
    <mergeCell ref="C4:D6"/>
    <mergeCell ref="E4:G4"/>
    <mergeCell ref="N4:P4"/>
    <mergeCell ref="E5:G5"/>
    <mergeCell ref="H5:J5"/>
    <mergeCell ref="K5:M5"/>
    <mergeCell ref="N5:P5"/>
  </mergeCells>
  <printOptions horizontalCentered="1" verticalCentered="1"/>
  <pageMargins left="0.51181102362204722" right="0.51181102362204722" top="0.78740157480314965" bottom="0.78740157480314965" header="0.31496062992125984" footer="0.31496062992125984"/>
  <pageSetup paperSize="9" scale="95" orientation="landscape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>
  <dimension ref="A1:W62"/>
  <sheetViews>
    <sheetView workbookViewId="0">
      <pane xSplit="2" ySplit="6" topLeftCell="C7" activePane="bottomRight" state="frozen"/>
      <selection pane="topRight" activeCell="C1" sqref="C1"/>
      <selection pane="bottomLeft" activeCell="A7" sqref="A7"/>
      <selection pane="bottomRight" sqref="A1:R1"/>
    </sheetView>
  </sheetViews>
  <sheetFormatPr defaultRowHeight="15"/>
  <cols>
    <col min="1" max="2" width="2.7109375" style="1" customWidth="1"/>
    <col min="3" max="3" width="8.7109375" style="1" customWidth="1"/>
    <col min="4" max="4" width="19.7109375" style="32" customWidth="1"/>
    <col min="5" max="6" width="10.7109375" style="32" customWidth="1"/>
    <col min="7" max="7" width="6.7109375" style="32" bestFit="1" customWidth="1"/>
    <col min="8" max="13" width="6.7109375" style="32" customWidth="1"/>
    <col min="14" max="15" width="10.7109375" style="32" customWidth="1"/>
    <col min="16" max="16" width="8.28515625" style="32" bestFit="1" customWidth="1"/>
    <col min="17" max="18" width="2.7109375" style="1" customWidth="1"/>
    <col min="19" max="16384" width="9.140625" style="1"/>
  </cols>
  <sheetData>
    <row r="1" spans="1:18" ht="15" customHeight="1">
      <c r="A1" s="1308" t="s">
        <v>484</v>
      </c>
      <c r="B1" s="1308"/>
      <c r="C1" s="1308"/>
      <c r="D1" s="1308"/>
      <c r="E1" s="1308"/>
      <c r="F1" s="1308"/>
      <c r="G1" s="1308"/>
      <c r="H1" s="1308"/>
      <c r="I1" s="1308"/>
      <c r="J1" s="1308"/>
      <c r="K1" s="1308"/>
      <c r="L1" s="1308"/>
      <c r="M1" s="1308"/>
      <c r="N1" s="1308"/>
      <c r="O1" s="1308"/>
      <c r="P1" s="1308"/>
      <c r="Q1" s="1308"/>
      <c r="R1" s="1308"/>
    </row>
    <row r="2" spans="1:18" ht="15.75">
      <c r="A2" s="481"/>
      <c r="B2" s="218"/>
      <c r="C2" s="1317" t="s">
        <v>434</v>
      </c>
      <c r="D2" s="1317"/>
      <c r="E2" s="1317"/>
      <c r="F2" s="1317"/>
      <c r="G2" s="1317"/>
      <c r="H2" s="1317"/>
      <c r="I2" s="1317"/>
      <c r="J2" s="1317"/>
      <c r="K2" s="1317"/>
      <c r="L2" s="1317"/>
      <c r="M2" s="1317"/>
      <c r="N2" s="1317"/>
      <c r="O2" s="1317"/>
      <c r="P2" s="1317"/>
      <c r="Q2" s="197"/>
      <c r="R2" s="65"/>
    </row>
    <row r="3" spans="1:18" ht="13.5" customHeight="1" thickBot="1">
      <c r="A3" s="481"/>
      <c r="B3" s="218"/>
      <c r="C3" s="1318" t="s">
        <v>488</v>
      </c>
      <c r="D3" s="1318"/>
      <c r="E3" s="1318"/>
      <c r="F3" s="1318"/>
      <c r="G3" s="1318"/>
      <c r="H3" s="1318"/>
      <c r="I3" s="1318"/>
      <c r="J3" s="1318"/>
      <c r="K3" s="1318"/>
      <c r="L3" s="1318"/>
      <c r="M3" s="1318"/>
      <c r="N3" s="1318"/>
      <c r="O3" s="1318"/>
      <c r="P3" s="1318"/>
      <c r="Q3" s="197"/>
      <c r="R3" s="65"/>
    </row>
    <row r="4" spans="1:18" ht="11.1" customHeight="1" thickBot="1">
      <c r="A4" s="481"/>
      <c r="B4" s="218"/>
      <c r="C4" s="1316" t="s">
        <v>444</v>
      </c>
      <c r="D4" s="1316"/>
      <c r="E4" s="1320" t="s">
        <v>443</v>
      </c>
      <c r="F4" s="1321"/>
      <c r="G4" s="1322"/>
      <c r="H4" s="1313" t="s">
        <v>520</v>
      </c>
      <c r="I4" s="1314"/>
      <c r="J4" s="1314"/>
      <c r="K4" s="1314"/>
      <c r="L4" s="1314"/>
      <c r="M4" s="1315"/>
      <c r="N4" s="1316" t="s">
        <v>357</v>
      </c>
      <c r="O4" s="1316"/>
      <c r="P4" s="1316"/>
      <c r="Q4" s="133"/>
      <c r="R4" s="65"/>
    </row>
    <row r="5" spans="1:18" ht="15.75" customHeight="1" thickBot="1">
      <c r="A5" s="481"/>
      <c r="B5" s="218"/>
      <c r="C5" s="1316"/>
      <c r="D5" s="1316"/>
      <c r="E5" s="1327" t="s">
        <v>441</v>
      </c>
      <c r="F5" s="1328"/>
      <c r="G5" s="1329"/>
      <c r="H5" s="1324" t="s">
        <v>532</v>
      </c>
      <c r="I5" s="1324"/>
      <c r="J5" s="1325"/>
      <c r="K5" s="1323" t="s">
        <v>531</v>
      </c>
      <c r="L5" s="1324"/>
      <c r="M5" s="1325"/>
      <c r="N5" s="1323" t="s">
        <v>442</v>
      </c>
      <c r="O5" s="1324"/>
      <c r="P5" s="1324"/>
      <c r="Q5" s="133"/>
      <c r="R5" s="65"/>
    </row>
    <row r="6" spans="1:18" ht="11.1" customHeight="1" thickBot="1">
      <c r="A6" s="481"/>
      <c r="B6" s="218"/>
      <c r="C6" s="1319"/>
      <c r="D6" s="1319"/>
      <c r="E6" s="803">
        <v>2013</v>
      </c>
      <c r="F6" s="858">
        <v>2014</v>
      </c>
      <c r="G6" s="804" t="s">
        <v>13</v>
      </c>
      <c r="H6" s="803">
        <v>2013</v>
      </c>
      <c r="I6" s="858">
        <v>2014</v>
      </c>
      <c r="J6" s="804" t="s">
        <v>13</v>
      </c>
      <c r="K6" s="803">
        <v>2013</v>
      </c>
      <c r="L6" s="858">
        <v>2014</v>
      </c>
      <c r="M6" s="804" t="s">
        <v>13</v>
      </c>
      <c r="N6" s="803">
        <v>2013</v>
      </c>
      <c r="O6" s="858">
        <v>2014</v>
      </c>
      <c r="P6" s="525" t="s">
        <v>13</v>
      </c>
      <c r="Q6" s="133"/>
      <c r="R6" s="65"/>
    </row>
    <row r="7" spans="1:18" ht="14.1" customHeight="1">
      <c r="A7" s="481"/>
      <c r="B7" s="218"/>
      <c r="C7" s="917" t="s">
        <v>4</v>
      </c>
      <c r="D7" s="918" t="s">
        <v>430</v>
      </c>
      <c r="E7" s="938">
        <v>102840</v>
      </c>
      <c r="F7" s="938">
        <v>86004</v>
      </c>
      <c r="G7" s="940">
        <f t="shared" ref="G7:G35" si="0">(F7/E7-1)*100</f>
        <v>-16.371061843640611</v>
      </c>
      <c r="H7" s="943">
        <v>0</v>
      </c>
      <c r="I7" s="944">
        <v>0</v>
      </c>
      <c r="J7" s="945">
        <v>0</v>
      </c>
      <c r="K7" s="946">
        <f>N7*1000/E7</f>
        <v>13.195254764683003</v>
      </c>
      <c r="L7" s="947">
        <f>O7*1000/F7</f>
        <v>17.177108041486441</v>
      </c>
      <c r="M7" s="945">
        <f t="shared" ref="M7:M32" si="1">(L7/K7-1)*100</f>
        <v>30.176403167757226</v>
      </c>
      <c r="N7" s="923">
        <v>1357</v>
      </c>
      <c r="O7" s="924">
        <v>1477.3</v>
      </c>
      <c r="P7" s="925">
        <f t="shared" ref="P7:P35" si="2">(O7/N7-1)*100</f>
        <v>8.8651436993367749</v>
      </c>
      <c r="Q7" s="133"/>
      <c r="R7" s="65"/>
    </row>
    <row r="8" spans="1:18" ht="14.1" customHeight="1">
      <c r="A8" s="481"/>
      <c r="B8" s="218"/>
      <c r="C8" s="905" t="s">
        <v>5</v>
      </c>
      <c r="D8" s="933" t="s">
        <v>430</v>
      </c>
      <c r="E8" s="818">
        <v>6383</v>
      </c>
      <c r="F8" s="818">
        <v>4377</v>
      </c>
      <c r="G8" s="819">
        <f t="shared" si="0"/>
        <v>-31.427228575904742</v>
      </c>
      <c r="H8" s="948">
        <v>0</v>
      </c>
      <c r="I8" s="949">
        <v>0</v>
      </c>
      <c r="J8" s="950">
        <v>0</v>
      </c>
      <c r="K8" s="885">
        <f>N8*1000/E8</f>
        <v>19.066269779100736</v>
      </c>
      <c r="L8" s="969">
        <f>O8*1000/F8</f>
        <v>15.695681973954764</v>
      </c>
      <c r="M8" s="950">
        <f t="shared" si="1"/>
        <v>-17.678276056077845</v>
      </c>
      <c r="N8" s="839">
        <v>121.7</v>
      </c>
      <c r="O8" s="840">
        <v>68.7</v>
      </c>
      <c r="P8" s="477">
        <f t="shared" si="2"/>
        <v>-43.549712407559568</v>
      </c>
      <c r="Q8" s="133"/>
      <c r="R8" s="65"/>
    </row>
    <row r="9" spans="1:18" ht="14.1" customHeight="1">
      <c r="A9" s="481"/>
      <c r="B9" s="218"/>
      <c r="C9" s="905" t="s">
        <v>6</v>
      </c>
      <c r="D9" s="798"/>
      <c r="E9" s="839">
        <f>E10+E11+E12</f>
        <v>134510.79999999999</v>
      </c>
      <c r="F9" s="837">
        <f>F10+F11+F12</f>
        <v>143939</v>
      </c>
      <c r="G9" s="819">
        <f t="shared" si="0"/>
        <v>7.0092513017542268</v>
      </c>
      <c r="H9" s="885">
        <f>SUM(N10+N11)*1000/SUM(E10+E11)</f>
        <v>9.7895531573370906</v>
      </c>
      <c r="I9" s="970">
        <f>SUM(O10+O11)*1000/SUM(F10+F11)</f>
        <v>11.957175832367815</v>
      </c>
      <c r="J9" s="950">
        <f t="shared" ref="J9:J11" si="3">(I9/H9-1)*100</f>
        <v>22.142202408964206</v>
      </c>
      <c r="K9" s="885">
        <f>N12*1000/E12</f>
        <v>29.918648077455963</v>
      </c>
      <c r="L9" s="970">
        <f>O12*1000/F12</f>
        <v>31.901840490797547</v>
      </c>
      <c r="M9" s="950">
        <f t="shared" si="1"/>
        <v>6.6286164007388404</v>
      </c>
      <c r="N9" s="839">
        <f>N10+N11+N12</f>
        <v>1803.5</v>
      </c>
      <c r="O9" s="840">
        <f>O10+O11+O12</f>
        <v>2371.3000000000002</v>
      </c>
      <c r="P9" s="477">
        <f t="shared" si="2"/>
        <v>31.483227058497377</v>
      </c>
      <c r="Q9" s="133"/>
      <c r="R9" s="65"/>
    </row>
    <row r="10" spans="1:18" ht="14.1" customHeight="1">
      <c r="A10" s="481"/>
      <c r="B10" s="218"/>
      <c r="C10" s="906"/>
      <c r="D10" s="891" t="s">
        <v>426</v>
      </c>
      <c r="E10" s="856">
        <v>11858.2</v>
      </c>
      <c r="F10" s="856">
        <v>11973</v>
      </c>
      <c r="G10" s="816">
        <f t="shared" si="0"/>
        <v>0.96810645797844597</v>
      </c>
      <c r="H10" s="886">
        <f t="shared" ref="H10:I31" si="4">N10*1000/E10</f>
        <v>33.647602502909379</v>
      </c>
      <c r="I10" s="974">
        <f t="shared" si="4"/>
        <v>36.340098555082271</v>
      </c>
      <c r="J10" s="953">
        <f t="shared" si="3"/>
        <v>8.002044282174591</v>
      </c>
      <c r="K10" s="934">
        <v>0</v>
      </c>
      <c r="L10" s="954">
        <v>0</v>
      </c>
      <c r="M10" s="953">
        <v>0</v>
      </c>
      <c r="N10" s="934">
        <v>399</v>
      </c>
      <c r="O10" s="540">
        <v>435.1</v>
      </c>
      <c r="P10" s="545">
        <f t="shared" si="2"/>
        <v>9.0476190476190599</v>
      </c>
      <c r="Q10" s="133"/>
      <c r="R10" s="65"/>
    </row>
    <row r="11" spans="1:18" ht="14.1" customHeight="1">
      <c r="A11" s="481"/>
      <c r="B11" s="218"/>
      <c r="C11" s="907"/>
      <c r="D11" s="478" t="s">
        <v>427</v>
      </c>
      <c r="E11" s="809">
        <v>98473.7</v>
      </c>
      <c r="F11" s="809">
        <v>99366</v>
      </c>
      <c r="G11" s="816">
        <f t="shared" si="0"/>
        <v>0.90613026625383508</v>
      </c>
      <c r="H11" s="889">
        <f t="shared" si="4"/>
        <v>6.9165675708336343</v>
      </c>
      <c r="I11" s="987">
        <f t="shared" si="4"/>
        <v>9.0191816114163803</v>
      </c>
      <c r="J11" s="955">
        <f t="shared" si="3"/>
        <v>30.399674680389531</v>
      </c>
      <c r="K11" s="961">
        <v>0</v>
      </c>
      <c r="L11" s="962">
        <v>0</v>
      </c>
      <c r="M11" s="953">
        <v>0</v>
      </c>
      <c r="N11" s="831">
        <v>681.1</v>
      </c>
      <c r="O11" s="540">
        <v>896.2</v>
      </c>
      <c r="P11" s="545">
        <f t="shared" si="2"/>
        <v>31.581265599765086</v>
      </c>
      <c r="Q11" s="133"/>
      <c r="R11" s="65"/>
    </row>
    <row r="12" spans="1:18" ht="14.1" customHeight="1">
      <c r="A12" s="481"/>
      <c r="B12" s="218"/>
      <c r="C12" s="908"/>
      <c r="D12" s="843" t="s">
        <v>428</v>
      </c>
      <c r="E12" s="812">
        <v>24178.9</v>
      </c>
      <c r="F12" s="812">
        <v>32600</v>
      </c>
      <c r="G12" s="807">
        <f t="shared" si="0"/>
        <v>34.828300708468937</v>
      </c>
      <c r="H12" s="956">
        <v>0</v>
      </c>
      <c r="I12" s="986">
        <v>0</v>
      </c>
      <c r="J12" s="958">
        <v>0</v>
      </c>
      <c r="K12" s="952">
        <f>N12*1000/E12</f>
        <v>29.918648077455963</v>
      </c>
      <c r="L12" s="982">
        <f>O12*1000/F12</f>
        <v>31.901840490797547</v>
      </c>
      <c r="M12" s="958">
        <f t="shared" si="1"/>
        <v>6.6286164007388404</v>
      </c>
      <c r="N12" s="831">
        <v>723.4</v>
      </c>
      <c r="O12" s="528">
        <v>1040</v>
      </c>
      <c r="P12" s="523">
        <f t="shared" si="2"/>
        <v>43.765551562068005</v>
      </c>
      <c r="Q12" s="133"/>
      <c r="R12" s="65"/>
    </row>
    <row r="13" spans="1:18" ht="14.1" customHeight="1">
      <c r="A13" s="481"/>
      <c r="B13" s="218"/>
      <c r="C13" s="905" t="s">
        <v>10</v>
      </c>
      <c r="D13" s="844"/>
      <c r="E13" s="829">
        <f>E14+E15</f>
        <v>20890</v>
      </c>
      <c r="F13" s="808">
        <f>F14+F15</f>
        <v>20115</v>
      </c>
      <c r="G13" s="819">
        <f t="shared" si="0"/>
        <v>-3.7099090473910912</v>
      </c>
      <c r="H13" s="885">
        <f>N14*1000/E14</f>
        <v>18.823529411764707</v>
      </c>
      <c r="I13" s="970">
        <f>O14*1000/F14</f>
        <v>14.814814814814815</v>
      </c>
      <c r="J13" s="950">
        <f t="shared" ref="J13:J31" si="5">(I13/H13-1)*100</f>
        <v>-21.296296296296301</v>
      </c>
      <c r="K13" s="885">
        <f>N15*1000/E15</f>
        <v>8.1663061763999032</v>
      </c>
      <c r="L13" s="970">
        <f>O15*1000/F15</f>
        <v>8.1981981981981988</v>
      </c>
      <c r="M13" s="950">
        <f t="shared" si="1"/>
        <v>0.39053179135581928</v>
      </c>
      <c r="N13" s="829">
        <f>N14+N15</f>
        <v>171.5</v>
      </c>
      <c r="O13" s="824">
        <f>O14+O15</f>
        <v>165.8</v>
      </c>
      <c r="P13" s="477">
        <f t="shared" si="2"/>
        <v>-3.3236151603498465</v>
      </c>
      <c r="Q13" s="133"/>
      <c r="R13" s="65"/>
    </row>
    <row r="14" spans="1:18" ht="14.1" customHeight="1">
      <c r="A14" s="481"/>
      <c r="B14" s="218"/>
      <c r="C14" s="908"/>
      <c r="D14" s="842" t="s">
        <v>429</v>
      </c>
      <c r="E14" s="856">
        <v>85</v>
      </c>
      <c r="F14" s="856">
        <v>135</v>
      </c>
      <c r="G14" s="816">
        <f t="shared" si="0"/>
        <v>58.823529411764696</v>
      </c>
      <c r="H14" s="886">
        <f t="shared" si="4"/>
        <v>18.823529411764707</v>
      </c>
      <c r="I14" s="972">
        <f t="shared" si="4"/>
        <v>14.814814814814815</v>
      </c>
      <c r="J14" s="821">
        <f t="shared" si="5"/>
        <v>-21.296296296296301</v>
      </c>
      <c r="K14" s="977">
        <v>0</v>
      </c>
      <c r="L14" s="973">
        <v>0</v>
      </c>
      <c r="M14" s="821">
        <v>0</v>
      </c>
      <c r="N14" s="831">
        <v>1.6</v>
      </c>
      <c r="O14" s="540">
        <v>2</v>
      </c>
      <c r="P14" s="545">
        <f t="shared" si="2"/>
        <v>25</v>
      </c>
      <c r="Q14" s="133"/>
      <c r="R14" s="65"/>
    </row>
    <row r="15" spans="1:18" ht="14.1" customHeight="1">
      <c r="A15" s="481"/>
      <c r="B15" s="218"/>
      <c r="C15" s="909"/>
      <c r="D15" s="845" t="s">
        <v>430</v>
      </c>
      <c r="E15" s="857">
        <v>20805</v>
      </c>
      <c r="F15" s="857">
        <v>19980</v>
      </c>
      <c r="G15" s="814">
        <f t="shared" si="0"/>
        <v>-3.9653929343907768</v>
      </c>
      <c r="H15" s="956">
        <v>0</v>
      </c>
      <c r="I15" s="986">
        <v>0</v>
      </c>
      <c r="J15" s="958">
        <v>0</v>
      </c>
      <c r="K15" s="952">
        <f>N15*1000/E15</f>
        <v>8.1663061763999032</v>
      </c>
      <c r="L15" s="982">
        <f>O15*1000/F15</f>
        <v>8.1981981981981988</v>
      </c>
      <c r="M15" s="958">
        <f t="shared" si="1"/>
        <v>0.39053179135581928</v>
      </c>
      <c r="N15" s="833">
        <v>169.9</v>
      </c>
      <c r="O15" s="538">
        <v>163.80000000000001</v>
      </c>
      <c r="P15" s="544">
        <f t="shared" si="2"/>
        <v>-3.5903472630959388</v>
      </c>
      <c r="Q15" s="133"/>
      <c r="R15" s="65"/>
    </row>
    <row r="16" spans="1:18" ht="14.1" customHeight="1">
      <c r="A16" s="481"/>
      <c r="B16" s="218"/>
      <c r="C16" s="904" t="s">
        <v>11</v>
      </c>
      <c r="D16" s="870" t="s">
        <v>429</v>
      </c>
      <c r="E16" s="936">
        <v>6382.6</v>
      </c>
      <c r="F16" s="806">
        <v>6136.8</v>
      </c>
      <c r="G16" s="805">
        <f t="shared" si="0"/>
        <v>-3.8510951649797898</v>
      </c>
      <c r="H16" s="885">
        <f t="shared" si="4"/>
        <v>41.61313571271895</v>
      </c>
      <c r="I16" s="951">
        <f t="shared" si="4"/>
        <v>38.55429539825316</v>
      </c>
      <c r="J16" s="958">
        <f t="shared" si="5"/>
        <v>-7.3506604635200867</v>
      </c>
      <c r="K16" s="960">
        <v>0</v>
      </c>
      <c r="L16" s="965">
        <v>0</v>
      </c>
      <c r="M16" s="958">
        <v>0</v>
      </c>
      <c r="N16" s="839">
        <v>265.60000000000002</v>
      </c>
      <c r="O16" s="528">
        <v>236.6</v>
      </c>
      <c r="P16" s="480">
        <f t="shared" si="2"/>
        <v>-10.918674698795193</v>
      </c>
      <c r="Q16" s="133"/>
      <c r="R16" s="65"/>
    </row>
    <row r="17" spans="1:23" ht="14.1" customHeight="1">
      <c r="A17" s="481"/>
      <c r="B17" s="218"/>
      <c r="C17" s="910" t="s">
        <v>8</v>
      </c>
      <c r="D17" s="846"/>
      <c r="E17" s="839">
        <f>E18+E19+E20+E21+E22+E23</f>
        <v>1037797</v>
      </c>
      <c r="F17" s="837">
        <f>F18+F19+F20+F21+F22+F23</f>
        <v>1008548</v>
      </c>
      <c r="G17" s="819">
        <f t="shared" si="0"/>
        <v>-2.8183739209113101</v>
      </c>
      <c r="H17" s="885">
        <f>SUM(N18+N19+N20+N22)*1000/SUM(E18+E19+E20+E22)</f>
        <v>26.717121498500699</v>
      </c>
      <c r="I17" s="970">
        <f>SUM(O18+O19+O20+O22)*1000/SUM(F18+F19+F20+F22)</f>
        <v>22.755982188348863</v>
      </c>
      <c r="J17" s="950">
        <f t="shared" si="5"/>
        <v>-14.826220370986166</v>
      </c>
      <c r="K17" s="885">
        <f>SUM(N21+N23)*1000/SUM(E21+E23)</f>
        <v>21.561681811181273</v>
      </c>
      <c r="L17" s="970">
        <f>SUM(O21+O23)*1000/SUM(F21+F23)</f>
        <v>22.080332615635903</v>
      </c>
      <c r="M17" s="950">
        <f t="shared" si="1"/>
        <v>2.4054283380885</v>
      </c>
      <c r="N17" s="839">
        <f>N18+N19+N20+N21+N22+N23</f>
        <v>27660</v>
      </c>
      <c r="O17" s="868">
        <f>O18+O19+O20+O21+O22+O23</f>
        <v>22941.399999999998</v>
      </c>
      <c r="P17" s="477">
        <f t="shared" si="2"/>
        <v>-17.059291395516997</v>
      </c>
      <c r="Q17" s="133"/>
      <c r="R17" s="65"/>
    </row>
    <row r="18" spans="1:23" ht="14.1" customHeight="1">
      <c r="A18" s="481"/>
      <c r="B18" s="218"/>
      <c r="C18" s="911"/>
      <c r="D18" s="847" t="s">
        <v>440</v>
      </c>
      <c r="E18" s="809">
        <v>521187</v>
      </c>
      <c r="F18" s="809">
        <v>501214</v>
      </c>
      <c r="G18" s="816">
        <f t="shared" si="0"/>
        <v>-3.832213773559201</v>
      </c>
      <c r="H18" s="886">
        <f t="shared" si="4"/>
        <v>25.624200143134807</v>
      </c>
      <c r="I18" s="974">
        <f t="shared" si="4"/>
        <v>21.555064303870203</v>
      </c>
      <c r="J18" s="953">
        <f t="shared" si="5"/>
        <v>-15.880050173409222</v>
      </c>
      <c r="K18" s="934">
        <v>0</v>
      </c>
      <c r="L18" s="954">
        <v>0</v>
      </c>
      <c r="M18" s="953">
        <v>0</v>
      </c>
      <c r="N18" s="831">
        <v>13355</v>
      </c>
      <c r="O18" s="540">
        <v>10803.7</v>
      </c>
      <c r="P18" s="545">
        <f t="shared" si="2"/>
        <v>-19.103706476974914</v>
      </c>
      <c r="Q18" s="133"/>
      <c r="R18" s="65"/>
    </row>
    <row r="19" spans="1:23" ht="14.1" customHeight="1">
      <c r="A19" s="481"/>
      <c r="B19" s="218"/>
      <c r="C19" s="908"/>
      <c r="D19" s="848" t="s">
        <v>439</v>
      </c>
      <c r="E19" s="811">
        <v>169415</v>
      </c>
      <c r="F19" s="811">
        <v>174369</v>
      </c>
      <c r="G19" s="810">
        <f t="shared" si="0"/>
        <v>2.9241802673907191</v>
      </c>
      <c r="H19" s="889">
        <f t="shared" si="4"/>
        <v>30.770592922704601</v>
      </c>
      <c r="I19" s="987">
        <f t="shared" si="4"/>
        <v>33.064937001416538</v>
      </c>
      <c r="J19" s="955">
        <f t="shared" si="5"/>
        <v>7.4562881660269031</v>
      </c>
      <c r="K19" s="934">
        <v>0</v>
      </c>
      <c r="L19" s="954">
        <v>0</v>
      </c>
      <c r="M19" s="953">
        <v>0</v>
      </c>
      <c r="N19" s="831">
        <v>5213</v>
      </c>
      <c r="O19" s="540">
        <v>5765.5</v>
      </c>
      <c r="P19" s="545">
        <f t="shared" si="2"/>
        <v>10.598503740648368</v>
      </c>
      <c r="Q19" s="133"/>
      <c r="R19" s="65"/>
    </row>
    <row r="20" spans="1:23" ht="14.1" customHeight="1">
      <c r="A20" s="481"/>
      <c r="B20" s="218"/>
      <c r="C20" s="908"/>
      <c r="D20" s="849" t="s">
        <v>435</v>
      </c>
      <c r="E20" s="811">
        <v>301152</v>
      </c>
      <c r="F20" s="811">
        <v>284582</v>
      </c>
      <c r="G20" s="810">
        <f t="shared" si="0"/>
        <v>-5.5022048666454104</v>
      </c>
      <c r="H20" s="889">
        <f t="shared" si="4"/>
        <v>27.006295824035703</v>
      </c>
      <c r="I20" s="987">
        <f t="shared" si="4"/>
        <v>18.640672987047669</v>
      </c>
      <c r="J20" s="953">
        <f t="shared" si="5"/>
        <v>-30.976565210926111</v>
      </c>
      <c r="K20" s="961">
        <v>0</v>
      </c>
      <c r="L20" s="962">
        <v>0</v>
      </c>
      <c r="M20" s="955">
        <v>0</v>
      </c>
      <c r="N20" s="831">
        <v>8133</v>
      </c>
      <c r="O20" s="532">
        <v>5304.8</v>
      </c>
      <c r="P20" s="524">
        <f t="shared" si="2"/>
        <v>-34.77437599901635</v>
      </c>
      <c r="Q20" s="133"/>
      <c r="R20" s="65"/>
      <c r="W20" s="543"/>
    </row>
    <row r="21" spans="1:23" ht="14.1" customHeight="1">
      <c r="A21" s="481"/>
      <c r="B21" s="218"/>
      <c r="C21" s="908"/>
      <c r="D21" s="849" t="s">
        <v>436</v>
      </c>
      <c r="E21" s="811">
        <v>8441</v>
      </c>
      <c r="F21" s="811">
        <v>8755</v>
      </c>
      <c r="G21" s="810">
        <f t="shared" si="0"/>
        <v>3.7199383959246601</v>
      </c>
      <c r="H21" s="989">
        <v>0</v>
      </c>
      <c r="I21" s="980">
        <v>0</v>
      </c>
      <c r="J21" s="953">
        <v>0</v>
      </c>
      <c r="K21" s="889">
        <f>N21*1000/E21</f>
        <v>21.561426371283023</v>
      </c>
      <c r="L21" s="988">
        <f>O21*1000/F21</f>
        <v>22.07881210736722</v>
      </c>
      <c r="M21" s="955">
        <f t="shared" si="1"/>
        <v>2.3995895594981942</v>
      </c>
      <c r="N21" s="831">
        <v>182</v>
      </c>
      <c r="O21" s="532">
        <v>193.3</v>
      </c>
      <c r="P21" s="524">
        <f t="shared" si="2"/>
        <v>6.2087912087912089</v>
      </c>
      <c r="Q21" s="133"/>
      <c r="R21" s="65"/>
    </row>
    <row r="22" spans="1:23" ht="14.1" customHeight="1">
      <c r="A22" s="481"/>
      <c r="B22" s="218"/>
      <c r="C22" s="908"/>
      <c r="D22" s="850" t="s">
        <v>437</v>
      </c>
      <c r="E22" s="811">
        <v>33057</v>
      </c>
      <c r="F22" s="811">
        <v>34914</v>
      </c>
      <c r="G22" s="810">
        <f t="shared" si="0"/>
        <v>5.6175696524185526</v>
      </c>
      <c r="H22" s="889">
        <f t="shared" si="4"/>
        <v>20.540278912181989</v>
      </c>
      <c r="I22" s="987">
        <f t="shared" si="4"/>
        <v>22.054190296156271</v>
      </c>
      <c r="J22" s="953">
        <f t="shared" si="5"/>
        <v>7.3704519322588924</v>
      </c>
      <c r="K22" s="934">
        <v>0</v>
      </c>
      <c r="L22" s="954">
        <v>0</v>
      </c>
      <c r="M22" s="955">
        <v>0</v>
      </c>
      <c r="N22" s="831">
        <v>679</v>
      </c>
      <c r="O22" s="532">
        <v>770</v>
      </c>
      <c r="P22" s="524">
        <f t="shared" si="2"/>
        <v>13.4020618556701</v>
      </c>
      <c r="Q22" s="133"/>
      <c r="R22" s="65"/>
    </row>
    <row r="23" spans="1:23" ht="14.1" customHeight="1">
      <c r="A23" s="481"/>
      <c r="B23" s="218"/>
      <c r="C23" s="912"/>
      <c r="D23" s="851" t="s">
        <v>438</v>
      </c>
      <c r="E23" s="813">
        <v>4545</v>
      </c>
      <c r="F23" s="813">
        <v>4714</v>
      </c>
      <c r="G23" s="814">
        <f t="shared" si="0"/>
        <v>3.7183718371837093</v>
      </c>
      <c r="H23" s="956">
        <v>0</v>
      </c>
      <c r="I23" s="971">
        <v>0</v>
      </c>
      <c r="J23" s="958">
        <v>0</v>
      </c>
      <c r="K23" s="952">
        <f>N23*1000/E23</f>
        <v>21.562156215621563</v>
      </c>
      <c r="L23" s="982">
        <f>O23*1000/F23</f>
        <v>22.083156554942725</v>
      </c>
      <c r="M23" s="958">
        <f t="shared" si="1"/>
        <v>2.4162719818517253</v>
      </c>
      <c r="N23" s="833">
        <v>98</v>
      </c>
      <c r="O23" s="538">
        <v>104.1</v>
      </c>
      <c r="P23" s="544">
        <f t="shared" si="2"/>
        <v>6.2244897959183643</v>
      </c>
      <c r="Q23" s="133"/>
      <c r="R23" s="65"/>
    </row>
    <row r="24" spans="1:23" ht="14.1" customHeight="1">
      <c r="A24" s="481"/>
      <c r="B24" s="218"/>
      <c r="C24" s="913" t="s">
        <v>30</v>
      </c>
      <c r="D24" s="852"/>
      <c r="E24" s="815">
        <f>E25+E26</f>
        <v>453167</v>
      </c>
      <c r="F24" s="815">
        <f>F25+F26</f>
        <v>433242</v>
      </c>
      <c r="G24" s="805">
        <f t="shared" si="0"/>
        <v>-4.3968338382980203</v>
      </c>
      <c r="H24" s="885">
        <f>N25*1000/E25</f>
        <v>20.500696882553235</v>
      </c>
      <c r="I24" s="970">
        <f>O25*1000/F25</f>
        <v>19.029696638644268</v>
      </c>
      <c r="J24" s="958">
        <f t="shared" si="5"/>
        <v>-7.1753670245270351</v>
      </c>
      <c r="K24" s="885">
        <f>N26*1000/E26</f>
        <v>29.001426936607281</v>
      </c>
      <c r="L24" s="970">
        <f>O26*1000/F26</f>
        <v>35.140079964962347</v>
      </c>
      <c r="M24" s="958">
        <f t="shared" si="1"/>
        <v>21.166727560589436</v>
      </c>
      <c r="N24" s="839">
        <f>N25+N26</f>
        <v>11697</v>
      </c>
      <c r="O24" s="791">
        <f>O25+O26</f>
        <v>12805.7</v>
      </c>
      <c r="P24" s="480">
        <f t="shared" si="2"/>
        <v>9.4784987603659054</v>
      </c>
      <c r="Q24" s="133"/>
      <c r="R24" s="65"/>
    </row>
    <row r="25" spans="1:23" ht="14.1" customHeight="1">
      <c r="A25" s="481"/>
      <c r="B25" s="218"/>
      <c r="C25" s="914"/>
      <c r="D25" s="842" t="s">
        <v>429</v>
      </c>
      <c r="E25" s="809">
        <v>170043</v>
      </c>
      <c r="F25" s="809">
        <v>150118</v>
      </c>
      <c r="G25" s="816">
        <f t="shared" si="0"/>
        <v>-11.717624365601642</v>
      </c>
      <c r="H25" s="886">
        <f t="shared" si="4"/>
        <v>20.500696882553235</v>
      </c>
      <c r="I25" s="972">
        <f t="shared" si="4"/>
        <v>19.029696638644268</v>
      </c>
      <c r="J25" s="821">
        <f t="shared" si="5"/>
        <v>-7.1753670245270351</v>
      </c>
      <c r="K25" s="977">
        <v>0</v>
      </c>
      <c r="L25" s="973">
        <v>0</v>
      </c>
      <c r="M25" s="821">
        <v>0</v>
      </c>
      <c r="N25" s="831">
        <v>3486</v>
      </c>
      <c r="O25" s="540">
        <v>2856.7</v>
      </c>
      <c r="P25" s="545">
        <f t="shared" si="2"/>
        <v>-18.052208835341364</v>
      </c>
      <c r="Q25" s="133"/>
      <c r="R25" s="65"/>
    </row>
    <row r="26" spans="1:23" ht="14.1" customHeight="1">
      <c r="A26" s="481"/>
      <c r="B26" s="218"/>
      <c r="C26" s="915"/>
      <c r="D26" s="853" t="s">
        <v>430</v>
      </c>
      <c r="E26" s="813">
        <v>283124</v>
      </c>
      <c r="F26" s="813">
        <v>283124</v>
      </c>
      <c r="G26" s="814">
        <f t="shared" si="0"/>
        <v>0</v>
      </c>
      <c r="H26" s="956">
        <v>0</v>
      </c>
      <c r="I26" s="971">
        <v>0</v>
      </c>
      <c r="J26" s="958">
        <v>0</v>
      </c>
      <c r="K26" s="952">
        <f>N26*1000/E26</f>
        <v>29.001426936607281</v>
      </c>
      <c r="L26" s="982">
        <f>O26*1000/F26</f>
        <v>35.140079964962347</v>
      </c>
      <c r="M26" s="958">
        <f t="shared" si="1"/>
        <v>21.166727560589436</v>
      </c>
      <c r="N26" s="833">
        <v>8211</v>
      </c>
      <c r="O26" s="538">
        <v>9949</v>
      </c>
      <c r="P26" s="544">
        <f t="shared" si="2"/>
        <v>21.166727560589461</v>
      </c>
      <c r="Q26" s="133"/>
      <c r="R26" s="65"/>
    </row>
    <row r="27" spans="1:23" ht="14.1" customHeight="1">
      <c r="A27" s="481"/>
      <c r="B27" s="218"/>
      <c r="C27" s="913" t="s">
        <v>31</v>
      </c>
      <c r="D27" s="935" t="s">
        <v>429</v>
      </c>
      <c r="E27" s="818">
        <v>13276</v>
      </c>
      <c r="F27" s="817">
        <v>12783</v>
      </c>
      <c r="G27" s="819">
        <f t="shared" si="0"/>
        <v>-3.7134679120216951</v>
      </c>
      <c r="H27" s="885">
        <f t="shared" si="4"/>
        <v>21.166013859596266</v>
      </c>
      <c r="I27" s="951">
        <f t="shared" si="4"/>
        <v>22.866306813736994</v>
      </c>
      <c r="J27" s="950">
        <f t="shared" si="5"/>
        <v>8.0331278502392642</v>
      </c>
      <c r="K27" s="964">
        <v>0</v>
      </c>
      <c r="L27" s="965">
        <v>0</v>
      </c>
      <c r="M27" s="950">
        <v>0</v>
      </c>
      <c r="N27" s="839">
        <v>281</v>
      </c>
      <c r="O27" s="779">
        <v>292.3</v>
      </c>
      <c r="P27" s="477">
        <f t="shared" si="2"/>
        <v>4.0213523131672702</v>
      </c>
      <c r="Q27" s="133"/>
      <c r="R27" s="65"/>
    </row>
    <row r="28" spans="1:23" ht="14.1" customHeight="1">
      <c r="A28" s="481"/>
      <c r="B28" s="218"/>
      <c r="C28" s="910" t="s">
        <v>9</v>
      </c>
      <c r="D28" s="935" t="s">
        <v>429</v>
      </c>
      <c r="E28" s="818">
        <v>162328.5</v>
      </c>
      <c r="F28" s="817">
        <v>199686</v>
      </c>
      <c r="G28" s="819">
        <f t="shared" si="0"/>
        <v>23.013518883005759</v>
      </c>
      <c r="H28" s="885">
        <f t="shared" si="4"/>
        <v>24.70361027176374</v>
      </c>
      <c r="I28" s="951">
        <f t="shared" si="4"/>
        <v>22.980078723596044</v>
      </c>
      <c r="J28" s="950">
        <f t="shared" si="5"/>
        <v>-6.9768407500246816</v>
      </c>
      <c r="K28" s="964">
        <v>0</v>
      </c>
      <c r="L28" s="965">
        <v>0</v>
      </c>
      <c r="M28" s="950">
        <v>0</v>
      </c>
      <c r="N28" s="839">
        <v>4010.1</v>
      </c>
      <c r="O28" s="779">
        <v>4588.8</v>
      </c>
      <c r="P28" s="477">
        <f t="shared" si="2"/>
        <v>14.431061569536929</v>
      </c>
      <c r="Q28" s="133"/>
      <c r="R28" s="65"/>
    </row>
    <row r="29" spans="1:23" ht="14.1" customHeight="1">
      <c r="A29" s="481"/>
      <c r="B29" s="218"/>
      <c r="C29" s="905" t="s">
        <v>7</v>
      </c>
      <c r="D29" s="870" t="s">
        <v>429</v>
      </c>
      <c r="E29" s="818">
        <v>65150</v>
      </c>
      <c r="F29" s="817">
        <v>33251</v>
      </c>
      <c r="G29" s="819">
        <f t="shared" si="0"/>
        <v>-48.962394474290107</v>
      </c>
      <c r="H29" s="885">
        <f t="shared" si="4"/>
        <v>25.326170376055256</v>
      </c>
      <c r="I29" s="951">
        <f t="shared" si="4"/>
        <v>16.799494752037532</v>
      </c>
      <c r="J29" s="950">
        <f t="shared" si="5"/>
        <v>-33.667449509379075</v>
      </c>
      <c r="K29" s="964">
        <v>0</v>
      </c>
      <c r="L29" s="965">
        <v>0</v>
      </c>
      <c r="M29" s="950">
        <v>0</v>
      </c>
      <c r="N29" s="839">
        <v>1650</v>
      </c>
      <c r="O29" s="779">
        <v>558.6</v>
      </c>
      <c r="P29" s="477">
        <f t="shared" si="2"/>
        <v>-66.145454545454555</v>
      </c>
      <c r="Q29" s="133"/>
      <c r="R29" s="65"/>
    </row>
    <row r="30" spans="1:23" ht="14.1" customHeight="1">
      <c r="A30" s="481"/>
      <c r="B30" s="218"/>
      <c r="C30" s="916" t="s">
        <v>15</v>
      </c>
      <c r="D30" s="870"/>
      <c r="E30" s="818">
        <f>E31+E32</f>
        <v>13700</v>
      </c>
      <c r="F30" s="818">
        <f>F31+F32</f>
        <v>12587</v>
      </c>
      <c r="G30" s="819">
        <f t="shared" si="0"/>
        <v>-8.1240875912408796</v>
      </c>
      <c r="H30" s="885">
        <f>N31*1000/E31</f>
        <v>9.8985343855693344</v>
      </c>
      <c r="I30" s="951">
        <f t="shared" si="4"/>
        <v>10.542623341542862</v>
      </c>
      <c r="J30" s="950">
        <f t="shared" si="5"/>
        <v>6.5069123456551248</v>
      </c>
      <c r="K30" s="885">
        <f>N32*1000/E32</f>
        <v>7.0886075949367084</v>
      </c>
      <c r="L30" s="970">
        <f>O32*1000/F32</f>
        <v>23.188405797101449</v>
      </c>
      <c r="M30" s="950">
        <f t="shared" si="1"/>
        <v>227.12215320910977</v>
      </c>
      <c r="N30" s="839">
        <f>N31+N32</f>
        <v>134.5</v>
      </c>
      <c r="O30" s="824">
        <f>O31+O32</f>
        <v>132.69999999999999</v>
      </c>
      <c r="P30" s="477">
        <f t="shared" si="2"/>
        <v>-1.3382899628252898</v>
      </c>
      <c r="Q30" s="133"/>
      <c r="R30" s="65"/>
    </row>
    <row r="31" spans="1:23" ht="14.1" customHeight="1">
      <c r="A31" s="481"/>
      <c r="B31" s="218"/>
      <c r="C31" s="929"/>
      <c r="D31" s="841" t="s">
        <v>429</v>
      </c>
      <c r="E31" s="867">
        <v>13305</v>
      </c>
      <c r="F31" s="820">
        <v>10862</v>
      </c>
      <c r="G31" s="821">
        <f t="shared" si="0"/>
        <v>-18.361518226230743</v>
      </c>
      <c r="H31" s="886">
        <f t="shared" si="4"/>
        <v>9.8985343855693344</v>
      </c>
      <c r="I31" s="972">
        <f t="shared" si="4"/>
        <v>8.5343399005707976</v>
      </c>
      <c r="J31" s="821">
        <f t="shared" si="5"/>
        <v>-13.781782553459021</v>
      </c>
      <c r="K31" s="966">
        <v>0</v>
      </c>
      <c r="L31" s="978">
        <v>0</v>
      </c>
      <c r="M31" s="821">
        <v>0</v>
      </c>
      <c r="N31" s="831">
        <v>131.69999999999999</v>
      </c>
      <c r="O31" s="801">
        <v>92.7</v>
      </c>
      <c r="P31" s="796">
        <f t="shared" si="2"/>
        <v>-29.612756264236893</v>
      </c>
      <c r="Q31" s="133"/>
      <c r="R31" s="65"/>
    </row>
    <row r="32" spans="1:23" ht="14.1" customHeight="1" thickBot="1">
      <c r="A32" s="481"/>
      <c r="B32" s="218"/>
      <c r="C32" s="930"/>
      <c r="D32" s="855" t="s">
        <v>430</v>
      </c>
      <c r="E32" s="822">
        <v>395</v>
      </c>
      <c r="F32" s="822">
        <v>1725</v>
      </c>
      <c r="G32" s="836">
        <f t="shared" si="0"/>
        <v>336.70886075949369</v>
      </c>
      <c r="H32" s="967">
        <v>0</v>
      </c>
      <c r="I32" s="968">
        <v>0</v>
      </c>
      <c r="J32" s="836">
        <v>0</v>
      </c>
      <c r="K32" s="952">
        <f>N32*1000/E32</f>
        <v>7.0886075949367084</v>
      </c>
      <c r="L32" s="969">
        <f>O32*1000/F32</f>
        <v>23.188405797101449</v>
      </c>
      <c r="M32" s="836">
        <f t="shared" si="1"/>
        <v>227.12215320910977</v>
      </c>
      <c r="N32" s="869">
        <v>2.8</v>
      </c>
      <c r="O32" s="825">
        <v>40</v>
      </c>
      <c r="P32" s="523">
        <f t="shared" si="2"/>
        <v>1328.5714285714287</v>
      </c>
      <c r="Q32" s="133"/>
      <c r="R32" s="65"/>
    </row>
    <row r="33" spans="1:20" ht="14.1" customHeight="1" thickBot="1">
      <c r="A33" s="481"/>
      <c r="B33" s="218"/>
      <c r="C33" s="781" t="s">
        <v>431</v>
      </c>
      <c r="D33" s="800"/>
      <c r="E33" s="828">
        <f>E10+E11+E14+E16+E18+E19+E20+E22+E25+E27+E28+E29+E31</f>
        <v>1565713</v>
      </c>
      <c r="F33" s="802">
        <f>F10+F11+F14+F16+F18+F19+F20+F22+F25+F27+F28+F29+F31</f>
        <v>1519389.8</v>
      </c>
      <c r="G33" s="823">
        <f t="shared" si="0"/>
        <v>-2.9586009696540794</v>
      </c>
      <c r="H33" s="888">
        <f>N33*1000/E33</f>
        <v>24.452821174761915</v>
      </c>
      <c r="I33" s="932">
        <f>O33*1000/F33</f>
        <v>21.457956345369698</v>
      </c>
      <c r="J33" s="823">
        <f t="shared" ref="J33" si="6">(I33/H33-1)*100</f>
        <v>-12.247522721358861</v>
      </c>
      <c r="K33" s="828">
        <v>0</v>
      </c>
      <c r="L33" s="802">
        <v>0</v>
      </c>
      <c r="M33" s="823">
        <v>0</v>
      </c>
      <c r="N33" s="828">
        <f>N10+N11+N14+N16+N18+N19+N20+N22+N25+N27+N28+N29+N31</f>
        <v>38286.1</v>
      </c>
      <c r="O33" s="802">
        <f>O10+O11+O14+O16+O18+O19+O20+O22+O25+O27+O28+O29+O31</f>
        <v>32602.999999999996</v>
      </c>
      <c r="P33" s="526">
        <f t="shared" si="2"/>
        <v>-14.843768365020205</v>
      </c>
      <c r="Q33" s="133"/>
      <c r="R33" s="65"/>
      <c r="T33" s="787" t="s">
        <v>311</v>
      </c>
    </row>
    <row r="34" spans="1:20" ht="14.1" customHeight="1" thickBot="1">
      <c r="A34" s="481"/>
      <c r="B34" s="218"/>
      <c r="C34" s="1096" t="s">
        <v>432</v>
      </c>
      <c r="D34" s="1097"/>
      <c r="E34" s="1104">
        <f>E7+E8+E12+E15+E21+E23+E26+E32</f>
        <v>450711.9</v>
      </c>
      <c r="F34" s="1105">
        <f>F7+F8+F12+F15+F21+F23+F26+F32</f>
        <v>441279</v>
      </c>
      <c r="G34" s="1100">
        <f t="shared" si="0"/>
        <v>-2.0928890495236607</v>
      </c>
      <c r="H34" s="1104">
        <v>0</v>
      </c>
      <c r="I34" s="1106">
        <v>0</v>
      </c>
      <c r="J34" s="1100">
        <v>0</v>
      </c>
      <c r="K34" s="1101">
        <f>N34*1000/E34</f>
        <v>24.10808323454517</v>
      </c>
      <c r="L34" s="1102">
        <f>N34*1000/F34</f>
        <v>24.623424182886563</v>
      </c>
      <c r="M34" s="1100">
        <f t="shared" ref="M34" si="7">(L34/K34-1)*100</f>
        <v>2.1376272154351339</v>
      </c>
      <c r="N34" s="1104">
        <f>N7+N8+N12+N15+N21+N23+N26+N32</f>
        <v>10865.8</v>
      </c>
      <c r="O34" s="1106">
        <f>O7+O8+O12+O15+O21+O23+O26+O32</f>
        <v>13036.2</v>
      </c>
      <c r="P34" s="1103">
        <f t="shared" si="2"/>
        <v>19.97459920116329</v>
      </c>
      <c r="Q34" s="133"/>
      <c r="R34" s="65"/>
    </row>
    <row r="35" spans="1:20" ht="14.1" customHeight="1" thickTop="1" thickBot="1">
      <c r="A35" s="481"/>
      <c r="B35" s="218"/>
      <c r="C35" s="1091" t="s">
        <v>433</v>
      </c>
      <c r="D35" s="1092"/>
      <c r="E35" s="1078">
        <f>E33+E34</f>
        <v>2016424.9</v>
      </c>
      <c r="F35" s="1079">
        <f>F33+F34</f>
        <v>1960668.8</v>
      </c>
      <c r="G35" s="1095">
        <f t="shared" si="0"/>
        <v>-2.7650967809413562</v>
      </c>
      <c r="H35" s="1309">
        <f>N35*1000/E35</f>
        <v>24.375765246699739</v>
      </c>
      <c r="I35" s="1310"/>
      <c r="J35" s="1309">
        <f>O35*1000/F35</f>
        <v>23.277363316027675</v>
      </c>
      <c r="K35" s="1310"/>
      <c r="L35" s="1311">
        <f>(J35/H35-1)*100</f>
        <v>-4.5061228624228677</v>
      </c>
      <c r="M35" s="1312"/>
      <c r="N35" s="1078">
        <f>N33+N34</f>
        <v>49151.899999999994</v>
      </c>
      <c r="O35" s="1079">
        <f>O33+O34</f>
        <v>45639.199999999997</v>
      </c>
      <c r="P35" s="1094">
        <f t="shared" si="2"/>
        <v>-7.1466209851501095</v>
      </c>
      <c r="Q35" s="133"/>
      <c r="R35" s="65"/>
    </row>
    <row r="36" spans="1:20">
      <c r="A36" s="481"/>
      <c r="B36" s="218"/>
      <c r="C36" s="199" t="s">
        <v>353</v>
      </c>
      <c r="D36" s="784"/>
      <c r="E36" s="483"/>
      <c r="F36" s="483"/>
      <c r="G36" s="483"/>
      <c r="H36" s="483"/>
      <c r="I36" s="483"/>
      <c r="J36" s="483"/>
      <c r="K36" s="483"/>
      <c r="L36" s="483"/>
      <c r="M36" s="483"/>
      <c r="N36" s="483"/>
      <c r="O36" s="483"/>
      <c r="P36" s="483"/>
      <c r="Q36" s="197"/>
      <c r="R36" s="65"/>
    </row>
    <row r="37" spans="1:20">
      <c r="A37" s="481"/>
      <c r="B37" s="481"/>
      <c r="C37" s="481"/>
      <c r="D37" s="482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65"/>
    </row>
    <row r="38" spans="1:20">
      <c r="D38"/>
      <c r="E38"/>
      <c r="F38" s="4"/>
      <c r="G38" s="4"/>
      <c r="H38"/>
      <c r="I38" s="4"/>
      <c r="J38" s="4"/>
      <c r="K38"/>
      <c r="L38" s="4"/>
      <c r="M38" s="4"/>
      <c r="N38"/>
      <c r="O38" s="4"/>
      <c r="P38" s="4"/>
      <c r="Q38"/>
      <c r="R38"/>
    </row>
    <row r="39" spans="1:20"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</row>
    <row r="40" spans="1:20">
      <c r="D40"/>
      <c r="E40"/>
      <c r="F40"/>
      <c r="G40"/>
      <c r="H40"/>
      <c r="I40"/>
      <c r="J40"/>
      <c r="K40"/>
      <c r="L40"/>
      <c r="M40"/>
      <c r="N40"/>
      <c r="O40"/>
      <c r="P40"/>
    </row>
    <row r="41" spans="1:20">
      <c r="D41"/>
      <c r="E41"/>
      <c r="F41"/>
      <c r="G41"/>
      <c r="H41"/>
      <c r="I41"/>
      <c r="J41"/>
      <c r="K41"/>
      <c r="L41"/>
      <c r="M41"/>
      <c r="N41"/>
      <c r="O41"/>
      <c r="P41"/>
    </row>
    <row r="42" spans="1:20">
      <c r="D42"/>
      <c r="E42"/>
      <c r="F42"/>
      <c r="G42"/>
      <c r="H42"/>
      <c r="I42"/>
      <c r="J42"/>
      <c r="K42"/>
      <c r="L42"/>
      <c r="M42"/>
      <c r="N42"/>
      <c r="O42"/>
      <c r="P42"/>
    </row>
    <row r="43" spans="1:20">
      <c r="D43"/>
      <c r="E43"/>
      <c r="F43"/>
      <c r="G43"/>
      <c r="H43"/>
      <c r="I43"/>
      <c r="J43"/>
      <c r="K43"/>
      <c r="L43"/>
      <c r="M43"/>
      <c r="N43"/>
      <c r="O43"/>
      <c r="P43"/>
    </row>
    <row r="44" spans="1:20">
      <c r="D44"/>
      <c r="E44"/>
      <c r="F44"/>
      <c r="G44"/>
      <c r="H44"/>
      <c r="I44"/>
      <c r="J44"/>
      <c r="K44"/>
      <c r="L44"/>
      <c r="M44"/>
      <c r="N44"/>
      <c r="O44"/>
      <c r="P44"/>
    </row>
    <row r="45" spans="1:20">
      <c r="D45"/>
      <c r="E45"/>
      <c r="F45"/>
      <c r="G45"/>
      <c r="H45"/>
      <c r="I45"/>
      <c r="J45"/>
      <c r="K45"/>
      <c r="L45"/>
      <c r="M45"/>
      <c r="N45"/>
      <c r="O45"/>
      <c r="P45"/>
    </row>
    <row r="46" spans="1:20">
      <c r="D46"/>
      <c r="E46"/>
      <c r="F46"/>
      <c r="G46"/>
      <c r="H46"/>
      <c r="I46"/>
      <c r="J46"/>
      <c r="K46"/>
      <c r="L46"/>
      <c r="M46"/>
      <c r="N46"/>
      <c r="O46"/>
      <c r="P46"/>
    </row>
    <row r="47" spans="1:20">
      <c r="D47"/>
      <c r="E47"/>
      <c r="F47"/>
      <c r="G47"/>
      <c r="H47"/>
      <c r="I47"/>
      <c r="J47"/>
      <c r="K47"/>
      <c r="L47"/>
      <c r="M47"/>
      <c r="N47"/>
      <c r="O47"/>
      <c r="P47"/>
    </row>
    <row r="48" spans="1:20">
      <c r="D48"/>
      <c r="E48"/>
      <c r="F48"/>
      <c r="G48"/>
      <c r="H48"/>
      <c r="I48"/>
      <c r="J48"/>
      <c r="K48"/>
      <c r="L48"/>
      <c r="M48"/>
      <c r="N48"/>
      <c r="O48"/>
      <c r="P48"/>
    </row>
    <row r="49" spans="4:16">
      <c r="D49"/>
      <c r="E49"/>
      <c r="F49"/>
      <c r="G49"/>
      <c r="H49"/>
      <c r="I49"/>
      <c r="J49"/>
      <c r="K49"/>
      <c r="L49"/>
      <c r="M49"/>
      <c r="N49"/>
      <c r="O49"/>
      <c r="P49"/>
    </row>
    <row r="50" spans="4:16">
      <c r="D50"/>
      <c r="E50"/>
      <c r="F50"/>
      <c r="G50"/>
      <c r="H50"/>
      <c r="I50"/>
      <c r="J50"/>
      <c r="K50"/>
      <c r="L50"/>
      <c r="M50"/>
      <c r="N50"/>
      <c r="O50"/>
      <c r="P50"/>
    </row>
    <row r="51" spans="4:16">
      <c r="D51"/>
      <c r="E51"/>
      <c r="F51"/>
      <c r="G51"/>
      <c r="H51"/>
      <c r="I51"/>
      <c r="J51"/>
      <c r="K51"/>
      <c r="L51"/>
      <c r="M51"/>
      <c r="N51"/>
      <c r="O51"/>
      <c r="P51"/>
    </row>
    <row r="52" spans="4:16">
      <c r="D52"/>
      <c r="E52"/>
      <c r="F52"/>
      <c r="G52"/>
      <c r="H52"/>
      <c r="I52"/>
      <c r="J52"/>
      <c r="K52"/>
      <c r="L52"/>
      <c r="M52"/>
      <c r="N52"/>
      <c r="O52"/>
      <c r="P52"/>
    </row>
    <row r="53" spans="4:16">
      <c r="D53"/>
      <c r="E53"/>
      <c r="F53"/>
      <c r="G53"/>
      <c r="H53"/>
      <c r="I53"/>
      <c r="J53"/>
      <c r="K53"/>
      <c r="L53"/>
      <c r="M53"/>
      <c r="N53"/>
      <c r="O53"/>
      <c r="P53"/>
    </row>
    <row r="54" spans="4:16">
      <c r="D54"/>
      <c r="E54"/>
      <c r="F54"/>
      <c r="G54"/>
      <c r="H54"/>
      <c r="I54"/>
      <c r="J54"/>
      <c r="K54"/>
      <c r="L54"/>
      <c r="M54"/>
      <c r="N54"/>
      <c r="O54"/>
      <c r="P54"/>
    </row>
    <row r="55" spans="4:16">
      <c r="D55"/>
      <c r="E55"/>
      <c r="F55"/>
      <c r="G55"/>
      <c r="H55"/>
      <c r="I55"/>
      <c r="J55"/>
      <c r="K55"/>
      <c r="L55"/>
      <c r="M55"/>
      <c r="N55"/>
      <c r="O55"/>
      <c r="P55"/>
    </row>
    <row r="56" spans="4:16">
      <c r="D56"/>
      <c r="E56"/>
      <c r="F56"/>
      <c r="G56"/>
      <c r="H56"/>
      <c r="I56"/>
      <c r="J56"/>
      <c r="K56"/>
      <c r="L56"/>
      <c r="M56"/>
      <c r="N56"/>
      <c r="O56"/>
      <c r="P56"/>
    </row>
    <row r="57" spans="4:16">
      <c r="D57"/>
      <c r="E57"/>
      <c r="F57"/>
      <c r="G57"/>
      <c r="H57"/>
      <c r="I57"/>
      <c r="J57"/>
      <c r="K57"/>
      <c r="L57"/>
      <c r="M57"/>
      <c r="N57"/>
      <c r="O57"/>
      <c r="P57"/>
    </row>
    <row r="58" spans="4:16">
      <c r="D58"/>
      <c r="E58"/>
      <c r="F58"/>
      <c r="G58"/>
      <c r="H58"/>
      <c r="I58"/>
      <c r="J58"/>
      <c r="K58"/>
      <c r="L58"/>
      <c r="M58"/>
      <c r="N58"/>
      <c r="O58"/>
      <c r="P58"/>
    </row>
    <row r="59" spans="4:16">
      <c r="D59"/>
      <c r="E59"/>
      <c r="F59"/>
      <c r="G59"/>
      <c r="H59"/>
      <c r="I59"/>
      <c r="J59"/>
      <c r="K59"/>
      <c r="L59"/>
      <c r="M59"/>
      <c r="N59"/>
      <c r="O59"/>
      <c r="P59"/>
    </row>
    <row r="60" spans="4:16">
      <c r="D60"/>
      <c r="E60"/>
      <c r="F60"/>
      <c r="G60"/>
      <c r="H60"/>
      <c r="I60"/>
      <c r="J60"/>
      <c r="K60"/>
      <c r="L60"/>
      <c r="M60"/>
      <c r="N60"/>
      <c r="O60"/>
      <c r="P60"/>
    </row>
    <row r="61" spans="4:16">
      <c r="D61"/>
      <c r="E61"/>
      <c r="F61"/>
      <c r="G61"/>
      <c r="H61"/>
      <c r="I61"/>
      <c r="J61"/>
      <c r="K61"/>
      <c r="L61"/>
      <c r="M61"/>
      <c r="N61"/>
      <c r="O61"/>
      <c r="P61"/>
    </row>
    <row r="62" spans="4:16">
      <c r="D62"/>
    </row>
  </sheetData>
  <mergeCells count="14">
    <mergeCell ref="A1:R1"/>
    <mergeCell ref="H35:I35"/>
    <mergeCell ref="J35:K35"/>
    <mergeCell ref="L35:M35"/>
    <mergeCell ref="H4:M4"/>
    <mergeCell ref="C2:P2"/>
    <mergeCell ref="C3:P3"/>
    <mergeCell ref="C4:D6"/>
    <mergeCell ref="E4:G4"/>
    <mergeCell ref="N4:P4"/>
    <mergeCell ref="E5:G5"/>
    <mergeCell ref="H5:J5"/>
    <mergeCell ref="K5:M5"/>
    <mergeCell ref="N5:P5"/>
  </mergeCells>
  <printOptions horizontalCentered="1" verticalCentered="1"/>
  <pageMargins left="0.51181102362204722" right="0.51181102362204722" top="0.59055118110236227" bottom="0.59055118110236227" header="0.31496062992125984" footer="0.31496062992125984"/>
  <pageSetup paperSize="9" orientation="landscape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>
  <dimension ref="A1:N76"/>
  <sheetViews>
    <sheetView workbookViewId="0">
      <selection sqref="A1:M1"/>
    </sheetView>
  </sheetViews>
  <sheetFormatPr defaultRowHeight="15"/>
  <cols>
    <col min="1" max="1" width="15.7109375" style="33" customWidth="1"/>
    <col min="2" max="2" width="10.28515625" style="33" bestFit="1" customWidth="1"/>
    <col min="3" max="3" width="8.140625" style="33" bestFit="1" customWidth="1"/>
    <col min="4" max="4" width="9.42578125" style="33" customWidth="1"/>
    <col min="5" max="5" width="8.140625" style="33" bestFit="1" customWidth="1"/>
    <col min="6" max="6" width="10.28515625" style="33" bestFit="1" customWidth="1"/>
    <col min="7" max="7" width="8.140625" style="33" bestFit="1" customWidth="1"/>
    <col min="8" max="8" width="9.42578125" style="33" customWidth="1"/>
    <col min="9" max="9" width="8.140625" style="33" bestFit="1" customWidth="1"/>
    <col min="10" max="10" width="9.42578125" style="33" customWidth="1"/>
    <col min="11" max="11" width="8.140625" style="33" bestFit="1" customWidth="1"/>
    <col min="12" max="12" width="9.42578125" style="33" customWidth="1"/>
    <col min="13" max="13" width="8.5703125" style="33" customWidth="1"/>
    <col min="14" max="14" width="8.7109375" style="33" customWidth="1"/>
    <col min="15" max="16384" width="9.140625" style="33"/>
  </cols>
  <sheetData>
    <row r="1" spans="1:14">
      <c r="A1" s="1330" t="s">
        <v>485</v>
      </c>
      <c r="B1" s="1330"/>
      <c r="C1" s="1330"/>
      <c r="D1" s="1330"/>
      <c r="E1" s="1330"/>
      <c r="F1" s="1330"/>
      <c r="G1" s="1330"/>
      <c r="H1" s="1330"/>
      <c r="I1" s="1330"/>
      <c r="J1" s="1330"/>
      <c r="K1" s="1330"/>
      <c r="L1" s="1330"/>
      <c r="M1" s="1330"/>
    </row>
    <row r="2" spans="1:14" ht="15" customHeight="1">
      <c r="A2" s="1331" t="s">
        <v>160</v>
      </c>
      <c r="B2" s="1331"/>
      <c r="C2" s="1331"/>
      <c r="D2" s="1331"/>
      <c r="E2" s="1331"/>
      <c r="F2" s="1331"/>
      <c r="G2" s="1331"/>
      <c r="H2" s="1331"/>
      <c r="I2" s="1331"/>
      <c r="J2" s="1331"/>
      <c r="K2" s="1331"/>
      <c r="L2" s="1331"/>
      <c r="M2" s="1331"/>
    </row>
    <row r="3" spans="1:14" ht="15" customHeight="1">
      <c r="A3" s="1332" t="s">
        <v>161</v>
      </c>
      <c r="B3" s="1332"/>
      <c r="C3" s="1332"/>
      <c r="D3" s="1332"/>
      <c r="E3" s="1332"/>
      <c r="F3" s="1332"/>
      <c r="G3" s="1332"/>
      <c r="H3" s="1332"/>
      <c r="I3" s="1332"/>
      <c r="J3" s="1332"/>
      <c r="K3" s="1332"/>
      <c r="L3" s="1332"/>
      <c r="M3" s="1332"/>
    </row>
    <row r="4" spans="1:14" ht="15" customHeight="1">
      <c r="A4" s="1333" t="s">
        <v>43</v>
      </c>
      <c r="B4" s="1333"/>
      <c r="C4" s="1333"/>
      <c r="D4" s="1333"/>
      <c r="E4" s="1333"/>
      <c r="F4" s="1333"/>
      <c r="G4" s="1333"/>
      <c r="H4" s="1333"/>
      <c r="I4" s="1333"/>
      <c r="J4" s="1333"/>
      <c r="K4" s="1333"/>
      <c r="L4" s="1333"/>
      <c r="M4" s="1333"/>
    </row>
    <row r="5" spans="1:14" ht="15" customHeight="1">
      <c r="A5" s="1334" t="s">
        <v>162</v>
      </c>
      <c r="B5" s="1334"/>
      <c r="C5" s="1334"/>
      <c r="D5" s="1334"/>
      <c r="E5" s="1334"/>
      <c r="F5" s="1334"/>
      <c r="G5" s="1334"/>
      <c r="H5" s="1334"/>
      <c r="I5" s="1334"/>
      <c r="J5" s="1334"/>
      <c r="K5" s="1334"/>
      <c r="L5" s="1334"/>
      <c r="M5" s="1334"/>
    </row>
    <row r="6" spans="1:14" ht="15" customHeight="1">
      <c r="A6" s="1335" t="s">
        <v>163</v>
      </c>
      <c r="B6" s="1335"/>
      <c r="C6" s="1335"/>
      <c r="D6" s="1335"/>
      <c r="E6" s="1335"/>
      <c r="F6" s="1335"/>
      <c r="G6" s="1335"/>
      <c r="H6" s="1335"/>
      <c r="I6" s="1335"/>
      <c r="J6" s="1335"/>
      <c r="K6" s="1335"/>
      <c r="L6" s="1335"/>
      <c r="M6" s="1335"/>
    </row>
    <row r="7" spans="1:14" ht="15" customHeight="1">
      <c r="A7" s="1341" t="s">
        <v>164</v>
      </c>
      <c r="B7" s="1342" t="s">
        <v>528</v>
      </c>
      <c r="C7" s="1342"/>
      <c r="D7" s="1342" t="s">
        <v>204</v>
      </c>
      <c r="E7" s="1342"/>
      <c r="F7" s="1342" t="s">
        <v>166</v>
      </c>
      <c r="G7" s="1342"/>
      <c r="H7" s="1336" t="s">
        <v>167</v>
      </c>
      <c r="I7" s="1343"/>
      <c r="J7" s="1336" t="s">
        <v>32</v>
      </c>
      <c r="K7" s="1343"/>
      <c r="L7" s="1336" t="s">
        <v>168</v>
      </c>
      <c r="M7" s="1337"/>
    </row>
    <row r="8" spans="1:14" ht="15" customHeight="1">
      <c r="A8" s="1341"/>
      <c r="B8" s="35" t="s">
        <v>17</v>
      </c>
      <c r="C8" s="36" t="s">
        <v>169</v>
      </c>
      <c r="D8" s="35" t="s">
        <v>17</v>
      </c>
      <c r="E8" s="36" t="s">
        <v>169</v>
      </c>
      <c r="F8" s="35" t="s">
        <v>17</v>
      </c>
      <c r="G8" s="36" t="s">
        <v>169</v>
      </c>
      <c r="H8" s="35" t="s">
        <v>17</v>
      </c>
      <c r="I8" s="36" t="s">
        <v>169</v>
      </c>
      <c r="J8" s="35" t="s">
        <v>17</v>
      </c>
      <c r="K8" s="36" t="s">
        <v>169</v>
      </c>
      <c r="L8" s="35" t="s">
        <v>17</v>
      </c>
      <c r="M8" s="37" t="s">
        <v>169</v>
      </c>
    </row>
    <row r="9" spans="1:14" ht="14.1" customHeight="1">
      <c r="A9" s="374" t="s">
        <v>170</v>
      </c>
      <c r="B9" s="38">
        <v>43200</v>
      </c>
      <c r="C9" s="39">
        <f>(B9/B26)*100</f>
        <v>30.125523012552303</v>
      </c>
      <c r="D9" s="38">
        <v>45346</v>
      </c>
      <c r="E9" s="39">
        <f>(D9/D26)*100</f>
        <v>31.967571378216427</v>
      </c>
      <c r="F9" s="38">
        <v>49152</v>
      </c>
      <c r="G9" s="39">
        <f>(F9/F26)*100</f>
        <v>33.49483798425841</v>
      </c>
      <c r="H9" s="38">
        <v>50826</v>
      </c>
      <c r="I9" s="39">
        <f>(H9/H26)*100</f>
        <v>34.44382700153156</v>
      </c>
      <c r="J9" s="38">
        <v>43484</v>
      </c>
      <c r="K9" s="39">
        <f>(J9/J26)*100</f>
        <v>31.837051463212845</v>
      </c>
      <c r="L9" s="38">
        <v>48095</v>
      </c>
      <c r="M9" s="40">
        <f>(L9/L26)*100</f>
        <v>35.990900315046659</v>
      </c>
      <c r="N9" s="41"/>
    </row>
    <row r="10" spans="1:14" ht="14.1" customHeight="1">
      <c r="A10" s="375" t="s">
        <v>171</v>
      </c>
      <c r="B10" s="42">
        <v>27500</v>
      </c>
      <c r="C10" s="39">
        <f>(B10/B26)*100</f>
        <v>19.177126917712691</v>
      </c>
      <c r="D10" s="42">
        <v>27500</v>
      </c>
      <c r="E10" s="39">
        <f>(D10/D26)*100</f>
        <v>19.386676066267185</v>
      </c>
      <c r="F10" s="42">
        <v>27500</v>
      </c>
      <c r="G10" s="39">
        <f>(F10/F26)*100</f>
        <v>18.739991141095096</v>
      </c>
      <c r="H10" s="42">
        <v>25000</v>
      </c>
      <c r="I10" s="39">
        <f>(H10/H26)*100</f>
        <v>16.942031146230061</v>
      </c>
      <c r="J10" s="42">
        <v>26500</v>
      </c>
      <c r="K10" s="39">
        <f>(J10/J26)*100</f>
        <v>19.402121786752378</v>
      </c>
      <c r="L10" s="42">
        <v>20000</v>
      </c>
      <c r="M10" s="40">
        <f>(L10/L26)*100</f>
        <v>14.966587094311947</v>
      </c>
    </row>
    <row r="11" spans="1:14" ht="14.1" customHeight="1">
      <c r="A11" s="376" t="s">
        <v>172</v>
      </c>
      <c r="B11" s="42">
        <v>13500</v>
      </c>
      <c r="C11" s="39">
        <f>(B11/B26)*100</f>
        <v>9.4142259414225933</v>
      </c>
      <c r="D11" s="42">
        <v>12500</v>
      </c>
      <c r="E11" s="39">
        <f>(D11/D26)*100</f>
        <v>8.8121254846669022</v>
      </c>
      <c r="F11" s="42">
        <v>12124</v>
      </c>
      <c r="G11" s="39">
        <f>(F11/F26)*100</f>
        <v>8.261951003441343</v>
      </c>
      <c r="H11" s="42">
        <v>9927</v>
      </c>
      <c r="I11" s="39">
        <f>(H11/H26)*100</f>
        <v>6.7273417275450313</v>
      </c>
      <c r="J11" s="42">
        <v>7652</v>
      </c>
      <c r="K11" s="39">
        <f>(J11/J26)*100</f>
        <v>5.6024541853671392</v>
      </c>
      <c r="L11" s="42">
        <v>8523</v>
      </c>
      <c r="M11" s="40">
        <f>(L11/L26)*100</f>
        <v>6.3780110902410367</v>
      </c>
      <c r="N11" s="55"/>
    </row>
    <row r="12" spans="1:14" ht="14.1" customHeight="1">
      <c r="A12" s="376" t="s">
        <v>173</v>
      </c>
      <c r="B12" s="42">
        <v>11000</v>
      </c>
      <c r="C12" s="39">
        <f>(B12/B26)*100</f>
        <v>7.670850767085077</v>
      </c>
      <c r="D12" s="42">
        <v>9000</v>
      </c>
      <c r="E12" s="39">
        <f>(D12/D26)*100</f>
        <v>6.3447303489601685</v>
      </c>
      <c r="F12" s="42">
        <v>11667</v>
      </c>
      <c r="G12" s="39">
        <f>(F12/F26)*100</f>
        <v>7.950526423387509</v>
      </c>
      <c r="H12" s="42">
        <v>13048</v>
      </c>
      <c r="I12" s="39">
        <f>(H12/H26)*100</f>
        <v>8.842384895840393</v>
      </c>
      <c r="J12" s="42">
        <v>7288</v>
      </c>
      <c r="K12" s="39">
        <f>(J12/J26)*100</f>
        <v>5.3359495691264653</v>
      </c>
      <c r="L12" s="42">
        <v>9129</v>
      </c>
      <c r="M12" s="40">
        <f>(L12/L26)*100</f>
        <v>6.8314986791986883</v>
      </c>
    </row>
    <row r="13" spans="1:14" ht="14.1" customHeight="1">
      <c r="A13" s="376" t="s">
        <v>174</v>
      </c>
      <c r="B13" s="42">
        <v>6400</v>
      </c>
      <c r="C13" s="39">
        <f>(B13/B26)*100</f>
        <v>4.4630404463040447</v>
      </c>
      <c r="D13" s="42">
        <v>6625</v>
      </c>
      <c r="E13" s="39">
        <f>(D13/D26)*100</f>
        <v>4.6704265068734578</v>
      </c>
      <c r="F13" s="42">
        <v>6527</v>
      </c>
      <c r="G13" s="39">
        <f>(F13/F26)*100</f>
        <v>4.4478517155610069</v>
      </c>
      <c r="H13" s="42">
        <v>6233</v>
      </c>
      <c r="I13" s="39">
        <f>(H13/H26)*100</f>
        <v>4.2239872053780783</v>
      </c>
      <c r="J13" s="42">
        <v>6798</v>
      </c>
      <c r="K13" s="39">
        <f>(J13/J26)*100</f>
        <v>4.9771933549563263</v>
      </c>
      <c r="L13" s="42">
        <v>7500</v>
      </c>
      <c r="M13" s="40">
        <f>(L13/L26)*100</f>
        <v>5.6124701603669811</v>
      </c>
    </row>
    <row r="14" spans="1:14" ht="14.1" customHeight="1">
      <c r="A14" s="376" t="s">
        <v>175</v>
      </c>
      <c r="B14" s="42">
        <v>5800</v>
      </c>
      <c r="C14" s="39">
        <f>(B14/B26)*100</f>
        <v>4.0446304044630406</v>
      </c>
      <c r="D14" s="42">
        <v>5517</v>
      </c>
      <c r="E14" s="39">
        <f>(D14/D26)*100</f>
        <v>3.8893197039125837</v>
      </c>
      <c r="F14" s="42">
        <v>5075</v>
      </c>
      <c r="G14" s="39">
        <f>(F14/F26)*100</f>
        <v>3.4583801833111862</v>
      </c>
      <c r="H14" s="42">
        <v>4977</v>
      </c>
      <c r="I14" s="39">
        <f>(H14/H26)*100</f>
        <v>3.3728195605914801</v>
      </c>
      <c r="J14" s="42">
        <v>4921</v>
      </c>
      <c r="K14" s="39">
        <f>(J14/J26)*100</f>
        <v>3.6029374080229601</v>
      </c>
      <c r="L14" s="42">
        <v>4728</v>
      </c>
      <c r="M14" s="40">
        <f>(L14/L26)*100</f>
        <v>3.5381011890953449</v>
      </c>
    </row>
    <row r="15" spans="1:14" ht="14.1" customHeight="1">
      <c r="A15" s="376" t="s">
        <v>177</v>
      </c>
      <c r="B15" s="42">
        <v>5800</v>
      </c>
      <c r="C15" s="39">
        <f>(B15/B26)*100</f>
        <v>4.0446304044630406</v>
      </c>
      <c r="D15" s="42">
        <v>5400</v>
      </c>
      <c r="E15" s="39">
        <f>(D15/D26)*100</f>
        <v>3.8068382093761017</v>
      </c>
      <c r="F15" s="42">
        <v>4568</v>
      </c>
      <c r="G15" s="39">
        <f>(F15/F26)*100</f>
        <v>3.112882892091724</v>
      </c>
      <c r="H15" s="42">
        <v>4537</v>
      </c>
      <c r="I15" s="39">
        <f>(H15/H26)*100</f>
        <v>3.0746398124178311</v>
      </c>
      <c r="J15" s="42">
        <v>5903</v>
      </c>
      <c r="K15" s="39">
        <f>(J15/J26)*100</f>
        <v>4.3219141474414826</v>
      </c>
      <c r="L15" s="42">
        <v>4331</v>
      </c>
      <c r="M15" s="40">
        <f>(L15/L26)*100</f>
        <v>3.2410144352732524</v>
      </c>
    </row>
    <row r="16" spans="1:14" ht="14.1" customHeight="1">
      <c r="A16" s="376" t="s">
        <v>178</v>
      </c>
      <c r="B16" s="42">
        <v>3900</v>
      </c>
      <c r="C16" s="39">
        <f>(B16/B26)*100</f>
        <v>2.7196652719665275</v>
      </c>
      <c r="D16" s="42">
        <v>3900</v>
      </c>
      <c r="E16" s="39">
        <f>(D16/D26)*100</f>
        <v>2.7493831512160734</v>
      </c>
      <c r="F16" s="42">
        <v>3916</v>
      </c>
      <c r="G16" s="39">
        <f>(F16/F26)*100</f>
        <v>2.6685747384919418</v>
      </c>
      <c r="H16" s="42">
        <v>4327</v>
      </c>
      <c r="I16" s="39">
        <f>(H16/H26)*100</f>
        <v>2.9323267507894988</v>
      </c>
      <c r="J16" s="42">
        <v>4563</v>
      </c>
      <c r="K16" s="39">
        <f>(J16/J26)*100</f>
        <v>3.340825725017023</v>
      </c>
      <c r="L16" s="42">
        <v>4001</v>
      </c>
      <c r="M16" s="40">
        <f>(L16/L26)*100</f>
        <v>2.9940657482171051</v>
      </c>
    </row>
    <row r="17" spans="1:13" ht="14.1" customHeight="1">
      <c r="A17" s="376" t="s">
        <v>179</v>
      </c>
      <c r="B17" s="42">
        <v>4800</v>
      </c>
      <c r="C17" s="39">
        <f>(B17/B26)*100</f>
        <v>3.3472803347280333</v>
      </c>
      <c r="D17" s="42">
        <v>3800</v>
      </c>
      <c r="E17" s="39">
        <f>(D17/D26)*100</f>
        <v>2.678886147338738</v>
      </c>
      <c r="F17" s="42">
        <v>3602</v>
      </c>
      <c r="G17" s="39">
        <f>(F17/F26)*100</f>
        <v>2.4545981123718015</v>
      </c>
      <c r="H17" s="42">
        <v>3878</v>
      </c>
      <c r="I17" s="39">
        <f>(H17/H26)*100</f>
        <v>2.6280478714032069</v>
      </c>
      <c r="J17" s="42">
        <v>3075</v>
      </c>
      <c r="K17" s="39">
        <f>(J17/J26)*100</f>
        <v>2.2513782828023987</v>
      </c>
      <c r="L17" s="42">
        <v>3223</v>
      </c>
      <c r="M17" s="40">
        <f>(L17/L26)*100</f>
        <v>2.4118655102483704</v>
      </c>
    </row>
    <row r="18" spans="1:13" ht="14.1" customHeight="1">
      <c r="A18" s="376" t="s">
        <v>180</v>
      </c>
      <c r="B18" s="42">
        <v>3400</v>
      </c>
      <c r="C18" s="39">
        <f>(B18/B26)*100</f>
        <v>2.3709902370990235</v>
      </c>
      <c r="D18" s="42">
        <v>3500</v>
      </c>
      <c r="E18" s="39">
        <f>(D18/D26)*100</f>
        <v>2.4673951357067323</v>
      </c>
      <c r="F18" s="42">
        <v>3159</v>
      </c>
      <c r="G18" s="39">
        <f>(F18/F26)*100</f>
        <v>2.1527138914443422</v>
      </c>
      <c r="H18" s="42">
        <v>3743</v>
      </c>
      <c r="I18" s="39">
        <f>(H18/H26)*100</f>
        <v>2.5365609032135645</v>
      </c>
      <c r="J18" s="42">
        <v>3840</v>
      </c>
      <c r="K18" s="39">
        <f>(J18/J26)*100</f>
        <v>2.8114772702312876</v>
      </c>
      <c r="L18" s="42">
        <v>3950</v>
      </c>
      <c r="M18" s="40">
        <f>(L18/L26)*100</f>
        <v>2.9559009511266101</v>
      </c>
    </row>
    <row r="19" spans="1:13" ht="14.1" customHeight="1">
      <c r="A19" s="376" t="s">
        <v>176</v>
      </c>
      <c r="B19" s="42">
        <v>3200</v>
      </c>
      <c r="C19" s="39">
        <f>(B19/B26)*100</f>
        <v>2.2315202231520224</v>
      </c>
      <c r="D19" s="42">
        <v>3400</v>
      </c>
      <c r="E19" s="39">
        <f>(D19/D26)*100</f>
        <v>2.3968981318293969</v>
      </c>
      <c r="F19" s="42">
        <v>4338</v>
      </c>
      <c r="G19" s="39">
        <f>(F19/F26)*100</f>
        <v>2.9561484207298374</v>
      </c>
      <c r="H19" s="42">
        <v>4453</v>
      </c>
      <c r="I19" s="39">
        <f>(H19/H26)*100</f>
        <v>3.0177145877664979</v>
      </c>
      <c r="J19" s="42">
        <v>5373</v>
      </c>
      <c r="K19" s="39">
        <f>(J19/J26)*100</f>
        <v>3.9338717117064346</v>
      </c>
      <c r="L19" s="42">
        <v>4069</v>
      </c>
      <c r="M19" s="40">
        <f>(L19/L26)*100</f>
        <v>3.0449521443377656</v>
      </c>
    </row>
    <row r="20" spans="1:13" ht="14.1" customHeight="1">
      <c r="A20" s="376" t="s">
        <v>181</v>
      </c>
      <c r="B20" s="42">
        <v>1800</v>
      </c>
      <c r="C20" s="39">
        <f>(B20/B26)*100</f>
        <v>1.2552301255230125</v>
      </c>
      <c r="D20" s="42">
        <v>2175</v>
      </c>
      <c r="E20" s="39">
        <f>(D20/D26)*100</f>
        <v>1.5333098343320408</v>
      </c>
      <c r="F20" s="42">
        <v>1923</v>
      </c>
      <c r="G20" s="39">
        <f>(F20/F26)*100</f>
        <v>1.3104364714300316</v>
      </c>
      <c r="H20" s="42">
        <v>2046</v>
      </c>
      <c r="I20" s="39">
        <f>(H20/H26)*100</f>
        <v>1.3865358290074681</v>
      </c>
      <c r="J20" s="42">
        <v>1886</v>
      </c>
      <c r="K20" s="39">
        <f>(J20/J26)*100</f>
        <v>1.3808453467854711</v>
      </c>
      <c r="L20" s="42">
        <v>982</v>
      </c>
      <c r="M20" s="40">
        <f>(L20/L26)*100</f>
        <v>0.73485942633071666</v>
      </c>
    </row>
    <row r="21" spans="1:13" ht="14.1" customHeight="1">
      <c r="A21" s="376" t="s">
        <v>182</v>
      </c>
      <c r="B21" s="42">
        <v>2000</v>
      </c>
      <c r="C21" s="39">
        <f>(B21/B26)*100</f>
        <v>1.394700139470014</v>
      </c>
      <c r="D21" s="42">
        <v>2000</v>
      </c>
      <c r="E21" s="39">
        <f>(D21/D26)*100</f>
        <v>1.4099400775467044</v>
      </c>
      <c r="F21" s="42">
        <v>2017</v>
      </c>
      <c r="G21" s="39">
        <f>(F21/F26)*100</f>
        <v>1.3744931684214112</v>
      </c>
      <c r="H21" s="42">
        <v>1890</v>
      </c>
      <c r="I21" s="39">
        <f>(H21/H26)*100</f>
        <v>1.2808175546549925</v>
      </c>
      <c r="J21" s="42">
        <v>2193</v>
      </c>
      <c r="K21" s="39">
        <f>(J21/J26)*100</f>
        <v>1.6056170972961499</v>
      </c>
      <c r="L21" s="42">
        <v>1634</v>
      </c>
      <c r="M21" s="40">
        <f>(L21/L26)*100</f>
        <v>1.2227701656052863</v>
      </c>
    </row>
    <row r="22" spans="1:13" ht="14.1" customHeight="1">
      <c r="A22" s="376" t="s">
        <v>183</v>
      </c>
      <c r="B22" s="42">
        <v>1508</v>
      </c>
      <c r="C22" s="39">
        <f>(B22/B26)*100</f>
        <v>1.0516039051603905</v>
      </c>
      <c r="D22" s="42">
        <v>1508</v>
      </c>
      <c r="E22" s="39">
        <f>(D22/D26)*100</f>
        <v>1.0630948184702151</v>
      </c>
      <c r="F22" s="42">
        <v>1444</v>
      </c>
      <c r="G22" s="39">
        <f>(F22/F26)*100</f>
        <v>0.98401989846332083</v>
      </c>
      <c r="H22" s="42">
        <v>1571</v>
      </c>
      <c r="I22" s="39">
        <f>(H22/H26)*100</f>
        <v>1.0646372372290971</v>
      </c>
      <c r="J22" s="42">
        <v>1462</v>
      </c>
      <c r="K22" s="39">
        <f>(J22/J26)*100</f>
        <v>1.070411398197433</v>
      </c>
      <c r="L22" s="42">
        <v>1392</v>
      </c>
      <c r="M22" s="40">
        <f>(L22/L26)*100</f>
        <v>1.0416744617641116</v>
      </c>
    </row>
    <row r="23" spans="1:13" ht="14.1" customHeight="1">
      <c r="A23" s="376" t="s">
        <v>184</v>
      </c>
      <c r="B23" s="42">
        <v>680</v>
      </c>
      <c r="C23" s="39">
        <f>(B23/B26)*100</f>
        <v>0.47419804741980476</v>
      </c>
      <c r="D23" s="42">
        <v>680</v>
      </c>
      <c r="E23" s="39">
        <f>(D23/D26)*100</f>
        <v>0.4793796263658795</v>
      </c>
      <c r="F23" s="42">
        <v>537</v>
      </c>
      <c r="G23" s="39">
        <f>(F23/F26)*100</f>
        <v>0.36594091791883876</v>
      </c>
      <c r="H23" s="42">
        <v>1235</v>
      </c>
      <c r="I23" s="39">
        <f>(H23/H26)*100</f>
        <v>0.83693633862376493</v>
      </c>
      <c r="J23" s="42">
        <v>1152</v>
      </c>
      <c r="K23" s="39">
        <f>(J23/J26)*100</f>
        <v>0.84344318106938632</v>
      </c>
      <c r="L23" s="42">
        <v>1814</v>
      </c>
      <c r="M23" s="40">
        <f>(L23/L26)*100</f>
        <v>1.3574694494540938</v>
      </c>
    </row>
    <row r="24" spans="1:13" ht="15" hidden="1" customHeight="1">
      <c r="A24" s="376"/>
      <c r="B24" s="42">
        <f>SUM(B9:B23)</f>
        <v>134488</v>
      </c>
      <c r="C24" s="375"/>
      <c r="D24" s="42">
        <f>SUM(D9:D23)</f>
        <v>132851</v>
      </c>
      <c r="E24" s="375"/>
      <c r="F24" s="42">
        <f>SUM(F9:F23)</f>
        <v>137549</v>
      </c>
      <c r="G24" s="375"/>
      <c r="H24" s="42">
        <f>SUM(H9:H23)</f>
        <v>137691</v>
      </c>
      <c r="I24" s="375"/>
      <c r="J24" s="42">
        <f>SUM(J9:J23)</f>
        <v>126090</v>
      </c>
      <c r="K24" s="375"/>
      <c r="L24" s="42">
        <f>SUM(L9:L23)</f>
        <v>123371</v>
      </c>
      <c r="M24" s="376"/>
    </row>
    <row r="25" spans="1:13">
      <c r="A25" s="376" t="s">
        <v>185</v>
      </c>
      <c r="B25" s="43">
        <f>B26-B24</f>
        <v>8912</v>
      </c>
      <c r="C25" s="44">
        <f>(B25/B26)*100</f>
        <v>6.2147838214783819</v>
      </c>
      <c r="D25" s="43">
        <f>D26-D24</f>
        <v>8999</v>
      </c>
      <c r="E25" s="44">
        <f>(D25/D26)*100</f>
        <v>6.3440253789213958</v>
      </c>
      <c r="F25" s="43">
        <f>F26-F24</f>
        <v>9196</v>
      </c>
      <c r="G25" s="44">
        <f>(F25/F26)*100</f>
        <v>6.2666530375822012</v>
      </c>
      <c r="H25" s="43">
        <f>H26-H24</f>
        <v>9871</v>
      </c>
      <c r="I25" s="44">
        <f>(H25/H26)*100</f>
        <v>6.6893915777774762</v>
      </c>
      <c r="J25" s="43">
        <f>J26-J24</f>
        <v>10493</v>
      </c>
      <c r="K25" s="44">
        <f>(J25/J26)*100</f>
        <v>7.6825080720148193</v>
      </c>
      <c r="L25" s="43">
        <f>L26-L24</f>
        <v>10260</v>
      </c>
      <c r="M25" s="45">
        <f>(L25/L26)*100</f>
        <v>7.677859179382029</v>
      </c>
    </row>
    <row r="26" spans="1:13" ht="18" customHeight="1">
      <c r="A26" s="377" t="s">
        <v>116</v>
      </c>
      <c r="B26" s="378">
        <v>143400</v>
      </c>
      <c r="C26" s="379">
        <f>SUM(C9:C25)</f>
        <v>99.999999999999986</v>
      </c>
      <c r="D26" s="378">
        <v>141850</v>
      </c>
      <c r="E26" s="379">
        <f>SUM(E9:E25)</f>
        <v>100.00000000000004</v>
      </c>
      <c r="F26" s="378">
        <v>146745</v>
      </c>
      <c r="G26" s="379">
        <f>SUM(G9:G25)</f>
        <v>99.999999999999986</v>
      </c>
      <c r="H26" s="378">
        <v>147562</v>
      </c>
      <c r="I26" s="379">
        <f>SUM(I9:I25)</f>
        <v>99.999999999999986</v>
      </c>
      <c r="J26" s="378">
        <v>136583</v>
      </c>
      <c r="K26" s="379">
        <f>SUM(K9:K25)</f>
        <v>99.999999999999972</v>
      </c>
      <c r="L26" s="378">
        <v>133631</v>
      </c>
      <c r="M26" s="380">
        <f>SUM(M9:M25)</f>
        <v>100.00000000000003</v>
      </c>
    </row>
    <row r="27" spans="1:13" ht="15" customHeight="1">
      <c r="A27" s="381" t="s">
        <v>186</v>
      </c>
      <c r="B27" s="381"/>
      <c r="C27" s="381"/>
      <c r="D27" s="46"/>
      <c r="E27" s="46"/>
      <c r="F27" s="30"/>
      <c r="G27" s="30"/>
      <c r="H27" s="30"/>
      <c r="I27" s="30"/>
      <c r="J27" s="30"/>
      <c r="K27" s="30"/>
      <c r="L27" s="30"/>
      <c r="M27" s="30"/>
    </row>
    <row r="28" spans="1:13" ht="9" customHeight="1">
      <c r="A28" s="47"/>
      <c r="B28" s="47"/>
      <c r="C28" s="47"/>
      <c r="D28" s="46"/>
      <c r="E28" s="46"/>
      <c r="F28" s="30"/>
      <c r="G28" s="30"/>
      <c r="H28" s="30"/>
      <c r="I28" s="30"/>
      <c r="J28" s="30"/>
      <c r="K28" s="30"/>
      <c r="L28" s="30"/>
      <c r="M28" s="30"/>
    </row>
    <row r="29" spans="1:13" ht="15" customHeight="1">
      <c r="A29" s="1338" t="s">
        <v>188</v>
      </c>
      <c r="B29" s="1338"/>
      <c r="C29" s="1338"/>
      <c r="D29" s="1339"/>
      <c r="E29" s="1339"/>
      <c r="F29" s="1339"/>
      <c r="G29" s="1339"/>
      <c r="H29" s="1339"/>
      <c r="I29" s="1339"/>
      <c r="J29" s="1339"/>
      <c r="K29" s="1339"/>
      <c r="L29" s="1339"/>
      <c r="M29" s="1340"/>
    </row>
    <row r="30" spans="1:13" ht="15" customHeight="1">
      <c r="A30" s="1341" t="s">
        <v>164</v>
      </c>
      <c r="B30" s="1342" t="s">
        <v>528</v>
      </c>
      <c r="C30" s="1342"/>
      <c r="D30" s="1342" t="s">
        <v>204</v>
      </c>
      <c r="E30" s="1342"/>
      <c r="F30" s="1342" t="s">
        <v>166</v>
      </c>
      <c r="G30" s="1342"/>
      <c r="H30" s="1336" t="s">
        <v>167</v>
      </c>
      <c r="I30" s="1343"/>
      <c r="J30" s="1336" t="s">
        <v>32</v>
      </c>
      <c r="K30" s="1343"/>
      <c r="L30" s="1336" t="s">
        <v>168</v>
      </c>
      <c r="M30" s="1337"/>
    </row>
    <row r="31" spans="1:13" ht="15" customHeight="1">
      <c r="A31" s="1341"/>
      <c r="B31" s="35" t="s">
        <v>19</v>
      </c>
      <c r="C31" s="35" t="s">
        <v>169</v>
      </c>
      <c r="D31" s="35" t="s">
        <v>19</v>
      </c>
      <c r="E31" s="35" t="s">
        <v>169</v>
      </c>
      <c r="F31" s="35" t="s">
        <v>19</v>
      </c>
      <c r="G31" s="35" t="s">
        <v>169</v>
      </c>
      <c r="H31" s="35" t="s">
        <v>19</v>
      </c>
      <c r="I31" s="35" t="s">
        <v>169</v>
      </c>
      <c r="J31" s="35" t="s">
        <v>19</v>
      </c>
      <c r="K31" s="35" t="s">
        <v>169</v>
      </c>
      <c r="L31" s="35" t="s">
        <v>19</v>
      </c>
      <c r="M31" s="48" t="s">
        <v>169</v>
      </c>
    </row>
    <row r="32" spans="1:13" ht="14.1" customHeight="1">
      <c r="A32" s="382" t="s">
        <v>170</v>
      </c>
      <c r="B32" s="38">
        <v>37100</v>
      </c>
      <c r="C32" s="49">
        <f>(B32/B49)*100</f>
        <v>33.483754512635379</v>
      </c>
      <c r="D32" s="38">
        <v>36735</v>
      </c>
      <c r="E32" s="49">
        <f>(D32/D49)*100</f>
        <v>32.878956036087644</v>
      </c>
      <c r="F32" s="38">
        <v>32010</v>
      </c>
      <c r="G32" s="49">
        <f>(F32/F49)*100</f>
        <v>28.816809355335295</v>
      </c>
      <c r="H32" s="38">
        <v>28735</v>
      </c>
      <c r="I32" s="49">
        <f>(H32/H49)*100</f>
        <v>25.393921719381034</v>
      </c>
      <c r="J32" s="38">
        <v>33610</v>
      </c>
      <c r="K32" s="49">
        <f>(J32/J49)*100</f>
        <v>32.140227400954359</v>
      </c>
      <c r="L32" s="38">
        <v>33494</v>
      </c>
      <c r="M32" s="50">
        <f>(L32/L49)*100</f>
        <v>34.555902895993889</v>
      </c>
    </row>
    <row r="33" spans="1:13" ht="14.1" customHeight="1">
      <c r="A33" s="375" t="s">
        <v>171</v>
      </c>
      <c r="B33" s="51">
        <v>20200</v>
      </c>
      <c r="C33" s="39">
        <f>(B33/B49)*100</f>
        <v>18.231046931407942</v>
      </c>
      <c r="D33" s="51">
        <v>25000</v>
      </c>
      <c r="E33" s="39">
        <f>(D33/D49)*100</f>
        <v>22.375769726478591</v>
      </c>
      <c r="F33" s="51">
        <v>20475</v>
      </c>
      <c r="G33" s="39">
        <f>(F33/F49)*100</f>
        <v>18.43249520620088</v>
      </c>
      <c r="H33" s="51">
        <v>25475</v>
      </c>
      <c r="I33" s="39">
        <f>(H33/H49)*100</f>
        <v>22.512968707194428</v>
      </c>
      <c r="J33" s="51">
        <v>17675</v>
      </c>
      <c r="K33" s="39">
        <f>(J33/J49)*100</f>
        <v>16.902068411540263</v>
      </c>
      <c r="L33" s="51">
        <v>14229</v>
      </c>
      <c r="M33" s="40">
        <f>(L33/L49)*100</f>
        <v>14.680120090377294</v>
      </c>
    </row>
    <row r="34" spans="1:13" ht="14.1" customHeight="1">
      <c r="A34" s="375" t="s">
        <v>172</v>
      </c>
      <c r="B34" s="51">
        <v>12300</v>
      </c>
      <c r="C34" s="39">
        <f>(B34/B49)*100</f>
        <v>11.101083032490974</v>
      </c>
      <c r="D34" s="51">
        <v>10954</v>
      </c>
      <c r="E34" s="39">
        <f>(D34/D49)*100</f>
        <v>9.8041672633538592</v>
      </c>
      <c r="F34" s="51">
        <v>9670</v>
      </c>
      <c r="G34" s="39">
        <f>(F34/F49)*100</f>
        <v>8.7053591523302813</v>
      </c>
      <c r="H34" s="51">
        <v>7170</v>
      </c>
      <c r="I34" s="39">
        <f>(H34/H49)*100</f>
        <v>6.3363291709748397</v>
      </c>
      <c r="J34" s="51">
        <v>7734</v>
      </c>
      <c r="K34" s="39">
        <f>(J34/J49)*100</f>
        <v>7.395790500415977</v>
      </c>
      <c r="L34" s="51">
        <v>7822</v>
      </c>
      <c r="M34" s="40">
        <f>(L34/L49)*100</f>
        <v>8.069990817831977</v>
      </c>
    </row>
    <row r="35" spans="1:13" ht="14.1" customHeight="1">
      <c r="A35" s="375" t="s">
        <v>175</v>
      </c>
      <c r="B35" s="51">
        <v>5100</v>
      </c>
      <c r="C35" s="39">
        <f>(B35/B49)*100</f>
        <v>4.6028880866425999</v>
      </c>
      <c r="D35" s="51">
        <v>5131</v>
      </c>
      <c r="E35" s="39">
        <f>(D35/D49)*100</f>
        <v>4.5924029786624656</v>
      </c>
      <c r="F35" s="51">
        <v>4963</v>
      </c>
      <c r="G35" s="39">
        <f>(F35/F49)*100</f>
        <v>4.4679108038278379</v>
      </c>
      <c r="H35" s="51">
        <v>5288</v>
      </c>
      <c r="I35" s="39">
        <f>(H35/H49)*100</f>
        <v>4.6731532295836757</v>
      </c>
      <c r="J35" s="51">
        <v>5840</v>
      </c>
      <c r="K35" s="39">
        <f>(J35/J49)*100</f>
        <v>5.5846155317338129</v>
      </c>
      <c r="L35" s="51">
        <v>4631</v>
      </c>
      <c r="M35" s="40">
        <f>(L35/L49)*100</f>
        <v>4.7778224849629103</v>
      </c>
    </row>
    <row r="36" spans="1:13" ht="14.1" customHeight="1">
      <c r="A36" s="375" t="s">
        <v>173</v>
      </c>
      <c r="B36" s="51">
        <v>6600</v>
      </c>
      <c r="C36" s="39">
        <f>(B36/B49)*100</f>
        <v>5.9566787003610111</v>
      </c>
      <c r="D36" s="51">
        <v>4548</v>
      </c>
      <c r="E36" s="39">
        <f>(D36/D49)*100</f>
        <v>4.0706000286409854</v>
      </c>
      <c r="F36" s="51">
        <v>10882</v>
      </c>
      <c r="G36" s="39">
        <f>(F36/F49)*100</f>
        <v>9.7964548392614397</v>
      </c>
      <c r="H36" s="51">
        <v>10940</v>
      </c>
      <c r="I36" s="39">
        <f>(H36/H49)*100</f>
        <v>9.6679834212642621</v>
      </c>
      <c r="J36" s="51">
        <v>6185</v>
      </c>
      <c r="K36" s="39">
        <f>(J36/J49)*100</f>
        <v>5.9145286068105536</v>
      </c>
      <c r="L36" s="51">
        <v>5489</v>
      </c>
      <c r="M36" s="40">
        <f>(L36/L49)*100</f>
        <v>5.6630247505854925</v>
      </c>
    </row>
    <row r="37" spans="1:13" ht="14.1" customHeight="1">
      <c r="A37" s="375" t="s">
        <v>177</v>
      </c>
      <c r="B37" s="42">
        <v>5000</v>
      </c>
      <c r="C37" s="39">
        <f>(B37/B49)*100</f>
        <v>4.512635379061372</v>
      </c>
      <c r="D37" s="42">
        <v>4261</v>
      </c>
      <c r="E37" s="39">
        <f>(D37/D49)*100</f>
        <v>3.8137261921810115</v>
      </c>
      <c r="F37" s="42">
        <v>4185</v>
      </c>
      <c r="G37" s="39">
        <f>(F37/F49)*100</f>
        <v>3.7675209981905091</v>
      </c>
      <c r="H37" s="42">
        <v>5508</v>
      </c>
      <c r="I37" s="39">
        <f>(H37/H49)*100</f>
        <v>4.8675733715103791</v>
      </c>
      <c r="J37" s="42">
        <v>3947</v>
      </c>
      <c r="K37" s="39">
        <f>(J37/J49)*100</f>
        <v>3.774396832834479</v>
      </c>
      <c r="L37" s="42">
        <v>3349</v>
      </c>
      <c r="M37" s="40">
        <f>(L37/L49)*100</f>
        <v>3.4551776078904743</v>
      </c>
    </row>
    <row r="38" spans="1:13" ht="14.1" customHeight="1">
      <c r="A38" s="375" t="s">
        <v>179</v>
      </c>
      <c r="B38" s="42">
        <v>3500</v>
      </c>
      <c r="C38" s="39">
        <f>(B38/B49)*100</f>
        <v>3.1588447653429599</v>
      </c>
      <c r="D38" s="42">
        <v>3442</v>
      </c>
      <c r="E38" s="39">
        <f>(D38/D49)*100</f>
        <v>3.0806959759415724</v>
      </c>
      <c r="F38" s="42">
        <v>3672</v>
      </c>
      <c r="G38" s="39">
        <f>(F38/F49)*100</f>
        <v>3.3056958435736084</v>
      </c>
      <c r="H38" s="42">
        <v>2685</v>
      </c>
      <c r="I38" s="39">
        <f>(H38/H49)*100</f>
        <v>2.3728094594236326</v>
      </c>
      <c r="J38" s="42">
        <v>3142</v>
      </c>
      <c r="K38" s="39">
        <f>(J38/J49)*100</f>
        <v>3.0045996576554179</v>
      </c>
      <c r="L38" s="42">
        <v>2657</v>
      </c>
      <c r="M38" s="40">
        <f>(L38/L49)*100</f>
        <v>2.7412382514675993</v>
      </c>
    </row>
    <row r="39" spans="1:13" ht="14.1" customHeight="1">
      <c r="A39" s="375" t="s">
        <v>174</v>
      </c>
      <c r="B39" s="51">
        <v>2900</v>
      </c>
      <c r="C39" s="39">
        <f>(B39/B49)*100</f>
        <v>2.6173285198555956</v>
      </c>
      <c r="D39" s="51">
        <v>3137</v>
      </c>
      <c r="E39" s="39">
        <f>(D39/D49)*100</f>
        <v>2.8077115852785335</v>
      </c>
      <c r="F39" s="51">
        <v>2870</v>
      </c>
      <c r="G39" s="39">
        <f>(F39/F49)*100</f>
        <v>2.5837001827495252</v>
      </c>
      <c r="H39" s="51">
        <v>3203</v>
      </c>
      <c r="I39" s="39">
        <f>(H39/H49)*100</f>
        <v>2.8305805208692347</v>
      </c>
      <c r="J39" s="51">
        <v>2675</v>
      </c>
      <c r="K39" s="39">
        <f>(J39/J49)*100</f>
        <v>2.5580216690732791</v>
      </c>
      <c r="L39" s="51">
        <v>3324</v>
      </c>
      <c r="M39" s="40">
        <f>(L39/L49)*100</f>
        <v>3.4293850010832898</v>
      </c>
    </row>
    <row r="40" spans="1:13" ht="14.1" customHeight="1">
      <c r="A40" s="375" t="s">
        <v>180</v>
      </c>
      <c r="B40" s="51">
        <v>2900</v>
      </c>
      <c r="C40" s="39">
        <f>(B40/B49)*100</f>
        <v>2.6173285198555956</v>
      </c>
      <c r="D40" s="51">
        <v>3045</v>
      </c>
      <c r="E40" s="39">
        <f>(D40/D49)*100</f>
        <v>2.7253687526850925</v>
      </c>
      <c r="F40" s="51">
        <v>2575</v>
      </c>
      <c r="G40" s="39">
        <f>(F40/F49)*100</f>
        <v>2.3181282127456537</v>
      </c>
      <c r="H40" s="51">
        <v>3750</v>
      </c>
      <c r="I40" s="39">
        <f>(H40/H49)*100</f>
        <v>3.3139796919324476</v>
      </c>
      <c r="J40" s="51">
        <v>3697</v>
      </c>
      <c r="K40" s="39">
        <f>(J40/J49)*100</f>
        <v>3.5353293871266964</v>
      </c>
      <c r="L40" s="51">
        <v>3468</v>
      </c>
      <c r="M40" s="40">
        <f>(L40/L49)*100</f>
        <v>3.5779504162926736</v>
      </c>
    </row>
    <row r="41" spans="1:13" ht="14.1" customHeight="1">
      <c r="A41" s="376" t="s">
        <v>176</v>
      </c>
      <c r="B41" s="51">
        <v>2400</v>
      </c>
      <c r="C41" s="39">
        <f>(B41/B49)*100</f>
        <v>2.1660649819494582</v>
      </c>
      <c r="D41" s="51">
        <v>2891</v>
      </c>
      <c r="E41" s="39">
        <f>(D41/D49)*100</f>
        <v>2.5875340111699843</v>
      </c>
      <c r="F41" s="51">
        <v>3971</v>
      </c>
      <c r="G41" s="39">
        <f>(F41/F49)*100</f>
        <v>3.5748687894419389</v>
      </c>
      <c r="H41" s="51">
        <v>4310</v>
      </c>
      <c r="I41" s="39">
        <f>(H41/H49)*100</f>
        <v>3.8088673259276935</v>
      </c>
      <c r="J41" s="51">
        <v>4697</v>
      </c>
      <c r="K41" s="39">
        <f>(J41/J49)*100</f>
        <v>4.491599169957829</v>
      </c>
      <c r="L41" s="51">
        <v>3817</v>
      </c>
      <c r="M41" s="40">
        <f>(L41/L49)*100</f>
        <v>3.9380152073209738</v>
      </c>
    </row>
    <row r="42" spans="1:13" ht="14.1" customHeight="1">
      <c r="A42" s="376" t="s">
        <v>178</v>
      </c>
      <c r="B42" s="51">
        <v>2500</v>
      </c>
      <c r="C42" s="39">
        <f>(B42/B49)*100</f>
        <v>2.256317689530686</v>
      </c>
      <c r="D42" s="51">
        <v>2448</v>
      </c>
      <c r="E42" s="39">
        <f>(D42/D49)*100</f>
        <v>2.1910353716167839</v>
      </c>
      <c r="F42" s="51">
        <v>3132</v>
      </c>
      <c r="G42" s="39">
        <f>(F42/F49)*100</f>
        <v>2.8195641018716069</v>
      </c>
      <c r="H42" s="51">
        <v>3556</v>
      </c>
      <c r="I42" s="39">
        <f>(H42/H49)*100</f>
        <v>3.1425364758698096</v>
      </c>
      <c r="J42" s="51">
        <v>2907</v>
      </c>
      <c r="K42" s="39">
        <f>(J42/J49)*100</f>
        <v>2.7798762586901016</v>
      </c>
      <c r="L42" s="51">
        <v>2498</v>
      </c>
      <c r="M42" s="40">
        <f>(L42/L49)*100</f>
        <v>2.5771972721739043</v>
      </c>
    </row>
    <row r="43" spans="1:13" ht="14.1" customHeight="1">
      <c r="A43" s="375" t="s">
        <v>182</v>
      </c>
      <c r="B43" s="51">
        <v>1900</v>
      </c>
      <c r="C43" s="39">
        <f>(B43/B49)*100</f>
        <v>1.7148014440433215</v>
      </c>
      <c r="D43" s="51">
        <v>1900</v>
      </c>
      <c r="E43" s="39">
        <f>(D43/D49)*100</f>
        <v>1.7005584992123728</v>
      </c>
      <c r="F43" s="51">
        <v>1661</v>
      </c>
      <c r="G43" s="39">
        <f>(F43/F49)*100</f>
        <v>1.4953052277167111</v>
      </c>
      <c r="H43" s="51">
        <v>1987</v>
      </c>
      <c r="I43" s="39">
        <f>(H43/H49)*100</f>
        <v>1.7559673727652731</v>
      </c>
      <c r="J43" s="51">
        <v>1468</v>
      </c>
      <c r="K43" s="39">
        <f>(J43/J49)*100</f>
        <v>1.4038040411961021</v>
      </c>
      <c r="L43" s="51">
        <v>1712</v>
      </c>
      <c r="M43" s="40">
        <f>(L43/L49)*100</f>
        <v>1.7662777141560144</v>
      </c>
    </row>
    <row r="44" spans="1:13" ht="14.1" customHeight="1">
      <c r="A44" s="376" t="s">
        <v>181</v>
      </c>
      <c r="B44" s="51">
        <v>1400</v>
      </c>
      <c r="C44" s="39">
        <f>(B44/B49)*100</f>
        <v>1.2635379061371841</v>
      </c>
      <c r="D44" s="51">
        <v>1567</v>
      </c>
      <c r="E44" s="39">
        <f>(D44/D49)*100</f>
        <v>1.4025132464556782</v>
      </c>
      <c r="F44" s="51">
        <v>1942</v>
      </c>
      <c r="G44" s="39">
        <f>(F44/F49)*100</f>
        <v>1.748273782194975</v>
      </c>
      <c r="H44" s="51">
        <v>1712</v>
      </c>
      <c r="I44" s="39">
        <f>(H44/H49)*100</f>
        <v>1.5129421953568933</v>
      </c>
      <c r="J44" s="51">
        <v>772</v>
      </c>
      <c r="K44" s="39">
        <f>(J44/J49)*100</f>
        <v>0.73824027234563416</v>
      </c>
      <c r="L44" s="51">
        <v>1912</v>
      </c>
      <c r="M44" s="40">
        <f>(L44/L49)*100</f>
        <v>1.9726185686134927</v>
      </c>
    </row>
    <row r="45" spans="1:13" ht="14.1" customHeight="1">
      <c r="A45" s="376" t="s">
        <v>183</v>
      </c>
      <c r="B45" s="42">
        <v>1100</v>
      </c>
      <c r="C45" s="39">
        <f>(B45/B49)*100</f>
        <v>0.99277978339350181</v>
      </c>
      <c r="D45" s="42">
        <v>1212</v>
      </c>
      <c r="E45" s="39">
        <f>(D45/D49)*100</f>
        <v>1.0847773163396821</v>
      </c>
      <c r="F45" s="42">
        <v>1344</v>
      </c>
      <c r="G45" s="39">
        <f>(F45/F49)*100</f>
        <v>1.2099278904583142</v>
      </c>
      <c r="H45" s="42">
        <v>1374</v>
      </c>
      <c r="I45" s="39">
        <f>(H45/H49)*100</f>
        <v>1.2142421591240489</v>
      </c>
      <c r="J45" s="42">
        <v>1243</v>
      </c>
      <c r="K45" s="39">
        <f>(J45/J49)*100</f>
        <v>1.1886433400590974</v>
      </c>
      <c r="L45" s="42">
        <v>1200</v>
      </c>
      <c r="M45" s="40">
        <f>(L45/L49)*100</f>
        <v>1.23804512674487</v>
      </c>
    </row>
    <row r="46" spans="1:13" ht="14.1" customHeight="1">
      <c r="A46" s="376" t="s">
        <v>184</v>
      </c>
      <c r="B46" s="51">
        <v>430</v>
      </c>
      <c r="C46" s="39">
        <f>(B46/B49)*100</f>
        <v>0.388086642599278</v>
      </c>
      <c r="D46" s="51">
        <v>430</v>
      </c>
      <c r="E46" s="39">
        <f>(D46/D49)*100</f>
        <v>0.38486323929543176</v>
      </c>
      <c r="F46" s="51">
        <v>1103</v>
      </c>
      <c r="G46" s="39">
        <f>(F46/F49)*100</f>
        <v>0.99296909462464333</v>
      </c>
      <c r="H46" s="51">
        <v>1044</v>
      </c>
      <c r="I46" s="39">
        <f>(H46/H49)*100</f>
        <v>0.92261194623399345</v>
      </c>
      <c r="J46" s="51">
        <v>1826</v>
      </c>
      <c r="K46" s="39">
        <f>(J46/J49)*100</f>
        <v>1.7461486234496477</v>
      </c>
      <c r="L46" s="51">
        <v>1082</v>
      </c>
      <c r="M46" s="40">
        <f>(L46/L49)*100</f>
        <v>1.1163040226149576</v>
      </c>
    </row>
    <row r="47" spans="1:13" ht="17.25" hidden="1" customHeight="1">
      <c r="A47" s="375"/>
      <c r="B47" s="51">
        <f>SUM(B32:B46)</f>
        <v>105330</v>
      </c>
      <c r="C47" s="375"/>
      <c r="D47" s="51">
        <f>SUM(D32:D46)</f>
        <v>106701</v>
      </c>
      <c r="E47" s="375"/>
      <c r="F47" s="51">
        <f>SUM(F32:F46)</f>
        <v>104455</v>
      </c>
      <c r="G47" s="375"/>
      <c r="H47" s="51">
        <f>SUM(H32:H46)</f>
        <v>106737</v>
      </c>
      <c r="I47" s="375"/>
      <c r="J47" s="51">
        <f>SUM(J32:J46)</f>
        <v>97418</v>
      </c>
      <c r="K47" s="375"/>
      <c r="L47" s="51">
        <f>SUM(L32:L46)</f>
        <v>90684</v>
      </c>
      <c r="M47" s="376"/>
    </row>
    <row r="48" spans="1:13">
      <c r="A48" s="383" t="s">
        <v>185</v>
      </c>
      <c r="B48" s="43">
        <f>B49-B47</f>
        <v>5470</v>
      </c>
      <c r="C48" s="44">
        <f>(B48/B49)*100</f>
        <v>4.9368231046931408</v>
      </c>
      <c r="D48" s="43">
        <f>D49-D47</f>
        <v>5027</v>
      </c>
      <c r="E48" s="44">
        <f>(D48/D49)*100</f>
        <v>4.4993197766003146</v>
      </c>
      <c r="F48" s="43">
        <f>F49-F47</f>
        <v>6626</v>
      </c>
      <c r="G48" s="44">
        <f>(F48/F49)*100</f>
        <v>5.9650165194767784</v>
      </c>
      <c r="H48" s="43">
        <f>H49-H47</f>
        <v>6420</v>
      </c>
      <c r="I48" s="44">
        <f>(H48/H49)*100</f>
        <v>5.6735332325883503</v>
      </c>
      <c r="J48" s="43">
        <f>J49-J47</f>
        <v>7155</v>
      </c>
      <c r="K48" s="44">
        <f>(J48/J49)*100</f>
        <v>6.8421102961567515</v>
      </c>
      <c r="L48" s="43">
        <f>L49-L47</f>
        <v>6243</v>
      </c>
      <c r="M48" s="45">
        <f>(L48/L49)*100</f>
        <v>6.4409297718901861</v>
      </c>
    </row>
    <row r="49" spans="1:13" ht="18" customHeight="1">
      <c r="A49" s="384" t="s">
        <v>116</v>
      </c>
      <c r="B49" s="378">
        <v>110800</v>
      </c>
      <c r="C49" s="379">
        <f>SUM(C32:C48)</f>
        <v>99.999999999999986</v>
      </c>
      <c r="D49" s="378">
        <v>111728</v>
      </c>
      <c r="E49" s="379">
        <f>SUM(E32:E48)</f>
        <v>99.999999999999986</v>
      </c>
      <c r="F49" s="378">
        <v>111081</v>
      </c>
      <c r="G49" s="379">
        <f>SUM(G32:G48)</f>
        <v>99.999999999999986</v>
      </c>
      <c r="H49" s="378">
        <v>113157</v>
      </c>
      <c r="I49" s="379">
        <f>SUM(I32:I48)</f>
        <v>100</v>
      </c>
      <c r="J49" s="378">
        <v>104573</v>
      </c>
      <c r="K49" s="379">
        <f>SUM(K32:K48)</f>
        <v>99.999999999999986</v>
      </c>
      <c r="L49" s="378">
        <v>96927</v>
      </c>
      <c r="M49" s="380">
        <f>SUM(M32:M48)</f>
        <v>100</v>
      </c>
    </row>
    <row r="50" spans="1:13" ht="15" customHeight="1">
      <c r="A50" s="385" t="s">
        <v>189</v>
      </c>
      <c r="B50" s="385"/>
      <c r="C50" s="385"/>
      <c r="D50" s="52"/>
      <c r="E50" s="52"/>
      <c r="F50" s="53"/>
      <c r="G50" s="53"/>
      <c r="H50" s="53"/>
      <c r="I50" s="53"/>
      <c r="J50" s="386"/>
      <c r="K50" s="387"/>
      <c r="L50" s="386"/>
      <c r="M50" s="387"/>
    </row>
    <row r="51" spans="1:13" ht="9" customHeight="1">
      <c r="A51" s="47"/>
      <c r="B51" s="47"/>
      <c r="C51" s="47"/>
      <c r="D51" s="52"/>
      <c r="E51" s="52"/>
      <c r="F51" s="53"/>
      <c r="G51" s="53"/>
      <c r="H51" s="53"/>
      <c r="I51" s="53"/>
      <c r="J51" s="386"/>
      <c r="K51" s="387"/>
      <c r="L51" s="386"/>
      <c r="M51" s="387"/>
    </row>
    <row r="52" spans="1:13" ht="15" customHeight="1">
      <c r="A52" s="1338" t="s">
        <v>190</v>
      </c>
      <c r="B52" s="1338"/>
      <c r="C52" s="1338"/>
      <c r="D52" s="1339"/>
      <c r="E52" s="1339"/>
      <c r="F52" s="1339"/>
      <c r="G52" s="1339"/>
      <c r="H52" s="1339"/>
      <c r="I52" s="1339"/>
      <c r="J52" s="1339"/>
      <c r="K52" s="1339"/>
      <c r="L52" s="1339"/>
      <c r="M52" s="1340"/>
    </row>
    <row r="53" spans="1:13" ht="15" customHeight="1">
      <c r="A53" s="1341" t="s">
        <v>164</v>
      </c>
      <c r="B53" s="1342" t="s">
        <v>533</v>
      </c>
      <c r="C53" s="1342"/>
      <c r="D53" s="1342" t="s">
        <v>165</v>
      </c>
      <c r="E53" s="1342"/>
      <c r="F53" s="1342" t="s">
        <v>166</v>
      </c>
      <c r="G53" s="1342"/>
      <c r="H53" s="1336" t="s">
        <v>167</v>
      </c>
      <c r="I53" s="1343"/>
      <c r="J53" s="1336" t="s">
        <v>32</v>
      </c>
      <c r="K53" s="1343"/>
      <c r="L53" s="1336" t="s">
        <v>168</v>
      </c>
      <c r="M53" s="1337"/>
    </row>
    <row r="54" spans="1:13" ht="15" customHeight="1">
      <c r="A54" s="1341"/>
      <c r="B54" s="35" t="s">
        <v>18</v>
      </c>
      <c r="C54" s="35" t="s">
        <v>169</v>
      </c>
      <c r="D54" s="35" t="s">
        <v>18</v>
      </c>
      <c r="E54" s="35" t="s">
        <v>169</v>
      </c>
      <c r="F54" s="35" t="s">
        <v>18</v>
      </c>
      <c r="G54" s="35" t="s">
        <v>169</v>
      </c>
      <c r="H54" s="35" t="s">
        <v>18</v>
      </c>
      <c r="I54" s="35" t="s">
        <v>169</v>
      </c>
      <c r="J54" s="35" t="s">
        <v>18</v>
      </c>
      <c r="K54" s="35" t="s">
        <v>169</v>
      </c>
      <c r="L54" s="35" t="s">
        <v>18</v>
      </c>
      <c r="M54" s="48" t="s">
        <v>169</v>
      </c>
    </row>
    <row r="55" spans="1:13" ht="14.1" customHeight="1">
      <c r="A55" s="382" t="s">
        <v>170</v>
      </c>
      <c r="B55" s="38">
        <v>21000</v>
      </c>
      <c r="C55" s="49">
        <f>(B55/B72)*100</f>
        <v>43.75</v>
      </c>
      <c r="D55" s="38">
        <v>20333</v>
      </c>
      <c r="E55" s="49">
        <f>(D55/D72)*100</f>
        <v>44.00986991623558</v>
      </c>
      <c r="F55" s="38">
        <v>20085</v>
      </c>
      <c r="G55" s="49">
        <f>(F55/F72)*100</f>
        <v>44.641269559032715</v>
      </c>
      <c r="H55" s="38">
        <v>20330</v>
      </c>
      <c r="I55" s="49">
        <f>(H55/H72)*100</f>
        <v>45.972592827099632</v>
      </c>
      <c r="J55" s="38">
        <v>19720</v>
      </c>
      <c r="K55" s="49">
        <f>(J55/J72)*100</f>
        <v>46.081226340141143</v>
      </c>
      <c r="L55" s="38">
        <v>19131.830000000002</v>
      </c>
      <c r="M55" s="50">
        <f>(L55/L72)*100</f>
        <v>46.657310084136085</v>
      </c>
    </row>
    <row r="56" spans="1:13" ht="14.1" customHeight="1">
      <c r="A56" s="375" t="s">
        <v>173</v>
      </c>
      <c r="B56" s="51">
        <v>4200</v>
      </c>
      <c r="C56" s="39">
        <f>(B56/B72)*100</f>
        <v>8.75</v>
      </c>
      <c r="D56" s="51">
        <v>3584</v>
      </c>
      <c r="E56" s="39">
        <f>(D56/D72)*100</f>
        <v>7.7574078483149718</v>
      </c>
      <c r="F56" s="51">
        <v>3584</v>
      </c>
      <c r="G56" s="39">
        <f>(F56/F72)*100</f>
        <v>7.9658605974395442</v>
      </c>
      <c r="H56" s="51">
        <v>3584</v>
      </c>
      <c r="I56" s="39">
        <f>(H56/H72)*100</f>
        <v>8.104563339514268</v>
      </c>
      <c r="J56" s="51">
        <v>3333</v>
      </c>
      <c r="K56" s="39">
        <f>(J56/J72)*100</f>
        <v>7.7884750198625978</v>
      </c>
      <c r="L56" s="51">
        <v>3333</v>
      </c>
      <c r="M56" s="40">
        <f>(L56/L72)*100</f>
        <v>8.1282770393854413</v>
      </c>
    </row>
    <row r="57" spans="1:13" ht="14.1" customHeight="1">
      <c r="A57" s="375" t="s">
        <v>174</v>
      </c>
      <c r="B57" s="51">
        <v>3700</v>
      </c>
      <c r="C57" s="39">
        <f>(B57/B72)*100</f>
        <v>7.7083333333333339</v>
      </c>
      <c r="D57" s="51">
        <v>3383</v>
      </c>
      <c r="E57" s="39">
        <f>(D57/D72)*100</f>
        <v>7.3223523300361473</v>
      </c>
      <c r="F57" s="51">
        <v>3383</v>
      </c>
      <c r="G57" s="39">
        <f>(F57/F72)*100</f>
        <v>7.5191145092460889</v>
      </c>
      <c r="H57" s="51">
        <v>3383</v>
      </c>
      <c r="I57" s="39">
        <f>(H57/H72)*100</f>
        <v>7.6500384424042336</v>
      </c>
      <c r="J57" s="51">
        <v>3383</v>
      </c>
      <c r="K57" s="39">
        <f>(J57/J72)*100</f>
        <v>7.9053138290414546</v>
      </c>
      <c r="L57" s="51">
        <v>3253</v>
      </c>
      <c r="M57" s="40">
        <f>(L57/L72)*100</f>
        <v>7.9331788806243146</v>
      </c>
    </row>
    <row r="58" spans="1:13" ht="14.1" customHeight="1">
      <c r="A58" s="375" t="s">
        <v>178</v>
      </c>
      <c r="B58" s="51">
        <v>2400</v>
      </c>
      <c r="C58" s="39">
        <f>(B58/B72)*100</f>
        <v>5</v>
      </c>
      <c r="D58" s="51">
        <v>2354</v>
      </c>
      <c r="E58" s="39">
        <f>(D58/D72)*100</f>
        <v>5.0951278110863401</v>
      </c>
      <c r="F58" s="51">
        <v>2354</v>
      </c>
      <c r="G58" s="39">
        <f>(F58/F72)*100</f>
        <v>5.2320412517780941</v>
      </c>
      <c r="H58" s="51">
        <v>2354</v>
      </c>
      <c r="I58" s="39">
        <f>(H58/H72)*100</f>
        <v>5.3231423273483784</v>
      </c>
      <c r="J58" s="51">
        <v>2354</v>
      </c>
      <c r="K58" s="39">
        <f>(J58/J72)*100</f>
        <v>5.50077113614058</v>
      </c>
      <c r="L58" s="51">
        <v>2239</v>
      </c>
      <c r="M58" s="40">
        <f>(L58/L72)*100</f>
        <v>5.460309718327033</v>
      </c>
    </row>
    <row r="59" spans="1:13" ht="14.1" customHeight="1">
      <c r="A59" s="375" t="s">
        <v>175</v>
      </c>
      <c r="B59" s="51">
        <v>2300</v>
      </c>
      <c r="C59" s="39">
        <f>(B59/B72)*100</f>
        <v>4.791666666666667</v>
      </c>
      <c r="D59" s="51">
        <v>1917</v>
      </c>
      <c r="E59" s="39">
        <f>(D59/D72)*100</f>
        <v>4.1492608385099894</v>
      </c>
      <c r="F59" s="51">
        <v>1917</v>
      </c>
      <c r="G59" s="39">
        <f>(F59/F72)*100</f>
        <v>4.2607574679943108</v>
      </c>
      <c r="H59" s="51">
        <v>1917</v>
      </c>
      <c r="I59" s="39">
        <f>(H59/H72)*100</f>
        <v>4.3349464067658632</v>
      </c>
      <c r="J59" s="51">
        <v>1829</v>
      </c>
      <c r="K59" s="39">
        <f>(J59/J72)*100</f>
        <v>4.2739636397625835</v>
      </c>
      <c r="L59" s="51">
        <v>1725</v>
      </c>
      <c r="M59" s="40">
        <f>(L59/L72)*100</f>
        <v>4.2068040482867941</v>
      </c>
    </row>
    <row r="60" spans="1:13" ht="14.1" customHeight="1">
      <c r="A60" s="375" t="s">
        <v>171</v>
      </c>
      <c r="B60" s="51">
        <v>2300</v>
      </c>
      <c r="C60" s="39">
        <f>(B60/B72)*100</f>
        <v>4.791666666666667</v>
      </c>
      <c r="D60" s="51">
        <v>1583</v>
      </c>
      <c r="E60" s="39">
        <f>(D60/D72)*100</f>
        <v>3.4263327633601</v>
      </c>
      <c r="F60" s="51">
        <v>1583</v>
      </c>
      <c r="G60" s="39">
        <f>(F60/F72)*100</f>
        <v>3.5184032716927454</v>
      </c>
      <c r="H60" s="51">
        <v>1583</v>
      </c>
      <c r="I60" s="39">
        <f>(H60/H72)*100</f>
        <v>3.5796662294785406</v>
      </c>
      <c r="J60" s="51">
        <v>1583</v>
      </c>
      <c r="K60" s="39">
        <f>(J60/J72)*100</f>
        <v>3.6991166986026078</v>
      </c>
      <c r="L60" s="51">
        <v>1302</v>
      </c>
      <c r="M60" s="40">
        <f>(L60/L72)*100</f>
        <v>3.1752225338373368</v>
      </c>
    </row>
    <row r="61" spans="1:13" ht="14.1" customHeight="1">
      <c r="A61" s="375" t="s">
        <v>172</v>
      </c>
      <c r="B61" s="51">
        <v>1600</v>
      </c>
      <c r="C61" s="39">
        <f>(B61/B72)*100</f>
        <v>3.3333333333333335</v>
      </c>
      <c r="D61" s="51">
        <v>1439</v>
      </c>
      <c r="E61" s="39">
        <f>(D61/D72)*100</f>
        <v>3.1146511980260168</v>
      </c>
      <c r="F61" s="51">
        <v>1439</v>
      </c>
      <c r="G61" s="39">
        <f>(F61/F72)*100</f>
        <v>3.1983463726884778</v>
      </c>
      <c r="H61" s="51">
        <v>1439</v>
      </c>
      <c r="I61" s="39">
        <f>(H61/H72)*100</f>
        <v>3.2540364524444843</v>
      </c>
      <c r="J61" s="51">
        <v>1439</v>
      </c>
      <c r="K61" s="39">
        <f>(J61/J72)*100</f>
        <v>3.3626209281674999</v>
      </c>
      <c r="L61" s="51">
        <v>1308</v>
      </c>
      <c r="M61" s="40">
        <f>(L61/L72)*100</f>
        <v>3.1898548957444213</v>
      </c>
    </row>
    <row r="62" spans="1:13" ht="14.1" customHeight="1">
      <c r="A62" s="375" t="s">
        <v>177</v>
      </c>
      <c r="B62" s="42">
        <v>300</v>
      </c>
      <c r="C62" s="39">
        <f>(B62/B72)*100</f>
        <v>0.625</v>
      </c>
      <c r="D62" s="42">
        <v>345</v>
      </c>
      <c r="E62" s="39">
        <f>(D62/D72)*100</f>
        <v>0.7467370836129088</v>
      </c>
      <c r="F62" s="42">
        <v>345</v>
      </c>
      <c r="G62" s="39">
        <f>(F62/F72)*100</f>
        <v>0.766802987197724</v>
      </c>
      <c r="H62" s="42">
        <v>345</v>
      </c>
      <c r="I62" s="39">
        <f>(H62/H72)*100</f>
        <v>0.78015467414409112</v>
      </c>
      <c r="J62" s="42">
        <v>345</v>
      </c>
      <c r="K62" s="39">
        <f>(J62/J72)*100</f>
        <v>0.80618778333411223</v>
      </c>
      <c r="L62" s="42">
        <v>345</v>
      </c>
      <c r="M62" s="40">
        <f>(L62/L72)*100</f>
        <v>0.84136080965735893</v>
      </c>
    </row>
    <row r="63" spans="1:13" ht="14.1" customHeight="1">
      <c r="A63" s="375" t="s">
        <v>180</v>
      </c>
      <c r="B63" s="51">
        <v>300</v>
      </c>
      <c r="C63" s="39">
        <f>(B63/B72)*100</f>
        <v>0.625</v>
      </c>
      <c r="D63" s="51">
        <v>340</v>
      </c>
      <c r="E63" s="39">
        <f>(D63/D72)*100</f>
        <v>0.73591480703880874</v>
      </c>
      <c r="F63" s="51">
        <v>340</v>
      </c>
      <c r="G63" s="39">
        <f>(F63/F72)*100</f>
        <v>0.75568990042674256</v>
      </c>
      <c r="H63" s="51">
        <v>340</v>
      </c>
      <c r="I63" s="39">
        <f>(H63/H72)*100</f>
        <v>0.76884808466374199</v>
      </c>
      <c r="J63" s="51">
        <v>340</v>
      </c>
      <c r="K63" s="39">
        <f>(J63/J72)*100</f>
        <v>0.79450390241622648</v>
      </c>
      <c r="L63" s="51">
        <v>340</v>
      </c>
      <c r="M63" s="40">
        <f>(L63/L72)*100</f>
        <v>0.8291671747347884</v>
      </c>
    </row>
    <row r="64" spans="1:13" ht="14.1" customHeight="1">
      <c r="A64" s="376" t="s">
        <v>181</v>
      </c>
      <c r="B64" s="51">
        <v>300</v>
      </c>
      <c r="C64" s="39">
        <f>(B64/B72)*100</f>
        <v>0.625</v>
      </c>
      <c r="D64" s="51">
        <v>317</v>
      </c>
      <c r="E64" s="39">
        <f>(D64/D72)*100</f>
        <v>0.68613233479794811</v>
      </c>
      <c r="F64" s="51">
        <v>317</v>
      </c>
      <c r="G64" s="39">
        <f>(F64/F72)*100</f>
        <v>0.70456970128022756</v>
      </c>
      <c r="H64" s="51">
        <v>317</v>
      </c>
      <c r="I64" s="39">
        <f>(H64/H72)*100</f>
        <v>0.71683777305413587</v>
      </c>
      <c r="J64" s="51">
        <v>317</v>
      </c>
      <c r="K64" s="39">
        <f>(J64/J72)*100</f>
        <v>0.74075805019395247</v>
      </c>
      <c r="L64" s="51">
        <v>317</v>
      </c>
      <c r="M64" s="40">
        <f>(L64/L72)*100</f>
        <v>0.77307645409096459</v>
      </c>
    </row>
    <row r="65" spans="1:13" ht="14.1" customHeight="1">
      <c r="A65" s="376" t="s">
        <v>184</v>
      </c>
      <c r="B65" s="51">
        <v>275</v>
      </c>
      <c r="C65" s="39">
        <f>(B65/B72)*100</f>
        <v>0.57291666666666663</v>
      </c>
      <c r="D65" s="51">
        <v>275</v>
      </c>
      <c r="E65" s="39">
        <f>(D65/D72)*100</f>
        <v>0.59522521157550701</v>
      </c>
      <c r="F65" s="51">
        <v>275</v>
      </c>
      <c r="G65" s="39">
        <f>(F65/F72)*100</f>
        <v>0.61121977240398295</v>
      </c>
      <c r="H65" s="51">
        <v>275</v>
      </c>
      <c r="I65" s="39">
        <f>(H65/H72)*100</f>
        <v>0.62186242141920312</v>
      </c>
      <c r="J65" s="51">
        <v>271</v>
      </c>
      <c r="K65" s="39">
        <f>(J65/J72)*100</f>
        <v>0.6332663457494041</v>
      </c>
      <c r="L65" s="51">
        <v>275</v>
      </c>
      <c r="M65" s="40">
        <f>(L65/L72)*100</f>
        <v>0.67064992074137297</v>
      </c>
    </row>
    <row r="66" spans="1:13" ht="14.1" customHeight="1">
      <c r="A66" s="376" t="s">
        <v>183</v>
      </c>
      <c r="B66" s="51">
        <v>200</v>
      </c>
      <c r="C66" s="39">
        <f>(B66/B72)*100</f>
        <v>0.41666666666666669</v>
      </c>
      <c r="D66" s="51">
        <v>251</v>
      </c>
      <c r="E66" s="39">
        <f>(D66/D72)*100</f>
        <v>0.54327828401982636</v>
      </c>
      <c r="F66" s="51">
        <v>251</v>
      </c>
      <c r="G66" s="39">
        <f>(F66/F72)*100</f>
        <v>0.55787695590327169</v>
      </c>
      <c r="H66" s="51">
        <v>251</v>
      </c>
      <c r="I66" s="39">
        <f>(H66/H72)*100</f>
        <v>0.56759079191352724</v>
      </c>
      <c r="J66" s="51">
        <v>270</v>
      </c>
      <c r="K66" s="39">
        <f>(J66/J72)*100</f>
        <v>0.63092956956582702</v>
      </c>
      <c r="L66" s="51">
        <v>282</v>
      </c>
      <c r="M66" s="40">
        <f>(L66/L72)*100</f>
        <v>0.68772100963297156</v>
      </c>
    </row>
    <row r="67" spans="1:13" ht="14.1" customHeight="1">
      <c r="A67" s="376" t="s">
        <v>176</v>
      </c>
      <c r="B67" s="51">
        <v>300</v>
      </c>
      <c r="C67" s="39">
        <f>(B67/B72)*100</f>
        <v>0.625</v>
      </c>
      <c r="D67" s="51">
        <v>250</v>
      </c>
      <c r="E67" s="39">
        <f>(D67/D72)*100</f>
        <v>0.54111382870500635</v>
      </c>
      <c r="F67" s="51">
        <v>250</v>
      </c>
      <c r="G67" s="39">
        <f>(F67/F72)*100</f>
        <v>0.55565433854907531</v>
      </c>
      <c r="H67" s="51">
        <v>250</v>
      </c>
      <c r="I67" s="39">
        <f>(H67/H72)*100</f>
        <v>0.56532947401745737</v>
      </c>
      <c r="J67" s="51">
        <v>250</v>
      </c>
      <c r="K67" s="39">
        <f>(J67/J72)*100</f>
        <v>0.58419404589428425</v>
      </c>
      <c r="L67" s="51">
        <v>250</v>
      </c>
      <c r="M67" s="40">
        <f>(L67/L72)*100</f>
        <v>0.60968174612852089</v>
      </c>
    </row>
    <row r="68" spans="1:13" ht="14.1" customHeight="1">
      <c r="A68" s="375" t="s">
        <v>182</v>
      </c>
      <c r="B68" s="51">
        <v>204</v>
      </c>
      <c r="C68" s="39">
        <f>(B68/B72)*100</f>
        <v>0.42500000000000004</v>
      </c>
      <c r="D68" s="51">
        <v>204</v>
      </c>
      <c r="E68" s="39">
        <f>(D68/D72)*100</f>
        <v>0.44154888422328525</v>
      </c>
      <c r="F68" s="51">
        <v>204</v>
      </c>
      <c r="G68" s="39">
        <f>(F68/F72)*100</f>
        <v>0.45341394025604548</v>
      </c>
      <c r="H68" s="51">
        <v>204</v>
      </c>
      <c r="I68" s="39">
        <f>(H68/H72)*100</f>
        <v>0.46130885079824524</v>
      </c>
      <c r="J68" s="51">
        <v>202</v>
      </c>
      <c r="K68" s="39">
        <f>(J68/J72)*100</f>
        <v>0.47202878908258167</v>
      </c>
      <c r="L68" s="51">
        <v>199</v>
      </c>
      <c r="M68" s="40">
        <f>(L68/L72)*100</f>
        <v>0.48530666991830262</v>
      </c>
    </row>
    <row r="69" spans="1:13" ht="14.1" customHeight="1">
      <c r="A69" s="376" t="s">
        <v>179</v>
      </c>
      <c r="B69" s="51">
        <v>200</v>
      </c>
      <c r="C69" s="39">
        <f>(B69/B72)*100</f>
        <v>0.41666666666666669</v>
      </c>
      <c r="D69" s="51">
        <v>140</v>
      </c>
      <c r="E69" s="39">
        <f>(D69/D72)*100</f>
        <v>0.30302374407480354</v>
      </c>
      <c r="F69" s="51">
        <v>140</v>
      </c>
      <c r="G69" s="39">
        <f>(F69/F72)*100</f>
        <v>0.3111664295874822</v>
      </c>
      <c r="H69" s="51">
        <v>140</v>
      </c>
      <c r="I69" s="39">
        <f>(H69/H72)*100</f>
        <v>0.31658450544977612</v>
      </c>
      <c r="J69" s="51">
        <v>140</v>
      </c>
      <c r="K69" s="39">
        <f>(J69/J72)*100</f>
        <v>0.3271486657007992</v>
      </c>
      <c r="L69" s="51">
        <v>140</v>
      </c>
      <c r="M69" s="40">
        <f>(L69/L72)*100</f>
        <v>0.3414217778319717</v>
      </c>
    </row>
    <row r="70" spans="1:13" ht="15" hidden="1" customHeight="1">
      <c r="A70" s="375"/>
      <c r="B70" s="51">
        <f>SUM(B55:B69)</f>
        <v>39579</v>
      </c>
      <c r="C70" s="39"/>
      <c r="D70" s="51">
        <f>SUM(D55:D69)</f>
        <v>36715</v>
      </c>
      <c r="E70" s="39"/>
      <c r="F70" s="51">
        <f>SUM(F55:F69)</f>
        <v>36467</v>
      </c>
      <c r="G70" s="39"/>
      <c r="H70" s="51">
        <f>SUM(H55:H69)</f>
        <v>36712</v>
      </c>
      <c r="I70" s="39"/>
      <c r="J70" s="51">
        <f>SUM(J55:J69)</f>
        <v>35776</v>
      </c>
      <c r="K70" s="39"/>
      <c r="L70" s="51">
        <f>SUM(L55:L69)</f>
        <v>34439.83</v>
      </c>
      <c r="M70" s="40"/>
    </row>
    <row r="71" spans="1:13" ht="15" customHeight="1">
      <c r="A71" s="383" t="s">
        <v>185</v>
      </c>
      <c r="B71" s="43">
        <f>B72-B70</f>
        <v>8421</v>
      </c>
      <c r="C71" s="44">
        <f>(B71/B72)*100</f>
        <v>17.543749999999999</v>
      </c>
      <c r="D71" s="43">
        <f>D72-D70</f>
        <v>9486</v>
      </c>
      <c r="E71" s="44">
        <f>(D71/D72)*100</f>
        <v>20.53202311638276</v>
      </c>
      <c r="F71" s="43">
        <f>F72-F70</f>
        <v>8525</v>
      </c>
      <c r="G71" s="44">
        <f>(F71/F72)*100</f>
        <v>18.94781294452347</v>
      </c>
      <c r="H71" s="43">
        <f>H72-H70</f>
        <v>7510</v>
      </c>
      <c r="I71" s="44">
        <f>(H71/H72)*100</f>
        <v>16.982497399484419</v>
      </c>
      <c r="J71" s="43">
        <f>J72-J70</f>
        <v>7018</v>
      </c>
      <c r="K71" s="44">
        <f>(J71/J72)*100</f>
        <v>16.399495256344348</v>
      </c>
      <c r="L71" s="43">
        <f>L72-L70</f>
        <v>6565.1699999999983</v>
      </c>
      <c r="M71" s="45">
        <f>(L71/L72)*100</f>
        <v>16.01065723692232</v>
      </c>
    </row>
    <row r="72" spans="1:13" ht="18" customHeight="1">
      <c r="A72" s="377" t="s">
        <v>116</v>
      </c>
      <c r="B72" s="388">
        <v>48000</v>
      </c>
      <c r="C72" s="379">
        <f>SUM(C55:C71)</f>
        <v>100.00000000000003</v>
      </c>
      <c r="D72" s="388">
        <v>46201</v>
      </c>
      <c r="E72" s="379">
        <f>SUM(E55:E71)</f>
        <v>99.999999999999986</v>
      </c>
      <c r="F72" s="388">
        <v>44992</v>
      </c>
      <c r="G72" s="379">
        <f>SUM(G55:G71)</f>
        <v>100</v>
      </c>
      <c r="H72" s="388">
        <v>44222</v>
      </c>
      <c r="I72" s="379">
        <f>SUM(I55:I71)</f>
        <v>100.00000000000001</v>
      </c>
      <c r="J72" s="388">
        <v>42794</v>
      </c>
      <c r="K72" s="379">
        <f>SUM(K55:K71)</f>
        <v>100</v>
      </c>
      <c r="L72" s="388">
        <v>41005</v>
      </c>
      <c r="M72" s="380">
        <f>SUM(M55:M71)</f>
        <v>100</v>
      </c>
    </row>
    <row r="73" spans="1:13" ht="15" customHeight="1">
      <c r="A73" s="385" t="s">
        <v>191</v>
      </c>
      <c r="B73" s="385"/>
      <c r="C73" s="385"/>
      <c r="D73" s="52"/>
      <c r="E73" s="52"/>
      <c r="F73" s="54"/>
      <c r="G73" s="54"/>
      <c r="H73" s="389"/>
      <c r="I73" s="389"/>
      <c r="J73" s="389"/>
      <c r="K73" s="389"/>
      <c r="L73" s="389"/>
      <c r="M73" s="389"/>
    </row>
    <row r="74" spans="1:13" ht="12.75" customHeight="1">
      <c r="A74" s="47" t="s">
        <v>187</v>
      </c>
      <c r="B74" s="47"/>
      <c r="C74" s="47"/>
      <c r="D74"/>
      <c r="E74"/>
      <c r="F74" s="3"/>
      <c r="G74" s="3"/>
      <c r="H74" s="34"/>
      <c r="I74" s="34"/>
      <c r="J74" s="34"/>
      <c r="K74" s="34"/>
      <c r="L74" s="34"/>
      <c r="M74" s="34"/>
    </row>
    <row r="75" spans="1:13">
      <c r="A75"/>
      <c r="B75"/>
      <c r="C75"/>
      <c r="D75"/>
      <c r="E75"/>
      <c r="F75" s="6"/>
      <c r="G75" s="34"/>
      <c r="H75" s="34"/>
      <c r="I75" s="34"/>
      <c r="J75" s="34"/>
      <c r="K75" s="34"/>
      <c r="L75" s="34"/>
      <c r="M75" s="34"/>
    </row>
    <row r="76" spans="1:13">
      <c r="A76"/>
      <c r="B76"/>
      <c r="C76"/>
      <c r="D76"/>
      <c r="E76"/>
      <c r="F76" s="34"/>
    </row>
  </sheetData>
  <mergeCells count="29">
    <mergeCell ref="A52:M52"/>
    <mergeCell ref="A53:A54"/>
    <mergeCell ref="D53:E53"/>
    <mergeCell ref="F53:G53"/>
    <mergeCell ref="H53:I53"/>
    <mergeCell ref="J53:K53"/>
    <mergeCell ref="L53:M53"/>
    <mergeCell ref="B53:C53"/>
    <mergeCell ref="A6:M6"/>
    <mergeCell ref="L7:M7"/>
    <mergeCell ref="A29:M29"/>
    <mergeCell ref="A30:A31"/>
    <mergeCell ref="D30:E30"/>
    <mergeCell ref="F30:G30"/>
    <mergeCell ref="H30:I30"/>
    <mergeCell ref="J30:K30"/>
    <mergeCell ref="L30:M30"/>
    <mergeCell ref="A7:A8"/>
    <mergeCell ref="D7:E7"/>
    <mergeCell ref="F7:G7"/>
    <mergeCell ref="H7:I7"/>
    <mergeCell ref="J7:K7"/>
    <mergeCell ref="B7:C7"/>
    <mergeCell ref="B30:C30"/>
    <mergeCell ref="A1:M1"/>
    <mergeCell ref="A2:M2"/>
    <mergeCell ref="A3:M3"/>
    <mergeCell ref="A4:M4"/>
    <mergeCell ref="A5:M5"/>
  </mergeCells>
  <printOptions horizontalCentered="1"/>
  <pageMargins left="0.51181102362204722" right="0.51181102362204722" top="0.78740157480314965" bottom="0.78740157480314965" header="0.31496062992125984" footer="0.31496062992125984"/>
  <pageSetup paperSize="9" scale="95" orientation="landscape" verticalDpi="0" r:id="rId1"/>
</worksheet>
</file>

<file path=xl/worksheets/sheet27.xml><?xml version="1.0" encoding="utf-8"?>
<worksheet xmlns="http://schemas.openxmlformats.org/spreadsheetml/2006/main" xmlns:r="http://schemas.openxmlformats.org/officeDocument/2006/relationships">
  <dimension ref="A1:Q9"/>
  <sheetViews>
    <sheetView workbookViewId="0">
      <selection activeCell="Q36" sqref="Q36"/>
    </sheetView>
  </sheetViews>
  <sheetFormatPr defaultRowHeight="12.75"/>
  <sheetData>
    <row r="1" spans="1:17" ht="18">
      <c r="A1" s="576" t="s">
        <v>368</v>
      </c>
      <c r="B1" s="576"/>
      <c r="C1" s="576"/>
      <c r="D1" s="576"/>
    </row>
    <row r="4" spans="1:17" ht="13.5" thickBot="1">
      <c r="A4" s="496"/>
      <c r="P4" s="496"/>
      <c r="Q4" s="496"/>
    </row>
    <row r="5" spans="1:17" ht="13.5" thickBot="1">
      <c r="A5" s="497" t="s">
        <v>354</v>
      </c>
      <c r="B5" s="498">
        <v>2001</v>
      </c>
      <c r="C5" s="498">
        <v>2002</v>
      </c>
      <c r="D5" s="498">
        <v>2003</v>
      </c>
      <c r="E5" s="498">
        <v>2004</v>
      </c>
      <c r="F5" s="498">
        <v>2005</v>
      </c>
      <c r="G5" s="498">
        <v>2006</v>
      </c>
      <c r="H5" s="498">
        <v>2007</v>
      </c>
      <c r="I5" s="498">
        <v>2008</v>
      </c>
      <c r="J5" s="498">
        <v>2009</v>
      </c>
      <c r="K5" s="498">
        <v>2010</v>
      </c>
      <c r="L5" s="498">
        <v>2011</v>
      </c>
      <c r="M5" s="498">
        <v>2012</v>
      </c>
      <c r="N5" s="499">
        <v>2013</v>
      </c>
      <c r="O5" s="500">
        <v>2014</v>
      </c>
      <c r="P5" s="501">
        <v>2015</v>
      </c>
      <c r="Q5" s="501">
        <v>2015</v>
      </c>
    </row>
    <row r="6" spans="1:17" ht="13.5" thickBot="1">
      <c r="A6" s="502" t="s">
        <v>355</v>
      </c>
      <c r="B6" s="503">
        <v>22.5</v>
      </c>
      <c r="C6" s="503">
        <v>37.9</v>
      </c>
      <c r="D6" s="503">
        <v>20.100000000000001</v>
      </c>
      <c r="E6" s="503">
        <v>31.7</v>
      </c>
      <c r="F6" s="503">
        <v>23.8</v>
      </c>
      <c r="G6" s="504">
        <v>33</v>
      </c>
      <c r="H6" s="505">
        <v>25.1</v>
      </c>
      <c r="I6" s="506">
        <v>35.5</v>
      </c>
      <c r="J6" s="506">
        <v>28.8</v>
      </c>
      <c r="K6" s="506">
        <v>36.799999999999997</v>
      </c>
      <c r="L6" s="506">
        <v>32.200000000000003</v>
      </c>
      <c r="M6" s="506">
        <v>38.299999999999997</v>
      </c>
      <c r="N6" s="507">
        <v>38.299999999999997</v>
      </c>
      <c r="O6" s="507">
        <v>32.6</v>
      </c>
      <c r="P6" s="507">
        <v>32</v>
      </c>
      <c r="Q6" s="507">
        <v>38.799999999999997</v>
      </c>
    </row>
    <row r="7" spans="1:17" ht="13.5" thickBot="1">
      <c r="A7" s="502" t="s">
        <v>356</v>
      </c>
      <c r="B7" s="503">
        <v>8.8000000000000007</v>
      </c>
      <c r="C7" s="503">
        <v>10.5</v>
      </c>
      <c r="D7" s="503">
        <v>8.6999999999999993</v>
      </c>
      <c r="E7" s="503">
        <v>7.5</v>
      </c>
      <c r="F7" s="503">
        <v>9.1</v>
      </c>
      <c r="G7" s="504">
        <v>9.5</v>
      </c>
      <c r="H7" s="505">
        <v>10.9</v>
      </c>
      <c r="I7" s="506">
        <v>10.5</v>
      </c>
      <c r="J7" s="506">
        <v>10.6</v>
      </c>
      <c r="K7" s="506">
        <v>11.2</v>
      </c>
      <c r="L7" s="506">
        <v>11.3</v>
      </c>
      <c r="M7" s="506">
        <v>12.5</v>
      </c>
      <c r="N7" s="507">
        <v>10.9</v>
      </c>
      <c r="O7" s="507">
        <v>13</v>
      </c>
      <c r="P7" s="507">
        <v>11.2</v>
      </c>
      <c r="Q7" s="507">
        <v>11.7</v>
      </c>
    </row>
    <row r="8" spans="1:17" ht="13.5" thickBot="1">
      <c r="A8" s="508" t="s">
        <v>116</v>
      </c>
      <c r="B8" s="509">
        <f t="shared" ref="B8:P8" si="0">SUM(B6:B7)</f>
        <v>31.3</v>
      </c>
      <c r="C8" s="509">
        <f t="shared" si="0"/>
        <v>48.4</v>
      </c>
      <c r="D8" s="509">
        <f t="shared" si="0"/>
        <v>28.8</v>
      </c>
      <c r="E8" s="509">
        <f t="shared" si="0"/>
        <v>39.200000000000003</v>
      </c>
      <c r="F8" s="509">
        <f t="shared" si="0"/>
        <v>32.9</v>
      </c>
      <c r="G8" s="509">
        <f t="shared" si="0"/>
        <v>42.5</v>
      </c>
      <c r="H8" s="509">
        <f t="shared" si="0"/>
        <v>36</v>
      </c>
      <c r="I8" s="510">
        <f t="shared" si="0"/>
        <v>46</v>
      </c>
      <c r="J8" s="510">
        <f t="shared" si="0"/>
        <v>39.4</v>
      </c>
      <c r="K8" s="510">
        <f t="shared" si="0"/>
        <v>48</v>
      </c>
      <c r="L8" s="510">
        <f t="shared" si="0"/>
        <v>43.5</v>
      </c>
      <c r="M8" s="510">
        <f t="shared" si="0"/>
        <v>50.8</v>
      </c>
      <c r="N8" s="510">
        <f t="shared" si="0"/>
        <v>49.199999999999996</v>
      </c>
      <c r="O8" s="510">
        <f t="shared" si="0"/>
        <v>45.6</v>
      </c>
      <c r="P8" s="1032">
        <f t="shared" si="0"/>
        <v>43.2</v>
      </c>
      <c r="Q8" s="1032">
        <f t="shared" ref="Q8" si="1">SUM(Q6:Q7)</f>
        <v>50.5</v>
      </c>
    </row>
    <row r="9" spans="1:17">
      <c r="B9">
        <v>31300</v>
      </c>
      <c r="C9">
        <v>48480</v>
      </c>
      <c r="D9">
        <v>28820</v>
      </c>
      <c r="E9">
        <v>39272</v>
      </c>
      <c r="F9">
        <v>32944</v>
      </c>
      <c r="G9">
        <v>42512</v>
      </c>
      <c r="H9">
        <v>36069.599999999999</v>
      </c>
      <c r="I9">
        <v>45992.1</v>
      </c>
      <c r="J9">
        <v>39469.9</v>
      </c>
      <c r="K9">
        <v>48094.8</v>
      </c>
      <c r="L9">
        <v>43484.2</v>
      </c>
      <c r="M9">
        <v>50826.400000000001</v>
      </c>
      <c r="N9">
        <v>49151.6</v>
      </c>
      <c r="O9">
        <v>45639</v>
      </c>
      <c r="P9">
        <v>43235</v>
      </c>
      <c r="Q9">
        <v>50353</v>
      </c>
    </row>
  </sheetData>
  <pageMargins left="0.511811024" right="0.511811024" top="0.78740157499999996" bottom="0.78740157499999996" header="0.31496062000000002" footer="0.31496062000000002"/>
  <pageSetup paperSize="9" orientation="portrait" verticalDpi="0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:E27"/>
  <sheetViews>
    <sheetView workbookViewId="0">
      <selection activeCell="H17" sqref="H17"/>
    </sheetView>
  </sheetViews>
  <sheetFormatPr defaultRowHeight="12.75"/>
  <cols>
    <col min="1" max="1" width="2.7109375" customWidth="1"/>
    <col min="2" max="2" width="13.85546875" customWidth="1"/>
    <col min="3" max="3" width="101.7109375" customWidth="1"/>
    <col min="4" max="4" width="10.7109375" customWidth="1"/>
    <col min="5" max="5" width="2.7109375" customWidth="1"/>
  </cols>
  <sheetData>
    <row r="1" spans="1:5" ht="15" customHeight="1">
      <c r="A1" s="493"/>
      <c r="B1" s="493"/>
      <c r="C1" s="494"/>
      <c r="D1" s="493"/>
      <c r="E1" s="311"/>
    </row>
    <row r="2" spans="1:5" ht="18" customHeight="1">
      <c r="A2" s="495"/>
      <c r="B2" s="284"/>
      <c r="C2" s="285"/>
      <c r="D2" s="313"/>
      <c r="E2" s="311"/>
    </row>
    <row r="3" spans="1:5" ht="17.100000000000001" customHeight="1">
      <c r="A3" s="495"/>
      <c r="B3" s="484"/>
      <c r="C3" s="490" t="s">
        <v>335</v>
      </c>
      <c r="D3" s="138"/>
      <c r="E3" s="311"/>
    </row>
    <row r="4" spans="1:5" ht="18" customHeight="1">
      <c r="A4" s="495"/>
      <c r="B4" s="485"/>
      <c r="C4" s="133" t="s">
        <v>509</v>
      </c>
      <c r="D4" s="138"/>
      <c r="E4" s="311"/>
    </row>
    <row r="5" spans="1:5" ht="18" customHeight="1">
      <c r="A5" s="495"/>
      <c r="B5" s="180"/>
      <c r="C5" s="1058" t="s">
        <v>510</v>
      </c>
      <c r="D5" s="138"/>
      <c r="E5" s="311"/>
    </row>
    <row r="6" spans="1:5" ht="18" customHeight="1">
      <c r="A6" s="495"/>
      <c r="B6" s="146"/>
      <c r="C6" s="491" t="s">
        <v>490</v>
      </c>
      <c r="D6" s="138"/>
      <c r="E6" s="311"/>
    </row>
    <row r="7" spans="1:5" ht="18" customHeight="1">
      <c r="A7" s="495"/>
      <c r="B7" s="486"/>
      <c r="C7" s="491" t="s">
        <v>491</v>
      </c>
      <c r="D7" s="138"/>
      <c r="E7" s="311"/>
    </row>
    <row r="8" spans="1:5" ht="18" customHeight="1">
      <c r="A8" s="495"/>
      <c r="B8" s="486"/>
      <c r="C8" s="491" t="s">
        <v>494</v>
      </c>
      <c r="D8" s="138"/>
      <c r="E8" s="311"/>
    </row>
    <row r="9" spans="1:5" ht="18" customHeight="1">
      <c r="A9" s="495"/>
      <c r="B9" s="486"/>
      <c r="C9" s="491" t="s">
        <v>492</v>
      </c>
      <c r="D9" s="138"/>
      <c r="E9" s="311"/>
    </row>
    <row r="10" spans="1:5" ht="18" customHeight="1">
      <c r="A10" s="495"/>
      <c r="B10" s="486"/>
      <c r="C10" s="491" t="s">
        <v>493</v>
      </c>
      <c r="D10" s="138"/>
      <c r="E10" s="311"/>
    </row>
    <row r="11" spans="1:5" ht="18" customHeight="1">
      <c r="A11" s="495"/>
      <c r="B11" s="486"/>
      <c r="C11" s="1059" t="s">
        <v>495</v>
      </c>
      <c r="D11" s="138"/>
      <c r="E11" s="311"/>
    </row>
    <row r="12" spans="1:5" ht="18" customHeight="1">
      <c r="A12" s="495"/>
      <c r="B12" s="487"/>
      <c r="C12" s="1059" t="s">
        <v>496</v>
      </c>
      <c r="D12" s="138"/>
      <c r="E12" s="311"/>
    </row>
    <row r="13" spans="1:5" ht="18" customHeight="1">
      <c r="A13" s="495"/>
      <c r="B13" s="487"/>
      <c r="C13" s="1059" t="s">
        <v>511</v>
      </c>
      <c r="D13" s="138"/>
      <c r="E13" s="311"/>
    </row>
    <row r="14" spans="1:5" ht="18" customHeight="1">
      <c r="A14" s="495"/>
      <c r="B14" s="486"/>
      <c r="C14" s="1059" t="s">
        <v>497</v>
      </c>
      <c r="D14" s="138"/>
      <c r="E14" s="311"/>
    </row>
    <row r="15" spans="1:5" ht="18" customHeight="1">
      <c r="A15" s="495"/>
      <c r="B15" s="486"/>
      <c r="C15" s="491" t="s">
        <v>498</v>
      </c>
      <c r="D15" s="138"/>
      <c r="E15" s="311"/>
    </row>
    <row r="16" spans="1:5" ht="18" customHeight="1">
      <c r="A16" s="495"/>
      <c r="B16" s="486"/>
      <c r="C16" s="491" t="s">
        <v>499</v>
      </c>
      <c r="D16" s="138"/>
      <c r="E16" s="311"/>
    </row>
    <row r="17" spans="1:5" ht="18" customHeight="1">
      <c r="A17" s="495"/>
      <c r="B17" s="486"/>
      <c r="C17" s="491" t="s">
        <v>500</v>
      </c>
      <c r="D17" s="138"/>
      <c r="E17" s="311"/>
    </row>
    <row r="18" spans="1:5" ht="18" customHeight="1">
      <c r="A18" s="495"/>
      <c r="B18" s="486"/>
      <c r="C18" s="491" t="s">
        <v>501</v>
      </c>
      <c r="D18" s="138"/>
      <c r="E18" s="311"/>
    </row>
    <row r="19" spans="1:5" ht="18" customHeight="1">
      <c r="A19" s="495"/>
      <c r="B19" s="486"/>
      <c r="C19" s="491" t="s">
        <v>502</v>
      </c>
      <c r="D19" s="138"/>
      <c r="E19" s="311"/>
    </row>
    <row r="20" spans="1:5" ht="18" customHeight="1">
      <c r="A20" s="495"/>
      <c r="B20" s="486"/>
      <c r="C20" s="491" t="s">
        <v>512</v>
      </c>
      <c r="D20" s="138"/>
      <c r="E20" s="311"/>
    </row>
    <row r="21" spans="1:5" ht="18" customHeight="1">
      <c r="A21" s="495"/>
      <c r="B21" s="486"/>
      <c r="C21" s="491" t="s">
        <v>503</v>
      </c>
      <c r="D21" s="138"/>
      <c r="E21" s="311"/>
    </row>
    <row r="22" spans="1:5" ht="18" customHeight="1">
      <c r="A22" s="495"/>
      <c r="B22" s="486"/>
      <c r="C22" s="491" t="s">
        <v>504</v>
      </c>
      <c r="D22" s="138"/>
      <c r="E22" s="311"/>
    </row>
    <row r="23" spans="1:5" ht="18" customHeight="1">
      <c r="A23" s="495"/>
      <c r="B23" s="486"/>
      <c r="C23" s="491" t="s">
        <v>505</v>
      </c>
      <c r="D23" s="138"/>
      <c r="E23" s="311"/>
    </row>
    <row r="24" spans="1:5" ht="18" customHeight="1">
      <c r="A24" s="495"/>
      <c r="B24" s="488"/>
      <c r="C24" s="491" t="s">
        <v>506</v>
      </c>
      <c r="D24" s="138"/>
      <c r="E24" s="311"/>
    </row>
    <row r="25" spans="1:5" ht="18" customHeight="1">
      <c r="A25" s="495"/>
      <c r="B25" s="489"/>
      <c r="C25" s="491" t="s">
        <v>507</v>
      </c>
      <c r="D25" s="138"/>
      <c r="E25" s="311"/>
    </row>
    <row r="26" spans="1:5" ht="22.5" customHeight="1">
      <c r="A26" s="495"/>
      <c r="B26" s="492"/>
      <c r="C26" s="1060" t="s">
        <v>508</v>
      </c>
      <c r="D26" s="139"/>
      <c r="E26" s="311"/>
    </row>
    <row r="27" spans="1:5" ht="18" customHeight="1">
      <c r="A27" s="311"/>
      <c r="B27" s="311"/>
      <c r="C27" s="311"/>
      <c r="D27" s="311"/>
      <c r="E27" s="311"/>
    </row>
  </sheetData>
  <printOptions horizontalCentered="1" verticalCentered="1"/>
  <pageMargins left="0.51181102362204722" right="0.51181102362204722" top="0.78740157480314965" bottom="0.78740157480314965" header="0.31496062992125984" footer="0.31496062992125984"/>
  <pageSetup paperSize="9" orientation="landscape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V27"/>
  <sheetViews>
    <sheetView zoomScaleNormal="100" workbookViewId="0">
      <selection sqref="A1:U1"/>
    </sheetView>
  </sheetViews>
  <sheetFormatPr defaultRowHeight="12.75"/>
  <cols>
    <col min="1" max="1" width="2.7109375" customWidth="1"/>
    <col min="2" max="2" width="2.28515625" customWidth="1"/>
    <col min="3" max="3" width="12.5703125" customWidth="1"/>
    <col min="4" max="4" width="8.85546875" bestFit="1" customWidth="1"/>
    <col min="5" max="5" width="6.7109375" customWidth="1"/>
    <col min="6" max="6" width="7.42578125" bestFit="1" customWidth="1"/>
    <col min="7" max="7" width="6.7109375" bestFit="1" customWidth="1"/>
    <col min="8" max="8" width="8.85546875" bestFit="1" customWidth="1"/>
    <col min="9" max="9" width="6.7109375" customWidth="1"/>
    <col min="10" max="10" width="1.7109375" customWidth="1"/>
    <col min="11" max="11" width="12.85546875" customWidth="1"/>
    <col min="12" max="12" width="7.7109375" bestFit="1" customWidth="1"/>
    <col min="13" max="13" width="5.42578125" bestFit="1" customWidth="1"/>
    <col min="14" max="14" width="7.5703125" bestFit="1" customWidth="1"/>
    <col min="15" max="15" width="1.7109375" customWidth="1"/>
    <col min="16" max="16" width="12.85546875" customWidth="1"/>
    <col min="17" max="17" width="8.85546875" customWidth="1"/>
    <col min="18" max="18" width="6.7109375" bestFit="1" customWidth="1"/>
    <col min="19" max="19" width="7.7109375" customWidth="1"/>
    <col min="20" max="20" width="2.28515625" customWidth="1"/>
    <col min="21" max="21" width="2.7109375" customWidth="1"/>
    <col min="22" max="22" width="8.85546875" bestFit="1" customWidth="1"/>
  </cols>
  <sheetData>
    <row r="1" spans="1:22" ht="16.5" customHeight="1">
      <c r="A1" s="1141" t="s">
        <v>463</v>
      </c>
      <c r="B1" s="1141"/>
      <c r="C1" s="1141"/>
      <c r="D1" s="1141"/>
      <c r="E1" s="1141"/>
      <c r="F1" s="1141"/>
      <c r="G1" s="1141"/>
      <c r="H1" s="1141"/>
      <c r="I1" s="1141"/>
      <c r="J1" s="1141"/>
      <c r="K1" s="1141"/>
      <c r="L1" s="1141"/>
      <c r="M1" s="1141"/>
      <c r="N1" s="1141"/>
      <c r="O1" s="1141"/>
      <c r="P1" s="1141"/>
      <c r="Q1" s="1141"/>
      <c r="R1" s="1141"/>
      <c r="S1" s="1141"/>
      <c r="T1" s="1141"/>
      <c r="U1" s="1141"/>
    </row>
    <row r="2" spans="1:22" ht="13.5" customHeight="1">
      <c r="A2" s="66"/>
      <c r="B2" s="284"/>
      <c r="C2" s="285"/>
      <c r="D2" s="285"/>
      <c r="E2" s="285"/>
      <c r="F2" s="285"/>
      <c r="G2" s="285"/>
      <c r="H2" s="285"/>
      <c r="I2" s="285"/>
      <c r="J2" s="285"/>
      <c r="K2" s="285"/>
      <c r="L2" s="285"/>
      <c r="M2" s="285"/>
      <c r="N2" s="285"/>
      <c r="O2" s="285"/>
      <c r="P2" s="285"/>
      <c r="Q2" s="285"/>
      <c r="R2" s="285"/>
      <c r="S2" s="285"/>
      <c r="T2" s="286"/>
      <c r="U2" s="65"/>
    </row>
    <row r="3" spans="1:22" ht="17.100000000000001" customHeight="1">
      <c r="A3" s="68"/>
      <c r="B3" s="566"/>
      <c r="C3" s="567"/>
      <c r="D3" s="567"/>
      <c r="E3" s="567"/>
      <c r="F3" s="567"/>
      <c r="G3" s="567"/>
      <c r="H3" s="567"/>
      <c r="I3" s="567"/>
      <c r="J3" s="567"/>
      <c r="K3" s="567"/>
      <c r="L3" s="567"/>
      <c r="M3" s="567"/>
      <c r="N3" s="567"/>
      <c r="O3" s="567"/>
      <c r="P3" s="567"/>
      <c r="Q3" s="567"/>
      <c r="R3" s="567"/>
      <c r="S3" s="567"/>
      <c r="T3" s="568"/>
      <c r="U3" s="65"/>
    </row>
    <row r="4" spans="1:22" ht="14.25" customHeight="1">
      <c r="A4" s="68"/>
      <c r="B4" s="1142" t="s">
        <v>456</v>
      </c>
      <c r="C4" s="1143"/>
      <c r="D4" s="1143"/>
      <c r="E4" s="1143"/>
      <c r="F4" s="1143"/>
      <c r="G4" s="1143"/>
      <c r="H4" s="1143"/>
      <c r="I4" s="1143"/>
      <c r="J4" s="1143"/>
      <c r="K4" s="1143"/>
      <c r="L4" s="1143"/>
      <c r="M4" s="1143"/>
      <c r="N4" s="1143"/>
      <c r="O4" s="1143"/>
      <c r="P4" s="1143"/>
      <c r="Q4" s="1143"/>
      <c r="R4" s="1143"/>
      <c r="S4" s="1143"/>
      <c r="T4" s="1144"/>
      <c r="U4" s="65"/>
    </row>
    <row r="5" spans="1:22" ht="16.5" customHeight="1">
      <c r="A5" s="68"/>
      <c r="B5" s="134"/>
      <c r="C5" s="1143"/>
      <c r="D5" s="1143"/>
      <c r="E5" s="1143"/>
      <c r="F5" s="1143"/>
      <c r="G5" s="1143"/>
      <c r="H5" s="1143"/>
      <c r="I5" s="1143"/>
      <c r="J5" s="569"/>
      <c r="K5" s="569"/>
      <c r="L5" s="569"/>
      <c r="M5" s="569"/>
      <c r="N5" s="569"/>
      <c r="O5" s="569"/>
      <c r="P5" s="569"/>
      <c r="Q5" s="569"/>
      <c r="R5" s="569"/>
      <c r="S5" s="569"/>
      <c r="T5" s="570"/>
      <c r="U5" s="66"/>
    </row>
    <row r="6" spans="1:22" ht="17.100000000000001" customHeight="1">
      <c r="A6" s="68"/>
      <c r="B6" s="105"/>
      <c r="C6" s="1146" t="s">
        <v>454</v>
      </c>
      <c r="D6" s="1146"/>
      <c r="E6" s="1146"/>
      <c r="F6" s="1146"/>
      <c r="G6" s="1146"/>
      <c r="H6" s="1146"/>
      <c r="I6" s="1146"/>
      <c r="J6" s="107"/>
      <c r="K6" s="1146" t="s">
        <v>455</v>
      </c>
      <c r="L6" s="1146"/>
      <c r="M6" s="1146"/>
      <c r="N6" s="1146"/>
      <c r="O6" s="1146"/>
      <c r="P6" s="1146"/>
      <c r="Q6" s="1146"/>
      <c r="R6" s="1146"/>
      <c r="S6" s="1146"/>
      <c r="T6" s="108"/>
      <c r="U6" s="66"/>
    </row>
    <row r="7" spans="1:22" ht="29.25" customHeight="1" thickBot="1">
      <c r="A7" s="68"/>
      <c r="B7" s="109"/>
      <c r="C7" s="1145" t="s">
        <v>515</v>
      </c>
      <c r="D7" s="1145"/>
      <c r="E7" s="1145"/>
      <c r="F7" s="1145"/>
      <c r="G7" s="1145"/>
      <c r="H7" s="1145"/>
      <c r="I7" s="1145"/>
      <c r="J7" s="107"/>
      <c r="K7" s="1145" t="s">
        <v>457</v>
      </c>
      <c r="L7" s="1145"/>
      <c r="M7" s="1145"/>
      <c r="N7" s="1145"/>
      <c r="O7" s="305"/>
      <c r="P7" s="1145" t="s">
        <v>458</v>
      </c>
      <c r="Q7" s="1145"/>
      <c r="R7" s="1145"/>
      <c r="S7" s="1145"/>
      <c r="T7" s="110"/>
      <c r="U7" s="66"/>
    </row>
    <row r="8" spans="1:22" ht="27.75" customHeight="1" thickBot="1">
      <c r="A8" s="68"/>
      <c r="B8" s="109"/>
      <c r="C8" s="397" t="s">
        <v>16</v>
      </c>
      <c r="D8" s="396" t="s">
        <v>17</v>
      </c>
      <c r="E8" s="398" t="s">
        <v>13</v>
      </c>
      <c r="F8" s="399" t="s">
        <v>337</v>
      </c>
      <c r="G8" s="397" t="s">
        <v>13</v>
      </c>
      <c r="H8" s="399" t="s">
        <v>18</v>
      </c>
      <c r="I8" s="400" t="s">
        <v>13</v>
      </c>
      <c r="J8" s="401"/>
      <c r="K8" s="397" t="s">
        <v>207</v>
      </c>
      <c r="L8" s="399" t="s">
        <v>339</v>
      </c>
      <c r="M8" s="399" t="s">
        <v>13</v>
      </c>
      <c r="N8" s="402" t="s">
        <v>338</v>
      </c>
      <c r="O8" s="401"/>
      <c r="P8" s="397" t="s">
        <v>207</v>
      </c>
      <c r="Q8" s="399" t="s">
        <v>339</v>
      </c>
      <c r="R8" s="399" t="s">
        <v>13</v>
      </c>
      <c r="S8" s="402" t="s">
        <v>338</v>
      </c>
      <c r="T8" s="571"/>
      <c r="U8" s="66"/>
    </row>
    <row r="9" spans="1:22" ht="18" customHeight="1">
      <c r="A9" s="68"/>
      <c r="B9" s="109"/>
      <c r="C9" s="295" t="s">
        <v>0</v>
      </c>
      <c r="D9" s="296">
        <v>43.234999999999999</v>
      </c>
      <c r="E9" s="232">
        <f>(D9/D25)*100</f>
        <v>30.156028764533971</v>
      </c>
      <c r="F9" s="296">
        <v>37.119</v>
      </c>
      <c r="G9" s="232">
        <f>(F9/F25)*100</f>
        <v>33.512395948068828</v>
      </c>
      <c r="H9" s="296">
        <v>21</v>
      </c>
      <c r="I9" s="237">
        <f>(H9/D9)*100</f>
        <v>48.571758991557765</v>
      </c>
      <c r="J9" s="112"/>
      <c r="K9" s="301" t="s">
        <v>2</v>
      </c>
      <c r="L9" s="238">
        <v>7290</v>
      </c>
      <c r="M9" s="238">
        <f t="shared" ref="M9:M25" si="0">(L9/$L$25)*100</f>
        <v>19.844834626378113</v>
      </c>
      <c r="N9" s="302">
        <v>1299</v>
      </c>
      <c r="O9" s="306"/>
      <c r="P9" s="628" t="s">
        <v>2</v>
      </c>
      <c r="Q9" s="308">
        <v>7897.9579999999996</v>
      </c>
      <c r="R9" s="296">
        <f t="shared" ref="R9:R25" si="1">(Q9/$Q$25)*100</f>
        <v>21.277322903061258</v>
      </c>
      <c r="S9" s="308">
        <v>1272.104</v>
      </c>
      <c r="T9" s="113"/>
      <c r="U9" s="66"/>
    </row>
    <row r="10" spans="1:22" ht="18" customHeight="1">
      <c r="A10" s="68"/>
      <c r="B10" s="109"/>
      <c r="C10" s="297" t="s">
        <v>171</v>
      </c>
      <c r="D10" s="296">
        <v>27.5</v>
      </c>
      <c r="E10" s="232">
        <f>(D10/D25)*100</f>
        <v>19.181005921699644</v>
      </c>
      <c r="F10" s="298">
        <v>20.204999999999998</v>
      </c>
      <c r="G10" s="232">
        <f>(F10/F25)*100</f>
        <v>18.241815785197087</v>
      </c>
      <c r="H10" s="298">
        <v>2.2999999999999998</v>
      </c>
      <c r="I10" s="237">
        <f t="shared" ref="I10:I25" si="2">(H10/D10)*100</f>
        <v>8.3636363636363633</v>
      </c>
      <c r="J10" s="112"/>
      <c r="K10" s="301" t="s">
        <v>194</v>
      </c>
      <c r="L10" s="238">
        <v>6756</v>
      </c>
      <c r="M10" s="238">
        <f t="shared" si="0"/>
        <v>18.391180073499388</v>
      </c>
      <c r="N10" s="302">
        <v>1295</v>
      </c>
      <c r="O10" s="306"/>
      <c r="P10" s="629" t="s">
        <v>194</v>
      </c>
      <c r="Q10" s="308">
        <v>6551.268</v>
      </c>
      <c r="R10" s="296">
        <f t="shared" si="1"/>
        <v>17.649301839854342</v>
      </c>
      <c r="S10" s="308">
        <v>1074.6969999999999</v>
      </c>
      <c r="T10" s="115"/>
      <c r="U10" s="66"/>
    </row>
    <row r="11" spans="1:22" ht="18" customHeight="1">
      <c r="A11" s="68"/>
      <c r="B11" s="109"/>
      <c r="C11" s="295" t="s">
        <v>172</v>
      </c>
      <c r="D11" s="296">
        <v>13.5</v>
      </c>
      <c r="E11" s="232">
        <f>(D11/D25)*100</f>
        <v>9.4161301797434618</v>
      </c>
      <c r="F11" s="298">
        <v>12.281000000000001</v>
      </c>
      <c r="G11" s="232">
        <f>(F11/F25)*100</f>
        <v>11.087737671764684</v>
      </c>
      <c r="H11" s="298">
        <v>1.6</v>
      </c>
      <c r="I11" s="237">
        <f t="shared" si="2"/>
        <v>11.851851851851853</v>
      </c>
      <c r="J11" s="112"/>
      <c r="K11" s="301" t="s">
        <v>196</v>
      </c>
      <c r="L11" s="238">
        <v>2992</v>
      </c>
      <c r="M11" s="238">
        <f t="shared" si="0"/>
        <v>8.1448210153804261</v>
      </c>
      <c r="N11" s="302">
        <v>548</v>
      </c>
      <c r="O11" s="306"/>
      <c r="P11" s="629" t="s">
        <v>195</v>
      </c>
      <c r="Q11" s="308">
        <v>3070.5819999999999</v>
      </c>
      <c r="R11" s="296">
        <f t="shared" si="1"/>
        <v>8.2722350149655952</v>
      </c>
      <c r="S11" s="308">
        <v>565.34400000000005</v>
      </c>
      <c r="T11" s="115"/>
      <c r="U11" s="66"/>
    </row>
    <row r="12" spans="1:22" ht="18" customHeight="1">
      <c r="A12" s="68"/>
      <c r="B12" s="109"/>
      <c r="C12" s="295" t="s">
        <v>173</v>
      </c>
      <c r="D12" s="296">
        <v>11</v>
      </c>
      <c r="E12" s="232">
        <f>(D12/D25)*100</f>
        <v>7.6724023686798581</v>
      </c>
      <c r="F12" s="298">
        <v>6.6459999999999999</v>
      </c>
      <c r="G12" s="232">
        <f>(F12/F25)*100</f>
        <v>6.0002527942796267</v>
      </c>
      <c r="H12" s="298">
        <v>4.17</v>
      </c>
      <c r="I12" s="237">
        <f t="shared" si="2"/>
        <v>37.909090909090907</v>
      </c>
      <c r="J12" s="112"/>
      <c r="K12" s="301" t="s">
        <v>195</v>
      </c>
      <c r="L12" s="238">
        <v>2757</v>
      </c>
      <c r="M12" s="238">
        <f t="shared" si="0"/>
        <v>7.5051041241322984</v>
      </c>
      <c r="N12" s="302">
        <v>550</v>
      </c>
      <c r="O12" s="306"/>
      <c r="P12" s="629" t="s">
        <v>197</v>
      </c>
      <c r="Q12" s="308">
        <v>2527.114</v>
      </c>
      <c r="R12" s="296">
        <f t="shared" si="1"/>
        <v>6.8081168057422881</v>
      </c>
      <c r="S12" s="308">
        <v>490.75400000000002</v>
      </c>
      <c r="T12" s="115"/>
      <c r="U12" s="66"/>
    </row>
    <row r="13" spans="1:22" ht="18" customHeight="1">
      <c r="A13" s="68"/>
      <c r="B13" s="109"/>
      <c r="C13" s="295" t="s">
        <v>174</v>
      </c>
      <c r="D13" s="296">
        <v>6.4</v>
      </c>
      <c r="E13" s="232">
        <f>(D13/D25)*100</f>
        <v>4.4639431963228269</v>
      </c>
      <c r="F13" s="298">
        <v>2.8719999999999999</v>
      </c>
      <c r="G13" s="232">
        <f>(F13/F25)*100</f>
        <v>2.5929470395984184</v>
      </c>
      <c r="H13" s="298">
        <v>3.7</v>
      </c>
      <c r="I13" s="237">
        <f t="shared" si="2"/>
        <v>57.8125</v>
      </c>
      <c r="J13" s="112"/>
      <c r="K13" s="301" t="s">
        <v>197</v>
      </c>
      <c r="L13" s="238">
        <v>2723</v>
      </c>
      <c r="M13" s="238">
        <f t="shared" si="0"/>
        <v>7.4125493398666125</v>
      </c>
      <c r="N13" s="302">
        <v>547</v>
      </c>
      <c r="O13" s="306"/>
      <c r="P13" s="629" t="s">
        <v>196</v>
      </c>
      <c r="Q13" s="308">
        <v>2291.6469999999999</v>
      </c>
      <c r="R13" s="296">
        <f t="shared" si="1"/>
        <v>6.1737620279611036</v>
      </c>
      <c r="S13" s="308">
        <v>406.476</v>
      </c>
      <c r="T13" s="115"/>
      <c r="U13" s="66"/>
    </row>
    <row r="14" spans="1:22" ht="18" customHeight="1">
      <c r="A14" s="68"/>
      <c r="B14" s="109"/>
      <c r="C14" s="295" t="s">
        <v>175</v>
      </c>
      <c r="D14" s="296">
        <v>5.8</v>
      </c>
      <c r="E14" s="232">
        <f>(D14/D25)*100</f>
        <v>4.0454485216675611</v>
      </c>
      <c r="F14" s="296">
        <v>5.1150000000000002</v>
      </c>
      <c r="G14" s="232">
        <f>(F14/F25)*100</f>
        <v>4.618009786749969</v>
      </c>
      <c r="H14" s="298">
        <v>2.25</v>
      </c>
      <c r="I14" s="237">
        <f t="shared" si="2"/>
        <v>38.793103448275865</v>
      </c>
      <c r="J14" s="112"/>
      <c r="K14" s="301" t="s">
        <v>198</v>
      </c>
      <c r="L14" s="238">
        <v>1000</v>
      </c>
      <c r="M14" s="238">
        <f t="shared" si="0"/>
        <v>2.7221995372260785</v>
      </c>
      <c r="N14" s="302">
        <v>168</v>
      </c>
      <c r="O14" s="306"/>
      <c r="P14" s="1037" t="s">
        <v>200</v>
      </c>
      <c r="Q14" s="308">
        <v>1042.9000000000001</v>
      </c>
      <c r="R14" s="296">
        <f t="shared" si="1"/>
        <v>2.8096021852233943</v>
      </c>
      <c r="S14" s="308">
        <v>174.02</v>
      </c>
      <c r="T14" s="115"/>
      <c r="U14" s="66"/>
    </row>
    <row r="15" spans="1:22" ht="18" customHeight="1">
      <c r="A15" s="68"/>
      <c r="B15" s="109"/>
      <c r="C15" s="295" t="s">
        <v>177</v>
      </c>
      <c r="D15" s="296">
        <v>5.8</v>
      </c>
      <c r="E15" s="232">
        <f>(D15/D25)*100</f>
        <v>4.0454485216675611</v>
      </c>
      <c r="F15" s="298">
        <v>5.0199999999999996</v>
      </c>
      <c r="G15" s="232">
        <f>(F15/F25)*100</f>
        <v>4.5322402990195183</v>
      </c>
      <c r="H15" s="298">
        <v>0.25</v>
      </c>
      <c r="I15" s="237">
        <f t="shared" si="2"/>
        <v>4.3103448275862073</v>
      </c>
      <c r="J15" s="112"/>
      <c r="K15" s="301" t="s">
        <v>199</v>
      </c>
      <c r="L15" s="238">
        <v>853</v>
      </c>
      <c r="M15" s="238">
        <f t="shared" si="0"/>
        <v>2.3220362052538452</v>
      </c>
      <c r="N15" s="302">
        <v>165</v>
      </c>
      <c r="O15" s="306"/>
      <c r="P15" s="1037" t="s">
        <v>202</v>
      </c>
      <c r="Q15" s="308">
        <v>815.55399999999997</v>
      </c>
      <c r="R15" s="296">
        <f t="shared" si="1"/>
        <v>2.1971256118205771</v>
      </c>
      <c r="S15" s="308">
        <v>117.19499999999999</v>
      </c>
      <c r="T15" s="115"/>
      <c r="U15" s="66"/>
      <c r="V15" s="56"/>
    </row>
    <row r="16" spans="1:22" ht="18" customHeight="1">
      <c r="A16" s="68"/>
      <c r="B16" s="109"/>
      <c r="C16" s="295" t="s">
        <v>179</v>
      </c>
      <c r="D16" s="296">
        <v>4.8</v>
      </c>
      <c r="E16" s="232">
        <f>(D16/D25)*100</f>
        <v>3.3479573972421197</v>
      </c>
      <c r="F16" s="296">
        <v>3.4550000000000001</v>
      </c>
      <c r="G16" s="232">
        <f>(F16/F25)*100</f>
        <v>3.1193008432494898</v>
      </c>
      <c r="H16" s="296">
        <v>0.34499999999999997</v>
      </c>
      <c r="I16" s="237">
        <f t="shared" si="2"/>
        <v>7.1874999999999991</v>
      </c>
      <c r="J16" s="112"/>
      <c r="K16" s="301" t="s">
        <v>203</v>
      </c>
      <c r="L16" s="238">
        <v>825</v>
      </c>
      <c r="M16" s="238">
        <f t="shared" si="0"/>
        <v>2.2458146182115146</v>
      </c>
      <c r="N16" s="302">
        <v>151</v>
      </c>
      <c r="O16" s="306"/>
      <c r="P16" s="1037" t="s">
        <v>198</v>
      </c>
      <c r="Q16" s="308">
        <v>760.43700000000001</v>
      </c>
      <c r="R16" s="296">
        <f t="shared" si="1"/>
        <v>2.0486388502490382</v>
      </c>
      <c r="S16" s="308">
        <v>127.767</v>
      </c>
      <c r="T16" s="115"/>
      <c r="U16" s="66"/>
      <c r="V16" s="56"/>
    </row>
    <row r="17" spans="1:22" ht="18" customHeight="1">
      <c r="A17" s="68"/>
      <c r="B17" s="116"/>
      <c r="C17" s="295" t="s">
        <v>178</v>
      </c>
      <c r="D17" s="296">
        <v>3.9</v>
      </c>
      <c r="E17" s="232">
        <f>(D17/D25)*100</f>
        <v>2.7202153852592224</v>
      </c>
      <c r="F17" s="298">
        <v>2.4670000000000001</v>
      </c>
      <c r="G17" s="232">
        <f>(F17/F25)*100</f>
        <v>2.2272981708528197</v>
      </c>
      <c r="H17" s="298">
        <v>2.3540000000000001</v>
      </c>
      <c r="I17" s="237">
        <f t="shared" si="2"/>
        <v>60.358974358974358</v>
      </c>
      <c r="J17" s="112"/>
      <c r="K17" s="301" t="s">
        <v>205</v>
      </c>
      <c r="L17" s="238">
        <v>818</v>
      </c>
      <c r="M17" s="238">
        <f t="shared" si="0"/>
        <v>2.2267592214509322</v>
      </c>
      <c r="N17" s="302">
        <v>105</v>
      </c>
      <c r="O17" s="306"/>
      <c r="P17" s="1037" t="s">
        <v>199</v>
      </c>
      <c r="Q17" s="308">
        <v>754.10400000000004</v>
      </c>
      <c r="R17" s="296">
        <f t="shared" si="1"/>
        <v>2.0315775685930602</v>
      </c>
      <c r="S17" s="308">
        <v>156.465</v>
      </c>
      <c r="T17" s="117"/>
      <c r="U17" s="66"/>
      <c r="V17" s="56"/>
    </row>
    <row r="18" spans="1:22" ht="18" customHeight="1">
      <c r="A18" s="68"/>
      <c r="B18" s="116"/>
      <c r="C18" s="295" t="s">
        <v>180</v>
      </c>
      <c r="D18" s="296">
        <v>3.4</v>
      </c>
      <c r="E18" s="232">
        <f>(D18/D25)*100</f>
        <v>2.3714698230465014</v>
      </c>
      <c r="F18" s="298">
        <v>2.9430000000000001</v>
      </c>
      <c r="G18" s="232">
        <f>(F18/F25)*100</f>
        <v>2.6570484462180173</v>
      </c>
      <c r="H18" s="298">
        <v>0.34</v>
      </c>
      <c r="I18" s="237">
        <f t="shared" si="2"/>
        <v>10</v>
      </c>
      <c r="J18" s="112"/>
      <c r="K18" s="301" t="s">
        <v>200</v>
      </c>
      <c r="L18" s="238">
        <v>783</v>
      </c>
      <c r="M18" s="238">
        <f t="shared" si="0"/>
        <v>2.1314822376480196</v>
      </c>
      <c r="N18" s="302">
        <v>145</v>
      </c>
      <c r="O18" s="306"/>
      <c r="P18" s="1037" t="s">
        <v>178</v>
      </c>
      <c r="Q18" s="308">
        <v>749.66300000000001</v>
      </c>
      <c r="R18" s="296">
        <f t="shared" si="1"/>
        <v>2.0196133886097662</v>
      </c>
      <c r="S18" s="308">
        <v>92.382999999999996</v>
      </c>
      <c r="T18" s="117"/>
      <c r="U18" s="65"/>
      <c r="V18" s="56"/>
    </row>
    <row r="19" spans="1:22" ht="18" customHeight="1">
      <c r="A19" s="68"/>
      <c r="B19" s="116"/>
      <c r="C19" s="295" t="s">
        <v>176</v>
      </c>
      <c r="D19" s="296">
        <v>3.2</v>
      </c>
      <c r="E19" s="232">
        <f>(D19/D25)*100</f>
        <v>2.2319715981614134</v>
      </c>
      <c r="F19" s="298">
        <v>2.4430000000000001</v>
      </c>
      <c r="G19" s="232">
        <f>(F19/F25)*100</f>
        <v>2.2056300897419692</v>
      </c>
      <c r="H19" s="298">
        <v>0.3</v>
      </c>
      <c r="I19" s="237">
        <f t="shared" si="2"/>
        <v>9.3749999999999982</v>
      </c>
      <c r="J19" s="112"/>
      <c r="K19" s="301" t="s">
        <v>178</v>
      </c>
      <c r="L19" s="238">
        <v>722</v>
      </c>
      <c r="M19" s="238">
        <f t="shared" si="0"/>
        <v>1.9654280658772287</v>
      </c>
      <c r="N19" s="302">
        <v>107</v>
      </c>
      <c r="O19" s="306"/>
      <c r="P19" s="1037" t="s">
        <v>298</v>
      </c>
      <c r="Q19" s="308">
        <v>731.85900000000004</v>
      </c>
      <c r="R19" s="296">
        <f t="shared" si="1"/>
        <v>1.9716489075418624</v>
      </c>
      <c r="S19" s="308">
        <v>118.461</v>
      </c>
      <c r="T19" s="108"/>
      <c r="U19" s="65"/>
      <c r="V19" s="56"/>
    </row>
    <row r="20" spans="1:22" ht="18" customHeight="1">
      <c r="A20" s="68"/>
      <c r="B20" s="116"/>
      <c r="C20" s="295" t="s">
        <v>514</v>
      </c>
      <c r="D20" s="296">
        <v>1.8</v>
      </c>
      <c r="E20" s="232">
        <f>(D20/D25)*100</f>
        <v>1.2554840239657949</v>
      </c>
      <c r="F20" s="298">
        <v>1.4379999999999999</v>
      </c>
      <c r="G20" s="232">
        <f>(F20/F25)*100</f>
        <v>1.2982791932251132</v>
      </c>
      <c r="H20" s="298">
        <v>0.3</v>
      </c>
      <c r="I20" s="237">
        <f t="shared" si="2"/>
        <v>16.666666666666664</v>
      </c>
      <c r="J20" s="112"/>
      <c r="K20" s="301" t="s">
        <v>201</v>
      </c>
      <c r="L20" s="238">
        <v>634</v>
      </c>
      <c r="M20" s="238">
        <f t="shared" si="0"/>
        <v>1.7258745066013339</v>
      </c>
      <c r="N20" s="302">
        <v>121</v>
      </c>
      <c r="O20" s="306"/>
      <c r="P20" s="1037" t="s">
        <v>450</v>
      </c>
      <c r="Q20" s="308">
        <v>618.12699999999995</v>
      </c>
      <c r="R20" s="296">
        <f t="shared" si="1"/>
        <v>1.6652516731667282</v>
      </c>
      <c r="S20" s="308">
        <v>80.628</v>
      </c>
      <c r="T20" s="108"/>
      <c r="U20" s="65"/>
      <c r="V20" s="56"/>
    </row>
    <row r="21" spans="1:22" ht="18" customHeight="1">
      <c r="A21" s="68"/>
      <c r="B21" s="116"/>
      <c r="C21" s="295" t="s">
        <v>183</v>
      </c>
      <c r="D21" s="296">
        <v>1.4924999999999999</v>
      </c>
      <c r="E21" s="232">
        <f>(D21/D25)*100</f>
        <v>1.0410055032049716</v>
      </c>
      <c r="F21" s="298">
        <v>1.133</v>
      </c>
      <c r="G21" s="232">
        <f>(F21/F25)*100</f>
        <v>1.0229139957747242</v>
      </c>
      <c r="H21" s="298">
        <v>0.2</v>
      </c>
      <c r="I21" s="237">
        <f t="shared" si="2"/>
        <v>13.400335008375212</v>
      </c>
      <c r="J21" s="112"/>
      <c r="K21" s="301" t="s">
        <v>202</v>
      </c>
      <c r="L21" s="238">
        <v>633</v>
      </c>
      <c r="M21" s="238">
        <f t="shared" si="0"/>
        <v>1.7231523070641079</v>
      </c>
      <c r="N21" s="302">
        <v>93</v>
      </c>
      <c r="O21" s="306"/>
      <c r="P21" s="1037" t="s">
        <v>201</v>
      </c>
      <c r="Q21" s="308">
        <v>607.80700000000002</v>
      </c>
      <c r="R21" s="296">
        <f t="shared" si="1"/>
        <v>1.6374493004066311</v>
      </c>
      <c r="S21" s="308">
        <v>98.738</v>
      </c>
      <c r="T21" s="108"/>
      <c r="U21" s="65"/>
      <c r="V21" s="56"/>
    </row>
    <row r="22" spans="1:22" ht="18" customHeight="1">
      <c r="A22" s="68"/>
      <c r="B22" s="116"/>
      <c r="C22" s="295" t="s">
        <v>517</v>
      </c>
      <c r="D22" s="296">
        <v>0.83299999999999996</v>
      </c>
      <c r="E22" s="232">
        <f>(D22/D25)*100</f>
        <v>0.58101010664639285</v>
      </c>
      <c r="F22" s="296">
        <v>0.69699999999999995</v>
      </c>
      <c r="G22" s="232">
        <f>(F22/F25)*100</f>
        <v>0.62927718892761053</v>
      </c>
      <c r="H22" s="298">
        <v>0.05</v>
      </c>
      <c r="I22" s="237">
        <f t="shared" si="2"/>
        <v>6.0024009603841542</v>
      </c>
      <c r="J22" s="112"/>
      <c r="K22" s="301" t="s">
        <v>206</v>
      </c>
      <c r="L22" s="238">
        <v>517</v>
      </c>
      <c r="M22" s="238">
        <f t="shared" si="0"/>
        <v>1.4073771607458827</v>
      </c>
      <c r="N22" s="302">
        <v>110</v>
      </c>
      <c r="O22" s="306"/>
      <c r="P22" s="1037" t="s">
        <v>308</v>
      </c>
      <c r="Q22" s="308">
        <v>540.077</v>
      </c>
      <c r="R22" s="296">
        <f t="shared" si="1"/>
        <v>1.4549827590266515</v>
      </c>
      <c r="S22" s="308">
        <v>100.363</v>
      </c>
      <c r="T22" s="108"/>
      <c r="U22" s="65"/>
      <c r="V22" s="56"/>
    </row>
    <row r="23" spans="1:22" ht="18" customHeight="1">
      <c r="A23" s="68"/>
      <c r="B23" s="116"/>
      <c r="C23" s="295" t="s">
        <v>516</v>
      </c>
      <c r="D23" s="296">
        <v>0.7</v>
      </c>
      <c r="E23" s="232">
        <f>(D23/D25)*100</f>
        <v>0.48824378709780908</v>
      </c>
      <c r="F23" s="298">
        <v>1.089</v>
      </c>
      <c r="G23" s="232">
        <f>(F23/F25)*100</f>
        <v>0.98318918040483194</v>
      </c>
      <c r="H23" s="298">
        <v>0.155</v>
      </c>
      <c r="I23" s="237">
        <f t="shared" si="2"/>
        <v>22.142857142857146</v>
      </c>
      <c r="J23" s="112"/>
      <c r="K23" s="301" t="s">
        <v>1</v>
      </c>
      <c r="L23" s="238">
        <v>235</v>
      </c>
      <c r="M23" s="238">
        <f t="shared" si="0"/>
        <v>0.63971689124812847</v>
      </c>
      <c r="N23" s="302">
        <v>33</v>
      </c>
      <c r="O23" s="306"/>
      <c r="P23" s="1037" t="s">
        <v>451</v>
      </c>
      <c r="Q23" s="308">
        <v>438.03699999999998</v>
      </c>
      <c r="R23" s="296">
        <f t="shared" si="1"/>
        <v>1.1800841043328216</v>
      </c>
      <c r="S23" s="308">
        <v>72.903999999999996</v>
      </c>
      <c r="T23" s="108"/>
      <c r="U23" s="65"/>
      <c r="V23" s="56"/>
    </row>
    <row r="24" spans="1:22" ht="20.100000000000001" customHeight="1" thickBot="1">
      <c r="A24" s="68"/>
      <c r="B24" s="116"/>
      <c r="C24" s="299" t="s">
        <v>192</v>
      </c>
      <c r="D24" s="300">
        <f>D25-SUM(D9:D23)</f>
        <v>10.010500000000008</v>
      </c>
      <c r="E24" s="233">
        <f>(D24/D25)*100</f>
        <v>6.9822349010608891</v>
      </c>
      <c r="F24" s="300">
        <f>F25-SUM(F9:F23)</f>
        <v>5.8390000000000128</v>
      </c>
      <c r="G24" s="233">
        <f>(F24/F25)*100</f>
        <v>5.2716635669272964</v>
      </c>
      <c r="H24" s="300">
        <f>H25-SUM(H9:H23)</f>
        <v>8.7199999999999989</v>
      </c>
      <c r="I24" s="1064">
        <f t="shared" si="2"/>
        <v>87.108536037160903</v>
      </c>
      <c r="J24" s="112"/>
      <c r="K24" s="303" t="s">
        <v>15</v>
      </c>
      <c r="L24" s="239">
        <v>7197</v>
      </c>
      <c r="M24" s="239">
        <f t="shared" si="0"/>
        <v>19.591670069416089</v>
      </c>
      <c r="N24" s="304">
        <v>1225</v>
      </c>
      <c r="O24" s="306"/>
      <c r="P24" s="631" t="s">
        <v>15</v>
      </c>
      <c r="Q24" s="310">
        <v>7722</v>
      </c>
      <c r="R24" s="300">
        <f t="shared" si="1"/>
        <v>20.803287059444862</v>
      </c>
      <c r="S24" s="308">
        <v>1210.355</v>
      </c>
      <c r="T24" s="108"/>
      <c r="U24" s="65"/>
      <c r="V24" s="56"/>
    </row>
    <row r="25" spans="1:22" ht="18" customHeight="1" thickBot="1">
      <c r="A25" s="68"/>
      <c r="B25" s="116"/>
      <c r="C25" s="368" t="s">
        <v>116</v>
      </c>
      <c r="D25" s="369">
        <v>143.37100000000001</v>
      </c>
      <c r="E25" s="370">
        <f>SUM(E9:E24)</f>
        <v>100.00000000000001</v>
      </c>
      <c r="F25" s="369">
        <v>110.762</v>
      </c>
      <c r="G25" s="370">
        <f>SUM(G9:G24)</f>
        <v>100.00000000000003</v>
      </c>
      <c r="H25" s="371">
        <v>48.033999999999999</v>
      </c>
      <c r="I25" s="1065">
        <f t="shared" si="2"/>
        <v>33.503288670651663</v>
      </c>
      <c r="J25" s="118"/>
      <c r="K25" s="365" t="s">
        <v>116</v>
      </c>
      <c r="L25" s="372">
        <v>36735</v>
      </c>
      <c r="M25" s="373">
        <f t="shared" si="0"/>
        <v>100</v>
      </c>
      <c r="N25" s="367">
        <v>6662</v>
      </c>
      <c r="O25" s="572"/>
      <c r="P25" s="365" t="s">
        <v>116</v>
      </c>
      <c r="Q25" s="630">
        <f>SUM(Q9:Q24)</f>
        <v>37119.134000000005</v>
      </c>
      <c r="R25" s="366">
        <f t="shared" si="1"/>
        <v>100</v>
      </c>
      <c r="S25" s="367">
        <f>SUM(S9:S24)</f>
        <v>6158.6540000000005</v>
      </c>
      <c r="T25" s="108"/>
      <c r="U25" s="65"/>
      <c r="V25" s="56"/>
    </row>
    <row r="26" spans="1:22" ht="16.5" customHeight="1">
      <c r="A26" s="65"/>
      <c r="B26" s="119"/>
      <c r="C26" s="573" t="s">
        <v>193</v>
      </c>
      <c r="D26" s="121"/>
      <c r="E26" s="121"/>
      <c r="F26" s="121"/>
      <c r="G26" s="121"/>
      <c r="H26" s="121"/>
      <c r="I26" s="121"/>
      <c r="J26" s="121"/>
      <c r="K26" s="574" t="s">
        <v>225</v>
      </c>
      <c r="L26" s="574"/>
      <c r="M26" s="574"/>
      <c r="N26" s="574"/>
      <c r="O26" s="575"/>
      <c r="P26" s="574" t="s">
        <v>225</v>
      </c>
      <c r="Q26" s="575"/>
      <c r="R26" s="575"/>
      <c r="S26" s="307">
        <f ca="1">NOW()</f>
        <v>42411.803437962961</v>
      </c>
      <c r="T26" s="139"/>
      <c r="U26" s="65"/>
      <c r="V26" s="56"/>
    </row>
    <row r="27" spans="1:22" ht="15">
      <c r="A27" s="65"/>
      <c r="B27" s="65"/>
      <c r="C27" s="65"/>
      <c r="D27" s="65"/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5"/>
      <c r="R27" s="65"/>
      <c r="S27" s="65"/>
      <c r="T27" s="65"/>
      <c r="U27" s="65"/>
      <c r="V27" s="56"/>
    </row>
  </sheetData>
  <mergeCells count="8">
    <mergeCell ref="A1:U1"/>
    <mergeCell ref="B4:T4"/>
    <mergeCell ref="K7:N7"/>
    <mergeCell ref="C6:I6"/>
    <mergeCell ref="C7:I7"/>
    <mergeCell ref="P7:S7"/>
    <mergeCell ref="C5:I5"/>
    <mergeCell ref="K6:S6"/>
  </mergeCells>
  <phoneticPr fontId="13" type="noConversion"/>
  <printOptions horizontalCentered="1" verticalCentered="1"/>
  <pageMargins left="0.51181102362204722" right="0.51181102362204722" top="0.78740157480314965" bottom="0.78740157480314965" header="0.31496062992125984" footer="0.31496062992125984"/>
  <pageSetup paperSize="9" scale="95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R29"/>
  <sheetViews>
    <sheetView zoomScaleNormal="100" workbookViewId="0">
      <selection activeCell="T24" sqref="T24"/>
    </sheetView>
  </sheetViews>
  <sheetFormatPr defaultRowHeight="12.75"/>
  <cols>
    <col min="1" max="2" width="2.7109375" customWidth="1"/>
    <col min="3" max="3" width="10.5703125" customWidth="1"/>
    <col min="4" max="5" width="11.5703125" bestFit="1" customWidth="1"/>
    <col min="6" max="6" width="7" customWidth="1"/>
    <col min="7" max="8" width="8.7109375" bestFit="1" customWidth="1"/>
    <col min="9" max="9" width="7.5703125" bestFit="1" customWidth="1"/>
    <col min="10" max="10" width="2.7109375" customWidth="1"/>
    <col min="11" max="11" width="11.42578125" bestFit="1" customWidth="1"/>
    <col min="12" max="12" width="10.140625" bestFit="1" customWidth="1"/>
    <col min="13" max="13" width="11.5703125" bestFit="1" customWidth="1"/>
    <col min="14" max="14" width="13.5703125" bestFit="1" customWidth="1"/>
    <col min="15" max="15" width="8.140625" customWidth="1"/>
    <col min="16" max="17" width="2.7109375" customWidth="1"/>
  </cols>
  <sheetData>
    <row r="1" spans="1:18" ht="12" customHeight="1">
      <c r="A1" s="1152" t="s">
        <v>464</v>
      </c>
      <c r="B1" s="1152"/>
      <c r="C1" s="1152"/>
      <c r="D1" s="1152"/>
      <c r="E1" s="1152"/>
      <c r="F1" s="1152"/>
      <c r="G1" s="1152"/>
      <c r="H1" s="1152"/>
      <c r="I1" s="1152"/>
      <c r="J1" s="1152"/>
      <c r="K1" s="1152"/>
      <c r="L1" s="1152"/>
      <c r="M1" s="1152"/>
      <c r="N1" s="1152"/>
      <c r="O1" s="1152"/>
      <c r="P1" s="1152"/>
      <c r="Q1" s="1152"/>
    </row>
    <row r="2" spans="1:18" ht="15.95" customHeight="1">
      <c r="A2" s="66"/>
      <c r="B2" s="1055"/>
      <c r="C2" s="1056"/>
      <c r="D2" s="1056"/>
      <c r="E2" s="1056"/>
      <c r="F2" s="1056"/>
      <c r="G2" s="1056"/>
      <c r="H2" s="1056"/>
      <c r="I2" s="1056"/>
      <c r="J2" s="1056"/>
      <c r="K2" s="1056"/>
      <c r="L2" s="1056"/>
      <c r="M2" s="1056"/>
      <c r="N2" s="1056"/>
      <c r="O2" s="1056"/>
      <c r="P2" s="1057"/>
      <c r="Q2" s="66"/>
    </row>
    <row r="3" spans="1:18" ht="15.95" customHeight="1">
      <c r="A3" s="66"/>
      <c r="B3" s="413"/>
      <c r="C3" s="317"/>
      <c r="D3" s="317"/>
      <c r="E3" s="317"/>
      <c r="F3" s="317"/>
      <c r="G3" s="317"/>
      <c r="H3" s="317"/>
      <c r="I3" s="317"/>
      <c r="J3" s="317"/>
      <c r="K3" s="317"/>
      <c r="L3" s="317"/>
      <c r="M3" s="317"/>
      <c r="N3" s="317"/>
      <c r="O3" s="317"/>
      <c r="P3" s="414"/>
      <c r="Q3" s="66"/>
    </row>
    <row r="4" spans="1:18" ht="15.95" customHeight="1">
      <c r="A4" s="66"/>
      <c r="B4" s="1142" t="s">
        <v>449</v>
      </c>
      <c r="C4" s="1143"/>
      <c r="D4" s="1143"/>
      <c r="E4" s="1143"/>
      <c r="F4" s="1143"/>
      <c r="G4" s="1143"/>
      <c r="H4" s="1143"/>
      <c r="I4" s="1143"/>
      <c r="J4" s="1143"/>
      <c r="K4" s="1143"/>
      <c r="L4" s="1143"/>
      <c r="M4" s="1143"/>
      <c r="N4" s="1143"/>
      <c r="O4" s="1143"/>
      <c r="P4" s="1144"/>
      <c r="Q4" s="66"/>
    </row>
    <row r="5" spans="1:18" ht="15.95" customHeight="1">
      <c r="A5" s="66"/>
      <c r="B5" s="392"/>
      <c r="C5" s="393"/>
      <c r="D5" s="393"/>
      <c r="E5" s="393"/>
      <c r="F5" s="393"/>
      <c r="G5" s="393"/>
      <c r="H5" s="393"/>
      <c r="I5" s="393"/>
      <c r="J5" s="393"/>
      <c r="K5" s="393"/>
      <c r="L5" s="393"/>
      <c r="M5" s="393"/>
      <c r="N5" s="393"/>
      <c r="O5" s="393"/>
      <c r="P5" s="394"/>
      <c r="Q5" s="66"/>
    </row>
    <row r="6" spans="1:18" ht="15.95" customHeight="1" thickBot="1">
      <c r="A6" s="66"/>
      <c r="B6" s="392"/>
      <c r="C6" s="1084" t="s">
        <v>314</v>
      </c>
      <c r="D6" s="1063"/>
      <c r="E6" s="1063"/>
      <c r="F6" s="1063"/>
      <c r="G6" s="1063"/>
      <c r="H6" s="1063"/>
      <c r="I6" s="1063"/>
      <c r="J6" s="393"/>
      <c r="K6" s="145" t="s">
        <v>313</v>
      </c>
      <c r="L6" s="1063"/>
      <c r="M6" s="1063"/>
      <c r="N6" s="1063"/>
      <c r="O6" s="1063"/>
      <c r="P6" s="394"/>
      <c r="Q6" s="66"/>
    </row>
    <row r="7" spans="1:18" ht="18" customHeight="1">
      <c r="A7" s="66"/>
      <c r="B7" s="315"/>
      <c r="C7" s="415" t="s">
        <v>214</v>
      </c>
      <c r="D7" s="1147" t="s">
        <v>274</v>
      </c>
      <c r="E7" s="1148"/>
      <c r="F7" s="1149"/>
      <c r="G7" s="1147" t="s">
        <v>275</v>
      </c>
      <c r="H7" s="1148"/>
      <c r="I7" s="1148"/>
      <c r="J7" s="141"/>
      <c r="K7" s="415" t="s">
        <v>276</v>
      </c>
      <c r="L7" s="416" t="s">
        <v>269</v>
      </c>
      <c r="M7" s="416" t="s">
        <v>270</v>
      </c>
      <c r="N7" s="416" t="s">
        <v>271</v>
      </c>
      <c r="O7" s="1150" t="s">
        <v>13</v>
      </c>
      <c r="P7" s="114"/>
      <c r="Q7" s="66"/>
    </row>
    <row r="8" spans="1:18" ht="17.100000000000001" customHeight="1" thickBot="1">
      <c r="A8" s="66"/>
      <c r="B8" s="315"/>
      <c r="C8" s="417" t="s">
        <v>213</v>
      </c>
      <c r="D8" s="418">
        <v>2015</v>
      </c>
      <c r="E8" s="419">
        <v>2016</v>
      </c>
      <c r="F8" s="420" t="s">
        <v>13</v>
      </c>
      <c r="G8" s="421">
        <v>2015</v>
      </c>
      <c r="H8" s="419">
        <v>2016</v>
      </c>
      <c r="I8" s="422" t="s">
        <v>13</v>
      </c>
      <c r="J8" s="141"/>
      <c r="K8" s="417" t="s">
        <v>213</v>
      </c>
      <c r="L8" s="420" t="s">
        <v>272</v>
      </c>
      <c r="M8" s="420" t="s">
        <v>273</v>
      </c>
      <c r="N8" s="420" t="s">
        <v>278</v>
      </c>
      <c r="O8" s="1151"/>
      <c r="P8" s="114"/>
      <c r="Q8" s="66"/>
    </row>
    <row r="9" spans="1:18" ht="17.100000000000001" customHeight="1">
      <c r="A9" s="66"/>
      <c r="B9" s="315"/>
      <c r="C9" s="221" t="s">
        <v>4</v>
      </c>
      <c r="D9" s="222">
        <v>87657</v>
      </c>
      <c r="E9" s="223">
        <v>87657</v>
      </c>
      <c r="F9" s="230">
        <f>(E9/D9-1)*100</f>
        <v>0</v>
      </c>
      <c r="G9" s="358">
        <v>1724</v>
      </c>
      <c r="H9" s="355">
        <v>1678</v>
      </c>
      <c r="I9" s="362">
        <f>(H9/G9-1)*100</f>
        <v>-2.6682134570765625</v>
      </c>
      <c r="J9" s="107"/>
      <c r="K9" s="221" t="s">
        <v>4</v>
      </c>
      <c r="L9" s="222">
        <v>1434</v>
      </c>
      <c r="M9" s="222">
        <v>12205</v>
      </c>
      <c r="N9" s="222">
        <v>6960</v>
      </c>
      <c r="O9" s="224">
        <f>(N9/E9)*100</f>
        <v>7.9400390157089564</v>
      </c>
      <c r="P9" s="114"/>
      <c r="Q9" s="66"/>
    </row>
    <row r="10" spans="1:18" ht="15.75">
      <c r="A10" s="66"/>
      <c r="B10" s="315"/>
      <c r="C10" s="221" t="s">
        <v>5</v>
      </c>
      <c r="D10" s="222">
        <v>1243</v>
      </c>
      <c r="E10" s="222">
        <v>1243</v>
      </c>
      <c r="F10" s="230">
        <f t="shared" ref="F10:F27" si="0">(E10/D10-1)*100</f>
        <v>0</v>
      </c>
      <c r="G10" s="359">
        <v>16.600000000000001</v>
      </c>
      <c r="H10" s="355">
        <v>16.600000000000001</v>
      </c>
      <c r="I10" s="363">
        <f t="shared" ref="I10:I27" si="1">(H10/G10-1)*100</f>
        <v>0</v>
      </c>
      <c r="J10" s="107"/>
      <c r="K10" s="221" t="s">
        <v>5</v>
      </c>
      <c r="L10" s="222">
        <v>0</v>
      </c>
      <c r="M10" s="222">
        <v>0</v>
      </c>
      <c r="N10" s="222">
        <v>0</v>
      </c>
      <c r="O10" s="224">
        <f t="shared" ref="O10:O27" si="2">(N10/E10)*100</f>
        <v>0</v>
      </c>
      <c r="P10" s="114"/>
      <c r="Q10" s="66"/>
    </row>
    <row r="11" spans="1:18" ht="21" customHeight="1">
      <c r="A11" s="66"/>
      <c r="B11" s="315"/>
      <c r="C11" s="221" t="s">
        <v>6</v>
      </c>
      <c r="D11" s="222">
        <v>138678</v>
      </c>
      <c r="E11" s="222">
        <v>147760</v>
      </c>
      <c r="F11" s="230">
        <f t="shared" si="0"/>
        <v>6.5489839772710834</v>
      </c>
      <c r="G11" s="359">
        <v>2346</v>
      </c>
      <c r="H11" s="355">
        <v>3137</v>
      </c>
      <c r="I11" s="363">
        <f t="shared" si="1"/>
        <v>33.716965046888326</v>
      </c>
      <c r="J11" s="107"/>
      <c r="K11" s="221" t="s">
        <v>6</v>
      </c>
      <c r="L11" s="222">
        <v>936</v>
      </c>
      <c r="M11" s="222">
        <v>169456</v>
      </c>
      <c r="N11" s="222">
        <v>36710</v>
      </c>
      <c r="O11" s="224">
        <f t="shared" si="2"/>
        <v>24.844342176502437</v>
      </c>
      <c r="P11" s="114"/>
      <c r="Q11" s="66"/>
    </row>
    <row r="12" spans="1:18" ht="17.100000000000001" customHeight="1">
      <c r="A12" s="66"/>
      <c r="B12" s="315"/>
      <c r="C12" s="219" t="s">
        <v>215</v>
      </c>
      <c r="D12" s="238">
        <v>9129</v>
      </c>
      <c r="E12" s="238">
        <v>10787</v>
      </c>
      <c r="F12" s="232">
        <f t="shared" si="0"/>
        <v>18.161901632161246</v>
      </c>
      <c r="G12" s="301">
        <v>338</v>
      </c>
      <c r="H12" s="302">
        <v>400</v>
      </c>
      <c r="I12" s="235">
        <f t="shared" si="1"/>
        <v>18.343195266272193</v>
      </c>
      <c r="J12" s="107"/>
      <c r="K12" s="219" t="s">
        <v>215</v>
      </c>
      <c r="L12" s="220">
        <v>0</v>
      </c>
      <c r="M12" s="220">
        <v>0</v>
      </c>
      <c r="N12" s="238">
        <v>0</v>
      </c>
      <c r="O12" s="237">
        <f t="shared" si="2"/>
        <v>0</v>
      </c>
      <c r="P12" s="114"/>
      <c r="Q12" s="66"/>
    </row>
    <row r="13" spans="1:18" ht="17.100000000000001" customHeight="1">
      <c r="A13" s="66"/>
      <c r="B13" s="315"/>
      <c r="C13" s="219" t="s">
        <v>216</v>
      </c>
      <c r="D13" s="238">
        <v>94321</v>
      </c>
      <c r="E13" s="238">
        <v>91081</v>
      </c>
      <c r="F13" s="232">
        <f t="shared" si="0"/>
        <v>-3.4350780844138673</v>
      </c>
      <c r="G13" s="301">
        <v>824</v>
      </c>
      <c r="H13" s="302">
        <v>902</v>
      </c>
      <c r="I13" s="235">
        <f t="shared" si="1"/>
        <v>9.4660194174757351</v>
      </c>
      <c r="J13" s="107"/>
      <c r="K13" s="219" t="s">
        <v>216</v>
      </c>
      <c r="L13" s="220">
        <v>0</v>
      </c>
      <c r="M13" s="220">
        <v>0</v>
      </c>
      <c r="N13" s="238">
        <v>0</v>
      </c>
      <c r="O13" s="237">
        <f t="shared" si="2"/>
        <v>0</v>
      </c>
      <c r="P13" s="114"/>
      <c r="Q13" s="66"/>
    </row>
    <row r="14" spans="1:18" ht="17.100000000000001" customHeight="1">
      <c r="A14" s="66"/>
      <c r="B14" s="315"/>
      <c r="C14" s="219" t="s">
        <v>217</v>
      </c>
      <c r="D14" s="238">
        <v>35228</v>
      </c>
      <c r="E14" s="238">
        <v>45892</v>
      </c>
      <c r="F14" s="232">
        <f t="shared" si="0"/>
        <v>30.271375042579773</v>
      </c>
      <c r="G14" s="301">
        <v>1184</v>
      </c>
      <c r="H14" s="302">
        <v>1836</v>
      </c>
      <c r="I14" s="235">
        <f t="shared" si="1"/>
        <v>55.067567567567565</v>
      </c>
      <c r="J14" s="107"/>
      <c r="K14" s="219" t="s">
        <v>217</v>
      </c>
      <c r="L14" s="220">
        <v>0</v>
      </c>
      <c r="M14" s="220">
        <v>0</v>
      </c>
      <c r="N14" s="238">
        <v>0</v>
      </c>
      <c r="O14" s="237">
        <f t="shared" si="2"/>
        <v>0</v>
      </c>
      <c r="P14" s="114"/>
      <c r="Q14" s="66"/>
      <c r="R14" s="3"/>
    </row>
    <row r="15" spans="1:18" ht="21" customHeight="1">
      <c r="A15" s="66"/>
      <c r="B15" s="315"/>
      <c r="C15" s="221" t="s">
        <v>10</v>
      </c>
      <c r="D15" s="222">
        <v>20189</v>
      </c>
      <c r="E15" s="222">
        <v>20189</v>
      </c>
      <c r="F15" s="230">
        <f t="shared" si="0"/>
        <v>0</v>
      </c>
      <c r="G15" s="359">
        <v>128</v>
      </c>
      <c r="H15" s="355">
        <v>128</v>
      </c>
      <c r="I15" s="363">
        <f t="shared" si="1"/>
        <v>0</v>
      </c>
      <c r="J15" s="107"/>
      <c r="K15" s="221" t="s">
        <v>10</v>
      </c>
      <c r="L15" s="222">
        <v>18</v>
      </c>
      <c r="M15" s="222">
        <v>545</v>
      </c>
      <c r="N15" s="222">
        <v>150</v>
      </c>
      <c r="O15" s="224">
        <f t="shared" si="2"/>
        <v>0.74297884986874041</v>
      </c>
      <c r="P15" s="114"/>
      <c r="Q15" s="66"/>
    </row>
    <row r="16" spans="1:18" ht="15.75">
      <c r="A16" s="66"/>
      <c r="B16" s="315"/>
      <c r="C16" s="221" t="s">
        <v>11</v>
      </c>
      <c r="D16" s="222">
        <v>6175</v>
      </c>
      <c r="E16" s="222">
        <v>5782</v>
      </c>
      <c r="F16" s="230">
        <f t="shared" si="0"/>
        <v>-6.3643724696356259</v>
      </c>
      <c r="G16" s="359">
        <v>226</v>
      </c>
      <c r="H16" s="355">
        <v>227</v>
      </c>
      <c r="I16" s="363">
        <f t="shared" si="1"/>
        <v>0.44247787610618428</v>
      </c>
      <c r="J16" s="107"/>
      <c r="K16" s="221" t="s">
        <v>11</v>
      </c>
      <c r="L16" s="222">
        <v>17</v>
      </c>
      <c r="M16" s="222">
        <v>14705</v>
      </c>
      <c r="N16" s="222">
        <v>2050</v>
      </c>
      <c r="O16" s="224">
        <f t="shared" si="2"/>
        <v>35.454859910065721</v>
      </c>
      <c r="P16" s="114"/>
      <c r="Q16" s="66"/>
    </row>
    <row r="17" spans="1:18" ht="21" customHeight="1">
      <c r="A17" s="66"/>
      <c r="B17" s="315"/>
      <c r="C17" s="221" t="s">
        <v>8</v>
      </c>
      <c r="D17" s="222">
        <v>968872</v>
      </c>
      <c r="E17" s="222">
        <v>1032874</v>
      </c>
      <c r="F17" s="230">
        <f t="shared" si="0"/>
        <v>6.6058261566027232</v>
      </c>
      <c r="G17" s="359">
        <v>22303</v>
      </c>
      <c r="H17" s="355">
        <v>27740</v>
      </c>
      <c r="I17" s="363">
        <f t="shared" si="1"/>
        <v>24.377886382997804</v>
      </c>
      <c r="J17" s="107"/>
      <c r="K17" s="221" t="s">
        <v>8</v>
      </c>
      <c r="L17" s="222">
        <v>59625</v>
      </c>
      <c r="M17" s="222">
        <v>2998662</v>
      </c>
      <c r="N17" s="222">
        <v>548600</v>
      </c>
      <c r="O17" s="224">
        <f t="shared" si="2"/>
        <v>53.113932580353463</v>
      </c>
      <c r="P17" s="114"/>
      <c r="Q17" s="66"/>
    </row>
    <row r="18" spans="1:18" ht="17.100000000000001" customHeight="1">
      <c r="A18" s="66"/>
      <c r="B18" s="315"/>
      <c r="C18" s="219" t="s">
        <v>265</v>
      </c>
      <c r="D18" s="238">
        <v>478056</v>
      </c>
      <c r="E18" s="238">
        <v>519829</v>
      </c>
      <c r="F18" s="232">
        <f t="shared" si="0"/>
        <v>8.7380976287296797</v>
      </c>
      <c r="G18" s="301">
        <v>10808</v>
      </c>
      <c r="H18" s="302">
        <v>13995</v>
      </c>
      <c r="I18" s="235">
        <f t="shared" si="1"/>
        <v>29.48741672834938</v>
      </c>
      <c r="J18" s="107"/>
      <c r="K18" s="219" t="s">
        <v>265</v>
      </c>
      <c r="L18" s="220">
        <v>0</v>
      </c>
      <c r="M18" s="220">
        <v>0</v>
      </c>
      <c r="N18" s="238">
        <v>0</v>
      </c>
      <c r="O18" s="237">
        <f t="shared" si="2"/>
        <v>0</v>
      </c>
      <c r="P18" s="114"/>
      <c r="Q18" s="66"/>
      <c r="R18" s="122"/>
    </row>
    <row r="19" spans="1:18" ht="17.100000000000001" customHeight="1">
      <c r="A19" s="66"/>
      <c r="B19" s="315"/>
      <c r="C19" s="219" t="s">
        <v>266</v>
      </c>
      <c r="D19" s="238">
        <v>170634</v>
      </c>
      <c r="E19" s="238">
        <v>183273</v>
      </c>
      <c r="F19" s="232">
        <f t="shared" si="0"/>
        <v>7.4070818242554237</v>
      </c>
      <c r="G19" s="301">
        <v>4233</v>
      </c>
      <c r="H19" s="302">
        <v>6502</v>
      </c>
      <c r="I19" s="235">
        <f t="shared" si="1"/>
        <v>53.602645877628149</v>
      </c>
      <c r="J19" s="107"/>
      <c r="K19" s="219" t="s">
        <v>266</v>
      </c>
      <c r="L19" s="220">
        <v>0</v>
      </c>
      <c r="M19" s="220">
        <v>0</v>
      </c>
      <c r="N19" s="238">
        <v>0</v>
      </c>
      <c r="O19" s="237">
        <f t="shared" si="2"/>
        <v>0</v>
      </c>
      <c r="P19" s="114"/>
      <c r="Q19" s="66"/>
    </row>
    <row r="20" spans="1:18" ht="17.100000000000001" customHeight="1">
      <c r="A20" s="66"/>
      <c r="B20" s="315"/>
      <c r="C20" s="219" t="s">
        <v>267</v>
      </c>
      <c r="D20" s="238">
        <v>287340</v>
      </c>
      <c r="E20" s="238">
        <v>292512</v>
      </c>
      <c r="F20" s="232">
        <f t="shared" si="0"/>
        <v>1.7999582376279077</v>
      </c>
      <c r="G20" s="301">
        <v>610</v>
      </c>
      <c r="H20" s="302">
        <v>6423</v>
      </c>
      <c r="I20" s="235">
        <f t="shared" si="1"/>
        <v>952.95081967213116</v>
      </c>
      <c r="J20" s="107"/>
      <c r="K20" s="219" t="s">
        <v>267</v>
      </c>
      <c r="L20" s="220">
        <v>0</v>
      </c>
      <c r="M20" s="220">
        <v>0</v>
      </c>
      <c r="N20" s="238">
        <v>0</v>
      </c>
      <c r="O20" s="237">
        <f t="shared" si="2"/>
        <v>0</v>
      </c>
      <c r="P20" s="114"/>
      <c r="Q20" s="66"/>
    </row>
    <row r="21" spans="1:18" ht="17.100000000000001" customHeight="1">
      <c r="A21" s="66"/>
      <c r="B21" s="315"/>
      <c r="C21" s="219" t="s">
        <v>268</v>
      </c>
      <c r="D21" s="238">
        <v>32842</v>
      </c>
      <c r="E21" s="238">
        <v>37260</v>
      </c>
      <c r="F21" s="232">
        <f t="shared" si="0"/>
        <v>13.452286706047145</v>
      </c>
      <c r="G21" s="301">
        <v>652</v>
      </c>
      <c r="H21" s="302">
        <v>820</v>
      </c>
      <c r="I21" s="235">
        <f t="shared" si="1"/>
        <v>25.766871165644179</v>
      </c>
      <c r="J21" s="107"/>
      <c r="K21" s="219" t="s">
        <v>268</v>
      </c>
      <c r="L21" s="220">
        <v>0</v>
      </c>
      <c r="M21" s="220">
        <v>0</v>
      </c>
      <c r="N21" s="238">
        <v>0</v>
      </c>
      <c r="O21" s="237">
        <f t="shared" si="2"/>
        <v>0</v>
      </c>
      <c r="P21" s="114"/>
      <c r="Q21" s="66"/>
    </row>
    <row r="22" spans="1:18" ht="21" customHeight="1">
      <c r="A22" s="66"/>
      <c r="B22" s="315"/>
      <c r="C22" s="221" t="s">
        <v>30</v>
      </c>
      <c r="D22" s="222">
        <v>433242</v>
      </c>
      <c r="E22" s="222">
        <v>410057</v>
      </c>
      <c r="F22" s="230">
        <f t="shared" si="0"/>
        <v>-5.3515125495681382</v>
      </c>
      <c r="G22" s="359">
        <v>10700</v>
      </c>
      <c r="H22" s="355">
        <v>11163</v>
      </c>
      <c r="I22" s="363">
        <f t="shared" si="1"/>
        <v>4.3271028037383141</v>
      </c>
      <c r="J22" s="107"/>
      <c r="K22" s="221" t="s">
        <v>30</v>
      </c>
      <c r="L22" s="222">
        <v>27582</v>
      </c>
      <c r="M22" s="222">
        <v>905797</v>
      </c>
      <c r="N22" s="222">
        <v>170430</v>
      </c>
      <c r="O22" s="224">
        <f t="shared" si="2"/>
        <v>41.562514479694286</v>
      </c>
      <c r="P22" s="114"/>
      <c r="Q22" s="66"/>
    </row>
    <row r="23" spans="1:18" ht="17.100000000000001" customHeight="1">
      <c r="A23" s="66"/>
      <c r="B23" s="315"/>
      <c r="C23" s="221" t="s">
        <v>31</v>
      </c>
      <c r="D23" s="222">
        <v>12538</v>
      </c>
      <c r="E23" s="222">
        <v>12538</v>
      </c>
      <c r="F23" s="230">
        <f t="shared" si="0"/>
        <v>0</v>
      </c>
      <c r="G23" s="359">
        <v>310</v>
      </c>
      <c r="H23" s="355">
        <v>309.60000000000002</v>
      </c>
      <c r="I23" s="363">
        <f t="shared" si="1"/>
        <v>-0.1290322580645098</v>
      </c>
      <c r="J23" s="107"/>
      <c r="K23" s="221" t="s">
        <v>31</v>
      </c>
      <c r="L23" s="222">
        <v>470</v>
      </c>
      <c r="M23" s="222">
        <v>7342</v>
      </c>
      <c r="N23" s="222">
        <v>1900</v>
      </c>
      <c r="O23" s="224">
        <f t="shared" si="2"/>
        <v>15.153932046578403</v>
      </c>
      <c r="P23" s="114"/>
      <c r="Q23" s="66"/>
    </row>
    <row r="24" spans="1:18" ht="17.100000000000001" customHeight="1">
      <c r="A24" s="66"/>
      <c r="B24" s="315"/>
      <c r="C24" s="221" t="s">
        <v>9</v>
      </c>
      <c r="D24" s="222">
        <v>198971</v>
      </c>
      <c r="E24" s="222">
        <v>200997</v>
      </c>
      <c r="F24" s="230">
        <f t="shared" si="0"/>
        <v>1.018238838825769</v>
      </c>
      <c r="G24" s="359">
        <v>4064</v>
      </c>
      <c r="H24" s="355">
        <v>4938</v>
      </c>
      <c r="I24" s="363">
        <f t="shared" si="1"/>
        <v>21.505905511811019</v>
      </c>
      <c r="J24" s="107"/>
      <c r="K24" s="221" t="s">
        <v>9</v>
      </c>
      <c r="L24" s="222">
        <v>5206</v>
      </c>
      <c r="M24" s="222">
        <v>571788</v>
      </c>
      <c r="N24" s="222">
        <v>94510</v>
      </c>
      <c r="O24" s="224">
        <f t="shared" si="2"/>
        <v>47.020602297546731</v>
      </c>
      <c r="P24" s="114"/>
      <c r="Q24" s="66"/>
    </row>
    <row r="25" spans="1:18" ht="17.100000000000001" customHeight="1">
      <c r="A25" s="66"/>
      <c r="B25" s="315"/>
      <c r="C25" s="221" t="s">
        <v>7</v>
      </c>
      <c r="D25" s="222">
        <v>44500</v>
      </c>
      <c r="E25" s="222">
        <v>46500</v>
      </c>
      <c r="F25" s="230">
        <f t="shared" si="0"/>
        <v>4.4943820224719211</v>
      </c>
      <c r="G25" s="359">
        <v>1290</v>
      </c>
      <c r="H25" s="355">
        <v>1050</v>
      </c>
      <c r="I25" s="363">
        <f t="shared" si="1"/>
        <v>-18.604651162790699</v>
      </c>
      <c r="J25" s="107"/>
      <c r="K25" s="221" t="s">
        <v>7</v>
      </c>
      <c r="L25" s="222">
        <v>1927</v>
      </c>
      <c r="M25" s="222">
        <v>48219</v>
      </c>
      <c r="N25" s="222">
        <v>9820</v>
      </c>
      <c r="O25" s="224">
        <f t="shared" si="2"/>
        <v>21.118279569892472</v>
      </c>
      <c r="P25" s="114"/>
      <c r="Q25" s="66"/>
    </row>
    <row r="26" spans="1:18" s="5" customFormat="1" ht="18" customHeight="1" thickBot="1">
      <c r="A26" s="66"/>
      <c r="B26" s="315"/>
      <c r="C26" s="225" t="s">
        <v>212</v>
      </c>
      <c r="D26" s="226">
        <v>10009</v>
      </c>
      <c r="E26" s="226">
        <v>11921</v>
      </c>
      <c r="F26" s="231">
        <f t="shared" si="0"/>
        <v>19.102807473274062</v>
      </c>
      <c r="G26" s="360">
        <v>128</v>
      </c>
      <c r="H26" s="356">
        <v>148</v>
      </c>
      <c r="I26" s="364">
        <f t="shared" si="1"/>
        <v>15.625</v>
      </c>
      <c r="J26" s="107"/>
      <c r="K26" s="225" t="s">
        <v>212</v>
      </c>
      <c r="L26" s="226">
        <v>46</v>
      </c>
      <c r="M26" s="226">
        <v>2755</v>
      </c>
      <c r="N26" s="226">
        <v>460</v>
      </c>
      <c r="O26" s="364">
        <f t="shared" si="2"/>
        <v>3.8587366831641643</v>
      </c>
      <c r="P26" s="114"/>
      <c r="Q26" s="66"/>
    </row>
    <row r="27" spans="1:18" ht="15" customHeight="1" thickBot="1">
      <c r="A27" s="66"/>
      <c r="B27" s="315"/>
      <c r="C27" s="227" t="s">
        <v>116</v>
      </c>
      <c r="D27" s="228">
        <f>D9+D10+D11+D15+D16+D17+D22+D23+D24+D25+D26</f>
        <v>1922074</v>
      </c>
      <c r="E27" s="228">
        <f>E9+E10+E11+E15+E16+E17+E22+E23+E24+E25+E26</f>
        <v>1977518</v>
      </c>
      <c r="F27" s="234">
        <f t="shared" si="0"/>
        <v>2.8845923726141587</v>
      </c>
      <c r="G27" s="361">
        <f>G9+G10+G11+G15+G16+G17+G22+G23+G24+G25+G26</f>
        <v>43235.6</v>
      </c>
      <c r="H27" s="357">
        <f>H9+H10+H11+H15+H16+H17+H22+H23+H24+H25+H26</f>
        <v>50535.199999999997</v>
      </c>
      <c r="I27" s="236">
        <f t="shared" si="1"/>
        <v>16.883309124887823</v>
      </c>
      <c r="J27" s="107"/>
      <c r="K27" s="227" t="s">
        <v>116</v>
      </c>
      <c r="L27" s="228">
        <f>L9+L10+L11+L15+L16+L17+L22+L23+L24+L25+L26</f>
        <v>97261</v>
      </c>
      <c r="M27" s="228">
        <f>M9+M10+M11+M15+M16+M17+M22+M23+M24+M25+M26</f>
        <v>4731474</v>
      </c>
      <c r="N27" s="240">
        <f>SUM(N9:N26)</f>
        <v>871590</v>
      </c>
      <c r="O27" s="236">
        <f t="shared" si="2"/>
        <v>44.07494647330644</v>
      </c>
      <c r="P27" s="114"/>
      <c r="Q27" s="65"/>
    </row>
    <row r="28" spans="1:18" ht="15.75">
      <c r="A28" s="65"/>
      <c r="B28" s="316"/>
      <c r="C28" s="573" t="s">
        <v>521</v>
      </c>
      <c r="D28" s="314"/>
      <c r="E28" s="314"/>
      <c r="F28" s="314"/>
      <c r="G28" s="314"/>
      <c r="H28" s="314"/>
      <c r="I28" s="314"/>
      <c r="J28" s="314"/>
      <c r="K28" s="120" t="s">
        <v>277</v>
      </c>
      <c r="L28" s="314"/>
      <c r="M28" s="314"/>
      <c r="N28" s="314"/>
      <c r="O28" s="241">
        <f ca="1">NOW()</f>
        <v>42411.803437962961</v>
      </c>
      <c r="P28" s="139"/>
      <c r="Q28" s="65"/>
    </row>
    <row r="29" spans="1:18">
      <c r="A29" s="65"/>
      <c r="B29" s="124"/>
      <c r="C29" s="124"/>
      <c r="D29" s="124"/>
      <c r="E29" s="124"/>
      <c r="F29" s="124"/>
      <c r="G29" s="124"/>
      <c r="H29" s="124"/>
      <c r="I29" s="124"/>
      <c r="J29" s="124"/>
      <c r="K29" s="124"/>
      <c r="L29" s="124"/>
      <c r="M29" s="124"/>
      <c r="N29" s="124"/>
      <c r="O29" s="124"/>
      <c r="P29" s="66"/>
      <c r="Q29" s="65"/>
    </row>
  </sheetData>
  <mergeCells count="5">
    <mergeCell ref="B4:P4"/>
    <mergeCell ref="D7:F7"/>
    <mergeCell ref="G7:I7"/>
    <mergeCell ref="O7:O8"/>
    <mergeCell ref="A1:Q1"/>
  </mergeCells>
  <phoneticPr fontId="13" type="noConversion"/>
  <printOptions horizontalCentered="1" verticalCentered="1"/>
  <pageMargins left="0.51181102362204722" right="0.51181102362204722" top="0.78740157480314965" bottom="0.78740157480314965" header="0.31496062992125984" footer="0.31496062992125984"/>
  <pageSetup paperSize="9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O37"/>
  <sheetViews>
    <sheetView workbookViewId="0">
      <selection activeCell="S24" sqref="S24"/>
    </sheetView>
  </sheetViews>
  <sheetFormatPr defaultRowHeight="12.75"/>
  <cols>
    <col min="1" max="1" width="2.7109375" customWidth="1"/>
    <col min="2" max="2" width="11.7109375" customWidth="1"/>
    <col min="3" max="3" width="12.28515625" customWidth="1"/>
    <col min="4" max="4" width="13.7109375" customWidth="1"/>
    <col min="5" max="13" width="9.28515625" customWidth="1"/>
    <col min="14" max="14" width="9.7109375" customWidth="1"/>
    <col min="15" max="15" width="2.7109375" customWidth="1"/>
    <col min="17" max="17" width="12.5703125" customWidth="1"/>
  </cols>
  <sheetData>
    <row r="1" spans="1:15" ht="15" customHeight="1">
      <c r="A1" s="1152" t="s">
        <v>465</v>
      </c>
      <c r="B1" s="1152"/>
      <c r="C1" s="1152"/>
      <c r="D1" s="1152"/>
      <c r="E1" s="1152"/>
      <c r="F1" s="1152"/>
      <c r="G1" s="1152"/>
      <c r="H1" s="1152"/>
      <c r="I1" s="1152"/>
      <c r="J1" s="1152"/>
      <c r="K1" s="1152"/>
      <c r="L1" s="1152"/>
      <c r="M1" s="1152"/>
      <c r="N1" s="1152"/>
      <c r="O1" s="1152"/>
    </row>
    <row r="2" spans="1:15" ht="25.5" customHeight="1">
      <c r="A2" s="68"/>
      <c r="B2" s="1155" t="s">
        <v>36</v>
      </c>
      <c r="C2" s="1156"/>
      <c r="D2" s="1156"/>
      <c r="E2" s="1156"/>
      <c r="F2" s="1156"/>
      <c r="G2" s="1156"/>
      <c r="H2" s="1156"/>
      <c r="I2" s="1156"/>
      <c r="J2" s="1156"/>
      <c r="K2" s="1156"/>
      <c r="L2" s="1156"/>
      <c r="M2" s="1156"/>
      <c r="N2" s="1157"/>
      <c r="O2" s="154"/>
    </row>
    <row r="3" spans="1:15" ht="18" customHeight="1">
      <c r="A3" s="68"/>
      <c r="B3" s="144"/>
      <c r="C3" s="145"/>
      <c r="D3" s="145"/>
      <c r="E3" s="145"/>
      <c r="F3" s="145"/>
      <c r="G3" s="145"/>
      <c r="H3" s="145"/>
      <c r="I3" s="145"/>
      <c r="J3" s="145"/>
      <c r="K3" s="145"/>
      <c r="L3" s="145"/>
      <c r="M3" s="145"/>
      <c r="N3" s="147"/>
      <c r="O3" s="65"/>
    </row>
    <row r="4" spans="1:15" ht="18" customHeight="1">
      <c r="A4" s="68"/>
      <c r="B4" s="1158" t="s">
        <v>218</v>
      </c>
      <c r="C4" s="1159"/>
      <c r="D4" s="1160"/>
      <c r="E4" s="155">
        <v>2007</v>
      </c>
      <c r="F4" s="155">
        <v>2008</v>
      </c>
      <c r="G4" s="155">
        <v>2009</v>
      </c>
      <c r="H4" s="155">
        <v>2010</v>
      </c>
      <c r="I4" s="155">
        <v>2011</v>
      </c>
      <c r="J4" s="155">
        <v>2012</v>
      </c>
      <c r="K4" s="155">
        <v>2013</v>
      </c>
      <c r="L4" s="155">
        <v>2014</v>
      </c>
      <c r="M4" s="155">
        <v>2015</v>
      </c>
      <c r="N4" s="155">
        <v>2016</v>
      </c>
      <c r="O4" s="66"/>
    </row>
    <row r="5" spans="1:15" ht="18" customHeight="1">
      <c r="A5" s="66"/>
      <c r="B5" s="156" t="s">
        <v>304</v>
      </c>
      <c r="C5" s="157"/>
      <c r="D5" s="179"/>
      <c r="E5" s="158">
        <v>36.07</v>
      </c>
      <c r="F5" s="158">
        <v>45.991999999999997</v>
      </c>
      <c r="G5" s="158">
        <v>39.47</v>
      </c>
      <c r="H5" s="158">
        <v>48.094999999999999</v>
      </c>
      <c r="I5" s="158">
        <v>43.484000000000002</v>
      </c>
      <c r="J5" s="158">
        <v>50.826000000000001</v>
      </c>
      <c r="K5" s="158">
        <v>49.152000000000001</v>
      </c>
      <c r="L5" s="158">
        <v>45.639000000000003</v>
      </c>
      <c r="M5" s="1038">
        <v>43.2</v>
      </c>
      <c r="N5" s="1038" t="s">
        <v>553</v>
      </c>
      <c r="O5" s="66"/>
    </row>
    <row r="6" spans="1:15" ht="18" customHeight="1">
      <c r="A6" s="66"/>
      <c r="B6" s="159" t="s">
        <v>37</v>
      </c>
      <c r="C6" s="333"/>
      <c r="D6" s="334"/>
      <c r="E6" s="160">
        <v>2.1760000000000002</v>
      </c>
      <c r="F6" s="160">
        <v>2.169</v>
      </c>
      <c r="G6" s="160">
        <v>2.0920000000000001</v>
      </c>
      <c r="H6" s="160">
        <v>2.0760000000000001</v>
      </c>
      <c r="I6" s="160">
        <v>2.056</v>
      </c>
      <c r="J6" s="160">
        <v>2.0489999999999999</v>
      </c>
      <c r="K6" s="160">
        <v>2.016</v>
      </c>
      <c r="L6" s="1136">
        <v>1.946</v>
      </c>
      <c r="M6" s="1135">
        <v>1.9219999999999999</v>
      </c>
      <c r="N6" s="1135">
        <v>1.9770000000000001</v>
      </c>
      <c r="O6" s="66"/>
    </row>
    <row r="7" spans="1:15" ht="18" customHeight="1">
      <c r="A7" s="66"/>
      <c r="B7" s="159" t="s">
        <v>38</v>
      </c>
      <c r="C7" s="333"/>
      <c r="D7" s="334"/>
      <c r="E7" s="160">
        <v>16.57</v>
      </c>
      <c r="F7" s="161">
        <v>21.2</v>
      </c>
      <c r="G7" s="160">
        <v>18.86</v>
      </c>
      <c r="H7" s="160">
        <v>23.16</v>
      </c>
      <c r="I7" s="160">
        <v>21.15</v>
      </c>
      <c r="J7" s="160">
        <v>24.8</v>
      </c>
      <c r="K7" s="160">
        <v>24.31</v>
      </c>
      <c r="L7" s="160">
        <v>23.3</v>
      </c>
      <c r="M7" s="1040">
        <v>22.5</v>
      </c>
      <c r="N7" s="1040">
        <v>25.5</v>
      </c>
      <c r="O7" s="66"/>
    </row>
    <row r="8" spans="1:15" ht="12" customHeight="1">
      <c r="A8" s="66"/>
      <c r="B8" s="144"/>
      <c r="C8" s="145"/>
      <c r="D8" s="147"/>
      <c r="E8" s="151"/>
      <c r="F8" s="151"/>
      <c r="G8" s="151"/>
      <c r="H8" s="151"/>
      <c r="I8" s="151"/>
      <c r="J8" s="151"/>
      <c r="K8" s="151"/>
      <c r="L8" s="151"/>
      <c r="M8" s="589"/>
      <c r="N8" s="589"/>
      <c r="O8" s="66"/>
    </row>
    <row r="9" spans="1:15" ht="18" customHeight="1">
      <c r="A9" s="66"/>
      <c r="B9" s="164" t="s">
        <v>305</v>
      </c>
      <c r="C9" s="163"/>
      <c r="D9" s="176"/>
      <c r="E9" s="165">
        <v>28.398</v>
      </c>
      <c r="F9" s="165">
        <v>29.727</v>
      </c>
      <c r="G9" s="165">
        <v>30.481000000000002</v>
      </c>
      <c r="H9" s="165">
        <v>33.493000000000002</v>
      </c>
      <c r="I9" s="165">
        <v>33.61</v>
      </c>
      <c r="J9" s="165">
        <v>28.734999999999999</v>
      </c>
      <c r="K9" s="165">
        <v>32.01</v>
      </c>
      <c r="L9" s="165">
        <v>36.734999999999999</v>
      </c>
      <c r="M9" s="1049">
        <v>37.1</v>
      </c>
      <c r="N9" s="1049" t="s">
        <v>556</v>
      </c>
      <c r="O9" s="66"/>
    </row>
    <row r="10" spans="1:15" ht="18" customHeight="1">
      <c r="A10" s="66"/>
      <c r="B10" s="166" t="s">
        <v>219</v>
      </c>
      <c r="C10" s="333"/>
      <c r="D10" s="334"/>
      <c r="E10" s="167">
        <v>3.891</v>
      </c>
      <c r="F10" s="167">
        <v>4.7619999999999996</v>
      </c>
      <c r="G10" s="167">
        <v>4.2789999999999999</v>
      </c>
      <c r="H10" s="167">
        <v>5.7640000000000002</v>
      </c>
      <c r="I10" s="167">
        <v>8.7330000000000005</v>
      </c>
      <c r="J10" s="167">
        <v>6.4619999999999997</v>
      </c>
      <c r="K10" s="167">
        <v>5.2750000000000004</v>
      </c>
      <c r="L10" s="167">
        <v>6.6609999999999996</v>
      </c>
      <c r="M10" s="1039">
        <v>6.2</v>
      </c>
      <c r="N10" s="1039">
        <v>0.40300000000000002</v>
      </c>
      <c r="O10" s="66"/>
    </row>
    <row r="11" spans="1:15" ht="18" customHeight="1">
      <c r="A11" s="66"/>
      <c r="B11" s="168" t="s">
        <v>220</v>
      </c>
      <c r="C11" s="333"/>
      <c r="D11" s="334"/>
      <c r="E11" s="169">
        <v>137.03</v>
      </c>
      <c r="F11" s="169">
        <v>160.19999999999999</v>
      </c>
      <c r="G11" s="169">
        <v>140.38</v>
      </c>
      <c r="H11" s="169">
        <v>172.11</v>
      </c>
      <c r="I11" s="169">
        <v>259.83</v>
      </c>
      <c r="J11" s="169">
        <v>224.9</v>
      </c>
      <c r="K11" s="169">
        <v>164.81</v>
      </c>
      <c r="L11" s="169">
        <v>181.35</v>
      </c>
      <c r="M11" s="1040">
        <v>165.92</v>
      </c>
      <c r="N11" s="1040">
        <v>146.49</v>
      </c>
      <c r="O11" s="66"/>
    </row>
    <row r="12" spans="1:15" ht="12" customHeight="1">
      <c r="A12" s="66"/>
      <c r="B12" s="144"/>
      <c r="C12" s="145"/>
      <c r="D12" s="147"/>
      <c r="E12" s="151"/>
      <c r="F12" s="151"/>
      <c r="G12" s="151"/>
      <c r="H12" s="151"/>
      <c r="I12" s="151"/>
      <c r="J12" s="151"/>
      <c r="K12" s="151"/>
      <c r="L12" s="151"/>
      <c r="M12" s="590"/>
      <c r="N12" s="590"/>
      <c r="O12" s="66"/>
    </row>
    <row r="13" spans="1:15" ht="18" customHeight="1">
      <c r="A13" s="66"/>
      <c r="B13" s="170" t="s">
        <v>366</v>
      </c>
      <c r="C13" s="163"/>
      <c r="D13" s="176"/>
      <c r="E13" s="162">
        <v>17.12</v>
      </c>
      <c r="F13" s="162">
        <v>17.66</v>
      </c>
      <c r="G13" s="162">
        <v>18.388999999999999</v>
      </c>
      <c r="H13" s="162">
        <v>19.13</v>
      </c>
      <c r="I13" s="162">
        <v>19.72</v>
      </c>
      <c r="J13" s="162">
        <v>20.329999999999998</v>
      </c>
      <c r="K13" s="162">
        <v>20.079999999999998</v>
      </c>
      <c r="L13" s="162">
        <v>20.3</v>
      </c>
      <c r="M13" s="1049">
        <v>20.5</v>
      </c>
      <c r="N13" s="1049" t="s">
        <v>557</v>
      </c>
      <c r="O13" s="66"/>
    </row>
    <row r="14" spans="1:15" ht="18" customHeight="1">
      <c r="A14" s="66"/>
      <c r="B14" s="159" t="s">
        <v>221</v>
      </c>
      <c r="C14" s="333"/>
      <c r="D14" s="334"/>
      <c r="E14" s="160">
        <v>5.53</v>
      </c>
      <c r="F14" s="160">
        <v>5.64</v>
      </c>
      <c r="G14" s="160">
        <v>5.81</v>
      </c>
      <c r="H14" s="160">
        <v>6.02</v>
      </c>
      <c r="I14" s="160">
        <v>6.1</v>
      </c>
      <c r="J14" s="160">
        <v>6.23</v>
      </c>
      <c r="K14" s="160">
        <v>6.43</v>
      </c>
      <c r="L14" s="160">
        <v>6.43</v>
      </c>
      <c r="M14" s="1040">
        <v>6.2</v>
      </c>
      <c r="N14" s="1040">
        <v>6.2</v>
      </c>
      <c r="O14" s="66"/>
    </row>
    <row r="15" spans="1:15" ht="12" customHeight="1">
      <c r="A15" s="66"/>
      <c r="B15" s="144"/>
      <c r="C15" s="145"/>
      <c r="D15" s="147"/>
      <c r="E15" s="151"/>
      <c r="F15" s="151"/>
      <c r="G15" s="151"/>
      <c r="H15" s="151"/>
      <c r="I15" s="151"/>
      <c r="J15" s="151"/>
      <c r="K15" s="151"/>
      <c r="L15" s="151"/>
      <c r="M15" s="590"/>
      <c r="N15" s="590"/>
      <c r="O15" s="66"/>
    </row>
    <row r="16" spans="1:15" ht="18" customHeight="1">
      <c r="A16" s="66"/>
      <c r="B16" s="170" t="s">
        <v>222</v>
      </c>
      <c r="C16" s="163"/>
      <c r="D16" s="176"/>
      <c r="E16" s="172">
        <v>18.47</v>
      </c>
      <c r="F16" s="172">
        <v>13.202</v>
      </c>
      <c r="G16" s="172">
        <v>15.766</v>
      </c>
      <c r="H16" s="172">
        <v>11.098000000000001</v>
      </c>
      <c r="I16" s="172">
        <v>11.34</v>
      </c>
      <c r="J16" s="172">
        <v>10.063000000000001</v>
      </c>
      <c r="K16" s="172">
        <v>15.590999999999999</v>
      </c>
      <c r="L16" s="172">
        <v>16.870999999999999</v>
      </c>
      <c r="M16" s="1050">
        <v>15.94</v>
      </c>
      <c r="N16" s="1050" t="s">
        <v>452</v>
      </c>
      <c r="O16" s="65"/>
    </row>
    <row r="17" spans="1:15" ht="12" customHeight="1">
      <c r="A17" s="66"/>
      <c r="B17" s="144"/>
      <c r="C17" s="145"/>
      <c r="D17" s="147"/>
      <c r="E17" s="151"/>
      <c r="F17" s="151"/>
      <c r="G17" s="151"/>
      <c r="H17" s="151"/>
      <c r="I17" s="151"/>
      <c r="J17" s="151"/>
      <c r="K17" s="151"/>
      <c r="L17" s="151"/>
      <c r="M17" s="590"/>
      <c r="N17" s="590"/>
      <c r="O17" s="65"/>
    </row>
    <row r="18" spans="1:15" ht="18" customHeight="1">
      <c r="A18" s="66"/>
      <c r="B18" s="170" t="s">
        <v>223</v>
      </c>
      <c r="C18" s="163"/>
      <c r="D18" s="176"/>
      <c r="E18" s="173">
        <v>2147</v>
      </c>
      <c r="F18" s="173">
        <v>2561</v>
      </c>
      <c r="G18" s="173">
        <v>2843</v>
      </c>
      <c r="H18" s="173">
        <v>2846</v>
      </c>
      <c r="I18" s="173">
        <v>2714</v>
      </c>
      <c r="J18" s="173">
        <v>2894</v>
      </c>
      <c r="K18" s="173">
        <v>3357</v>
      </c>
      <c r="L18" s="173">
        <v>4008</v>
      </c>
      <c r="M18" s="1051">
        <v>4325</v>
      </c>
      <c r="N18" s="1051">
        <v>5063</v>
      </c>
      <c r="O18" s="65"/>
    </row>
    <row r="19" spans="1:15" ht="18" customHeight="1">
      <c r="A19" s="66"/>
      <c r="B19" s="159" t="s">
        <v>39</v>
      </c>
      <c r="C19" s="333"/>
      <c r="D19" s="334"/>
      <c r="E19" s="171">
        <v>2026</v>
      </c>
      <c r="F19" s="171">
        <v>2441</v>
      </c>
      <c r="G19" s="171">
        <v>2673</v>
      </c>
      <c r="H19" s="171">
        <v>2673</v>
      </c>
      <c r="I19" s="171">
        <v>2539</v>
      </c>
      <c r="J19" s="171">
        <v>2734</v>
      </c>
      <c r="K19" s="171">
        <v>3180</v>
      </c>
      <c r="L19" s="171">
        <v>3825</v>
      </c>
      <c r="M19" s="1052">
        <v>4137</v>
      </c>
      <c r="N19" s="1052">
        <v>4875</v>
      </c>
      <c r="O19" s="65"/>
    </row>
    <row r="20" spans="1:15" ht="18" customHeight="1">
      <c r="A20" s="66"/>
      <c r="B20" s="159" t="s">
        <v>224</v>
      </c>
      <c r="C20" s="333"/>
      <c r="D20" s="334"/>
      <c r="E20" s="160">
        <v>13</v>
      </c>
      <c r="F20" s="160">
        <v>13</v>
      </c>
      <c r="G20" s="160">
        <v>15</v>
      </c>
      <c r="H20" s="160">
        <v>15</v>
      </c>
      <c r="I20" s="160">
        <v>14</v>
      </c>
      <c r="J20" s="160">
        <v>8</v>
      </c>
      <c r="K20" s="160">
        <v>2.5</v>
      </c>
      <c r="L20" s="160">
        <v>4</v>
      </c>
      <c r="M20" s="1040">
        <v>4.5</v>
      </c>
      <c r="N20" s="1040">
        <v>1.6</v>
      </c>
      <c r="O20" s="65"/>
    </row>
    <row r="21" spans="1:15" ht="18" customHeight="1">
      <c r="A21" s="66"/>
      <c r="B21" s="159" t="s">
        <v>40</v>
      </c>
      <c r="C21" s="333"/>
      <c r="D21" s="334"/>
      <c r="E21" s="160">
        <v>12</v>
      </c>
      <c r="F21" s="160">
        <v>12</v>
      </c>
      <c r="G21" s="160">
        <v>15.3</v>
      </c>
      <c r="H21" s="160">
        <v>15.3</v>
      </c>
      <c r="I21" s="160">
        <v>15</v>
      </c>
      <c r="J21" s="160">
        <v>12</v>
      </c>
      <c r="K21" s="160">
        <v>0</v>
      </c>
      <c r="L21" s="160">
        <v>6.5</v>
      </c>
      <c r="M21" s="1040">
        <v>5.6</v>
      </c>
      <c r="N21" s="1040">
        <v>10.6</v>
      </c>
      <c r="O21" s="65"/>
    </row>
    <row r="22" spans="1:15" ht="12" customHeight="1">
      <c r="A22" s="66"/>
      <c r="B22" s="144"/>
      <c r="C22" s="145"/>
      <c r="D22" s="147"/>
      <c r="E22" s="151"/>
      <c r="F22" s="151"/>
      <c r="G22" s="151"/>
      <c r="H22" s="151"/>
      <c r="I22" s="151"/>
      <c r="J22" s="151"/>
      <c r="K22" s="151"/>
      <c r="L22" s="151"/>
      <c r="M22" s="590"/>
      <c r="N22" s="590"/>
      <c r="O22" s="65"/>
    </row>
    <row r="23" spans="1:15" ht="18" customHeight="1">
      <c r="A23" s="66"/>
      <c r="B23" s="170" t="s">
        <v>461</v>
      </c>
      <c r="C23" s="163"/>
      <c r="D23" s="176"/>
      <c r="E23" s="174">
        <v>29.5</v>
      </c>
      <c r="F23" s="174">
        <v>30.46</v>
      </c>
      <c r="G23" s="174">
        <v>31.65</v>
      </c>
      <c r="H23" s="174">
        <v>34.56</v>
      </c>
      <c r="I23" s="174">
        <v>32.14</v>
      </c>
      <c r="J23" s="174">
        <v>25.39</v>
      </c>
      <c r="K23" s="174">
        <v>29.41</v>
      </c>
      <c r="L23" s="174">
        <v>32.22</v>
      </c>
      <c r="M23" s="1053">
        <v>30.1</v>
      </c>
      <c r="N23" s="1053" t="s">
        <v>559</v>
      </c>
      <c r="O23" s="65"/>
    </row>
    <row r="24" spans="1:15" ht="12" customHeight="1">
      <c r="A24" s="65"/>
      <c r="B24" s="148"/>
      <c r="C24" s="149"/>
      <c r="D24" s="150"/>
      <c r="E24" s="152"/>
      <c r="F24" s="152"/>
      <c r="G24" s="152"/>
      <c r="H24" s="152"/>
      <c r="I24" s="152"/>
      <c r="J24" s="152"/>
      <c r="K24" s="152"/>
      <c r="L24" s="152"/>
      <c r="M24" s="590"/>
      <c r="N24" s="590"/>
      <c r="O24" s="65"/>
    </row>
    <row r="25" spans="1:15" ht="15" customHeight="1">
      <c r="A25" s="65"/>
      <c r="B25" s="170" t="s">
        <v>306</v>
      </c>
      <c r="C25" s="175"/>
      <c r="D25" s="177"/>
      <c r="E25" s="174">
        <v>6.6</v>
      </c>
      <c r="F25" s="174">
        <v>6.59</v>
      </c>
      <c r="G25" s="174">
        <v>6.61</v>
      </c>
      <c r="H25" s="174">
        <v>7.54</v>
      </c>
      <c r="I25" s="174">
        <v>9.23</v>
      </c>
      <c r="J25" s="174">
        <v>6.74</v>
      </c>
      <c r="K25" s="174">
        <v>5.28</v>
      </c>
      <c r="L25" s="174">
        <v>6.89</v>
      </c>
      <c r="M25" s="1133">
        <v>7</v>
      </c>
      <c r="N25" s="1112" t="s">
        <v>561</v>
      </c>
      <c r="O25" s="65"/>
    </row>
    <row r="26" spans="1:15" ht="12" customHeight="1">
      <c r="A26" s="65"/>
      <c r="B26" s="148"/>
      <c r="C26" s="149"/>
      <c r="D26" s="150"/>
      <c r="E26" s="152"/>
      <c r="F26" s="152"/>
      <c r="G26" s="152"/>
      <c r="H26" s="152"/>
      <c r="I26" s="152"/>
      <c r="J26" s="152"/>
      <c r="K26" s="152"/>
      <c r="L26" s="152"/>
      <c r="M26" s="591"/>
      <c r="N26" s="591"/>
      <c r="O26" s="65"/>
    </row>
    <row r="27" spans="1:15" ht="12.75" customHeight="1">
      <c r="A27" s="65"/>
      <c r="B27" s="1161" t="s">
        <v>367</v>
      </c>
      <c r="C27" s="1162"/>
      <c r="D27" s="1163"/>
      <c r="E27" s="1167">
        <v>252.43</v>
      </c>
      <c r="F27" s="1153">
        <v>260.37</v>
      </c>
      <c r="G27" s="1153">
        <v>263.2</v>
      </c>
      <c r="H27" s="1153">
        <v>310.91000000000003</v>
      </c>
      <c r="I27" s="1153">
        <v>494.95</v>
      </c>
      <c r="J27" s="1153">
        <v>390.03</v>
      </c>
      <c r="K27" s="1153">
        <v>288.93</v>
      </c>
      <c r="L27" s="1153">
        <v>418.61</v>
      </c>
      <c r="M27" s="1169">
        <v>454.04</v>
      </c>
      <c r="N27" s="1169" t="s">
        <v>562</v>
      </c>
      <c r="O27" s="65"/>
    </row>
    <row r="28" spans="1:15" ht="15" customHeight="1">
      <c r="A28" s="65"/>
      <c r="B28" s="1164"/>
      <c r="C28" s="1165"/>
      <c r="D28" s="1166"/>
      <c r="E28" s="1168"/>
      <c r="F28" s="1154"/>
      <c r="G28" s="1154"/>
      <c r="H28" s="1154"/>
      <c r="I28" s="1154"/>
      <c r="J28" s="1154"/>
      <c r="K28" s="1154"/>
      <c r="L28" s="1154"/>
      <c r="M28" s="1170"/>
      <c r="N28" s="1170"/>
      <c r="O28" s="65"/>
    </row>
    <row r="29" spans="1:15" ht="15" customHeight="1">
      <c r="A29" s="65"/>
      <c r="B29" s="178" t="s">
        <v>41</v>
      </c>
      <c r="C29" s="153"/>
      <c r="D29" s="153"/>
      <c r="E29" s="153"/>
      <c r="F29" s="153"/>
      <c r="G29" s="153"/>
      <c r="H29" s="1134" t="s">
        <v>555</v>
      </c>
      <c r="I29" s="153"/>
      <c r="J29" s="153"/>
      <c r="K29" s="1134" t="s">
        <v>560</v>
      </c>
      <c r="L29" s="153"/>
      <c r="M29" s="153"/>
      <c r="N29" s="153"/>
      <c r="O29" s="65"/>
    </row>
    <row r="30" spans="1:15" ht="12.75" customHeight="1">
      <c r="A30" s="65"/>
      <c r="B30" s="1026" t="s">
        <v>554</v>
      </c>
      <c r="C30" s="65"/>
      <c r="D30" s="65"/>
      <c r="E30" s="65"/>
      <c r="F30" s="65"/>
      <c r="G30" s="311"/>
      <c r="H30" s="1137" t="s">
        <v>558</v>
      </c>
      <c r="I30" s="311"/>
      <c r="J30" s="311"/>
      <c r="K30" s="608" t="s">
        <v>453</v>
      </c>
      <c r="L30" s="311"/>
      <c r="M30" s="65"/>
      <c r="N30" s="65"/>
      <c r="O30" s="65"/>
    </row>
    <row r="31" spans="1:15" ht="13.5" customHeight="1"/>
    <row r="33" ht="12.75" customHeight="1"/>
    <row r="34" ht="12.75" customHeight="1"/>
    <row r="36" ht="12.75" customHeight="1"/>
    <row r="37" ht="13.5" customHeight="1"/>
  </sheetData>
  <mergeCells count="14">
    <mergeCell ref="A1:O1"/>
    <mergeCell ref="K27:K28"/>
    <mergeCell ref="L27:L28"/>
    <mergeCell ref="B2:N2"/>
    <mergeCell ref="B4:D4"/>
    <mergeCell ref="B27:D28"/>
    <mergeCell ref="E27:E28"/>
    <mergeCell ref="F27:F28"/>
    <mergeCell ref="G27:G28"/>
    <mergeCell ref="H27:H28"/>
    <mergeCell ref="M27:M28"/>
    <mergeCell ref="I27:I28"/>
    <mergeCell ref="J27:J28"/>
    <mergeCell ref="N27:N28"/>
  </mergeCells>
  <printOptions horizontalCentered="1" verticalCentered="1"/>
  <pageMargins left="0.51181102362204722" right="0.51181102362204722" top="0.78740157480314965" bottom="0.78740157480314965" header="0.31496062992125984" footer="0.31496062992125984"/>
  <pageSetup paperSize="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L25"/>
  <sheetViews>
    <sheetView workbookViewId="0">
      <selection activeCell="O21" sqref="O21"/>
    </sheetView>
  </sheetViews>
  <sheetFormatPr defaultColWidth="9.140625" defaultRowHeight="12.75"/>
  <cols>
    <col min="1" max="1" width="2.7109375" customWidth="1"/>
    <col min="2" max="2" width="7.7109375" customWidth="1"/>
    <col min="3" max="3" width="12.7109375" customWidth="1"/>
    <col min="4" max="10" width="14.7109375" customWidth="1"/>
    <col min="11" max="11" width="7.7109375" customWidth="1"/>
    <col min="12" max="12" width="2.7109375" customWidth="1"/>
  </cols>
  <sheetData>
    <row r="1" spans="1:12" ht="18" customHeight="1">
      <c r="A1" s="1152" t="s">
        <v>466</v>
      </c>
      <c r="B1" s="1152"/>
      <c r="C1" s="1152"/>
      <c r="D1" s="1152"/>
      <c r="E1" s="1152"/>
      <c r="F1" s="1152"/>
      <c r="G1" s="1152"/>
      <c r="H1" s="1152"/>
      <c r="I1" s="1152"/>
      <c r="J1" s="1152"/>
      <c r="K1" s="1152"/>
      <c r="L1" s="1152"/>
    </row>
    <row r="2" spans="1:12" ht="27" customHeight="1">
      <c r="A2" s="68"/>
      <c r="B2" s="1155"/>
      <c r="C2" s="1156"/>
      <c r="D2" s="1156"/>
      <c r="E2" s="1156"/>
      <c r="F2" s="1156"/>
      <c r="G2" s="1156"/>
      <c r="H2" s="1156"/>
      <c r="I2" s="1156"/>
      <c r="J2" s="1156"/>
      <c r="K2" s="1157"/>
      <c r="L2" s="65"/>
    </row>
    <row r="3" spans="1:12" ht="21.75" customHeight="1">
      <c r="A3" s="68"/>
      <c r="B3" s="106"/>
      <c r="C3" s="133"/>
      <c r="D3" s="133"/>
      <c r="E3" s="133"/>
      <c r="F3" s="133"/>
      <c r="G3" s="133"/>
      <c r="H3" s="133"/>
      <c r="I3" s="133"/>
      <c r="J3" s="133"/>
      <c r="K3" s="114"/>
      <c r="L3" s="66"/>
    </row>
    <row r="4" spans="1:12" ht="20.100000000000001" customHeight="1">
      <c r="A4" s="68"/>
      <c r="B4" s="106"/>
      <c r="C4" s="1178" t="s">
        <v>42</v>
      </c>
      <c r="D4" s="1178"/>
      <c r="E4" s="1178"/>
      <c r="F4" s="1178"/>
      <c r="G4" s="1178"/>
      <c r="H4" s="1178"/>
      <c r="I4" s="1178"/>
      <c r="J4" s="1178"/>
      <c r="K4" s="114"/>
      <c r="L4" s="66"/>
    </row>
    <row r="5" spans="1:12" ht="20.100000000000001" customHeight="1">
      <c r="A5" s="68"/>
      <c r="B5" s="106"/>
      <c r="C5" s="395"/>
      <c r="D5" s="395"/>
      <c r="E5" s="395"/>
      <c r="F5" s="395"/>
      <c r="G5" s="395"/>
      <c r="H5" s="395"/>
      <c r="I5" s="395"/>
      <c r="J5" s="395"/>
      <c r="K5" s="114"/>
      <c r="L5" s="66"/>
    </row>
    <row r="6" spans="1:12" ht="20.100000000000001" customHeight="1">
      <c r="A6" s="68"/>
      <c r="B6" s="106"/>
      <c r="C6" s="1179" t="s">
        <v>43</v>
      </c>
      <c r="D6" s="1179"/>
      <c r="E6" s="1179"/>
      <c r="F6" s="1179"/>
      <c r="G6" s="1179"/>
      <c r="H6" s="1179"/>
      <c r="I6" s="1179"/>
      <c r="J6" s="1179"/>
      <c r="K6" s="114"/>
      <c r="L6" s="66"/>
    </row>
    <row r="7" spans="1:12" ht="21" customHeight="1">
      <c r="A7" s="68"/>
      <c r="B7" s="107"/>
      <c r="C7" s="1171" t="s">
        <v>44</v>
      </c>
      <c r="D7" s="1173" t="s">
        <v>45</v>
      </c>
      <c r="E7" s="1174"/>
      <c r="F7" s="1175"/>
      <c r="G7" s="1173" t="s">
        <v>46</v>
      </c>
      <c r="H7" s="1174"/>
      <c r="I7" s="1175"/>
      <c r="J7" s="1176" t="s">
        <v>47</v>
      </c>
      <c r="K7" s="111"/>
      <c r="L7" s="66"/>
    </row>
    <row r="8" spans="1:12" ht="21" customHeight="1">
      <c r="A8" s="68"/>
      <c r="B8" s="107"/>
      <c r="C8" s="1172"/>
      <c r="D8" s="324" t="s">
        <v>48</v>
      </c>
      <c r="E8" s="324" t="s">
        <v>49</v>
      </c>
      <c r="F8" s="324" t="s">
        <v>3</v>
      </c>
      <c r="G8" s="324" t="s">
        <v>50</v>
      </c>
      <c r="H8" s="324" t="s">
        <v>51</v>
      </c>
      <c r="I8" s="324" t="s">
        <v>3</v>
      </c>
      <c r="J8" s="1177"/>
      <c r="K8" s="111"/>
      <c r="L8" s="66"/>
    </row>
    <row r="9" spans="1:12" ht="20.100000000000001" customHeight="1">
      <c r="A9" s="68"/>
      <c r="B9" s="107"/>
      <c r="C9" s="323">
        <v>2004</v>
      </c>
      <c r="D9" s="7">
        <v>7723</v>
      </c>
      <c r="E9" s="7">
        <v>783</v>
      </c>
      <c r="F9" s="7">
        <f t="shared" ref="F9:F18" si="0">SUM(D9:E9)</f>
        <v>8506</v>
      </c>
      <c r="G9" s="7">
        <v>4290</v>
      </c>
      <c r="H9" s="7">
        <v>454</v>
      </c>
      <c r="I9" s="7">
        <f t="shared" ref="I9:I18" si="1">SUM(G9:H9)</f>
        <v>4744</v>
      </c>
      <c r="J9" s="8">
        <f t="shared" ref="J9:J18" si="2">F9+I9</f>
        <v>13250</v>
      </c>
      <c r="K9" s="111"/>
      <c r="L9" s="66"/>
    </row>
    <row r="10" spans="1:12" ht="20.100000000000001" customHeight="1">
      <c r="A10" s="68"/>
      <c r="B10" s="107"/>
      <c r="C10" s="325">
        <v>2005</v>
      </c>
      <c r="D10" s="7">
        <v>10872</v>
      </c>
      <c r="E10" s="7">
        <v>1172</v>
      </c>
      <c r="F10" s="7">
        <f t="shared" si="0"/>
        <v>12044</v>
      </c>
      <c r="G10" s="7">
        <v>3191</v>
      </c>
      <c r="H10" s="7">
        <v>182</v>
      </c>
      <c r="I10" s="7">
        <f t="shared" si="1"/>
        <v>3373</v>
      </c>
      <c r="J10" s="8">
        <f t="shared" si="2"/>
        <v>15417</v>
      </c>
      <c r="K10" s="111"/>
      <c r="L10" s="66"/>
    </row>
    <row r="11" spans="1:12" ht="20.100000000000001" customHeight="1">
      <c r="A11" s="68"/>
      <c r="B11" s="107"/>
      <c r="C11" s="325">
        <v>2006</v>
      </c>
      <c r="D11" s="7">
        <f>9278</f>
        <v>9278</v>
      </c>
      <c r="E11" s="7">
        <v>446</v>
      </c>
      <c r="F11" s="7">
        <f t="shared" si="0"/>
        <v>9724</v>
      </c>
      <c r="G11" s="7">
        <v>1949</v>
      </c>
      <c r="H11" s="7">
        <v>182</v>
      </c>
      <c r="I11" s="7">
        <f t="shared" si="1"/>
        <v>2131</v>
      </c>
      <c r="J11" s="8">
        <f t="shared" si="2"/>
        <v>11855</v>
      </c>
      <c r="K11" s="111"/>
      <c r="L11" s="66"/>
    </row>
    <row r="12" spans="1:12" ht="20.100000000000001" customHeight="1">
      <c r="A12" s="68"/>
      <c r="B12" s="107"/>
      <c r="C12" s="325">
        <v>2007</v>
      </c>
      <c r="D12" s="7">
        <f>16781</f>
        <v>16781</v>
      </c>
      <c r="E12" s="7">
        <v>803</v>
      </c>
      <c r="F12" s="7">
        <f t="shared" si="0"/>
        <v>17584</v>
      </c>
      <c r="G12" s="7">
        <v>704</v>
      </c>
      <c r="H12" s="7">
        <v>182</v>
      </c>
      <c r="I12" s="7">
        <f t="shared" si="1"/>
        <v>886</v>
      </c>
      <c r="J12" s="8">
        <f t="shared" si="2"/>
        <v>18470</v>
      </c>
      <c r="K12" s="111"/>
      <c r="L12" s="66"/>
    </row>
    <row r="13" spans="1:12" ht="20.100000000000001" customHeight="1">
      <c r="A13" s="68"/>
      <c r="B13" s="107"/>
      <c r="C13" s="325">
        <v>2008</v>
      </c>
      <c r="D13" s="7">
        <v>11490</v>
      </c>
      <c r="E13" s="7">
        <v>1013</v>
      </c>
      <c r="F13" s="7">
        <f t="shared" si="0"/>
        <v>12503</v>
      </c>
      <c r="G13" s="7">
        <v>521</v>
      </c>
      <c r="H13" s="7">
        <v>178</v>
      </c>
      <c r="I13" s="7">
        <f t="shared" si="1"/>
        <v>699</v>
      </c>
      <c r="J13" s="8">
        <f t="shared" si="2"/>
        <v>13202</v>
      </c>
      <c r="K13" s="111"/>
      <c r="L13" s="66"/>
    </row>
    <row r="14" spans="1:12" ht="20.100000000000001" customHeight="1">
      <c r="A14" s="68"/>
      <c r="B14" s="107"/>
      <c r="C14" s="325">
        <v>2009</v>
      </c>
      <c r="D14" s="7">
        <v>14005</v>
      </c>
      <c r="E14" s="7">
        <v>651</v>
      </c>
      <c r="F14" s="7">
        <f t="shared" si="0"/>
        <v>14656</v>
      </c>
      <c r="G14" s="7">
        <v>494</v>
      </c>
      <c r="H14" s="7">
        <v>616</v>
      </c>
      <c r="I14" s="7">
        <f t="shared" si="1"/>
        <v>1110</v>
      </c>
      <c r="J14" s="8">
        <f t="shared" si="2"/>
        <v>15766</v>
      </c>
      <c r="K14" s="111"/>
      <c r="L14" s="66"/>
    </row>
    <row r="15" spans="1:12" ht="20.100000000000001" customHeight="1">
      <c r="A15" s="68"/>
      <c r="B15" s="107"/>
      <c r="C15" s="325">
        <v>2010</v>
      </c>
      <c r="D15" s="7">
        <v>8245</v>
      </c>
      <c r="E15" s="7">
        <v>699</v>
      </c>
      <c r="F15" s="7">
        <f t="shared" si="0"/>
        <v>8944</v>
      </c>
      <c r="G15" s="7">
        <v>506</v>
      </c>
      <c r="H15" s="7">
        <v>1648</v>
      </c>
      <c r="I15" s="7">
        <f t="shared" si="1"/>
        <v>2154</v>
      </c>
      <c r="J15" s="8">
        <f t="shared" si="2"/>
        <v>11098</v>
      </c>
      <c r="K15" s="111"/>
      <c r="L15" s="66"/>
    </row>
    <row r="16" spans="1:12" ht="20.100000000000001" customHeight="1">
      <c r="A16" s="68"/>
      <c r="B16" s="107"/>
      <c r="C16" s="325">
        <v>2011</v>
      </c>
      <c r="D16" s="7">
        <v>8233</v>
      </c>
      <c r="E16" s="7">
        <v>1005</v>
      </c>
      <c r="F16" s="7">
        <f t="shared" si="0"/>
        <v>9238</v>
      </c>
      <c r="G16" s="7">
        <v>487</v>
      </c>
      <c r="H16" s="7">
        <v>1615</v>
      </c>
      <c r="I16" s="7">
        <f t="shared" si="1"/>
        <v>2102</v>
      </c>
      <c r="J16" s="8">
        <f t="shared" si="2"/>
        <v>11340</v>
      </c>
      <c r="K16" s="111"/>
      <c r="L16" s="66"/>
    </row>
    <row r="17" spans="1:12" ht="20.100000000000001" customHeight="1">
      <c r="A17" s="68"/>
      <c r="B17" s="107"/>
      <c r="C17" s="325">
        <v>2012</v>
      </c>
      <c r="D17" s="7">
        <v>7722</v>
      </c>
      <c r="E17" s="7">
        <v>693</v>
      </c>
      <c r="F17" s="7">
        <f t="shared" si="0"/>
        <v>8415</v>
      </c>
      <c r="G17" s="7">
        <v>33.418999999999997</v>
      </c>
      <c r="H17" s="7">
        <v>1614.56</v>
      </c>
      <c r="I17" s="7">
        <f t="shared" si="1"/>
        <v>1647.979</v>
      </c>
      <c r="J17" s="8">
        <f t="shared" si="2"/>
        <v>10062.978999999999</v>
      </c>
      <c r="K17" s="111"/>
      <c r="L17" s="65"/>
    </row>
    <row r="18" spans="1:12" ht="20.100000000000001" customHeight="1">
      <c r="A18" s="68"/>
      <c r="B18" s="107"/>
      <c r="C18" s="325">
        <v>2013</v>
      </c>
      <c r="D18" s="7">
        <v>12366</v>
      </c>
      <c r="E18" s="7">
        <v>1572</v>
      </c>
      <c r="F18" s="7">
        <f t="shared" si="0"/>
        <v>13938</v>
      </c>
      <c r="G18" s="7">
        <v>33.418999999999997</v>
      </c>
      <c r="H18" s="9">
        <v>1619.6645166666665</v>
      </c>
      <c r="I18" s="7">
        <f t="shared" si="1"/>
        <v>1653.0835166666666</v>
      </c>
      <c r="J18" s="8">
        <f t="shared" si="2"/>
        <v>15591.083516666666</v>
      </c>
      <c r="K18" s="111"/>
      <c r="L18" s="65"/>
    </row>
    <row r="19" spans="1:12" ht="20.100000000000001" customHeight="1">
      <c r="A19" s="68"/>
      <c r="B19" s="107"/>
      <c r="C19" s="325">
        <v>2014</v>
      </c>
      <c r="D19" s="9">
        <v>14163</v>
      </c>
      <c r="E19" s="9">
        <v>1055</v>
      </c>
      <c r="F19" s="7">
        <f>SUM(D19:E19)</f>
        <v>15218</v>
      </c>
      <c r="G19" s="7">
        <v>33.418999999999997</v>
      </c>
      <c r="H19" s="9">
        <v>1619.6645166666665</v>
      </c>
      <c r="I19" s="7">
        <f>SUM(G19:H19)</f>
        <v>1653.0835166666666</v>
      </c>
      <c r="J19" s="8">
        <f>F19+I19</f>
        <v>16871.083516666666</v>
      </c>
      <c r="K19" s="111"/>
      <c r="L19" s="65"/>
    </row>
    <row r="20" spans="1:12" ht="20.100000000000001" customHeight="1">
      <c r="A20" s="68"/>
      <c r="B20" s="107"/>
      <c r="C20" s="325">
        <v>2015</v>
      </c>
      <c r="D20" s="9">
        <v>12983</v>
      </c>
      <c r="E20" s="9">
        <v>1386.03</v>
      </c>
      <c r="F20" s="7">
        <f>SUM(D20:E20)</f>
        <v>14369.03</v>
      </c>
      <c r="G20" s="7">
        <v>0</v>
      </c>
      <c r="H20" s="9">
        <v>1546.817</v>
      </c>
      <c r="I20" s="7">
        <f>SUM(G20:H20)</f>
        <v>1546.817</v>
      </c>
      <c r="J20" s="8">
        <f>F20+I20</f>
        <v>15915.847000000002</v>
      </c>
      <c r="K20" s="111"/>
      <c r="L20" s="65"/>
    </row>
    <row r="21" spans="1:12" ht="20.100000000000001" customHeight="1">
      <c r="A21" s="68"/>
      <c r="B21" s="107"/>
      <c r="C21" s="135" t="s">
        <v>52</v>
      </c>
      <c r="D21" s="136"/>
      <c r="E21" s="136"/>
      <c r="F21" s="136"/>
      <c r="G21" s="136"/>
      <c r="H21" s="136"/>
      <c r="I21" s="136"/>
      <c r="J21" s="136"/>
      <c r="K21" s="111"/>
      <c r="L21" s="65"/>
    </row>
    <row r="22" spans="1:12" ht="20.100000000000001" customHeight="1">
      <c r="A22" s="68"/>
      <c r="B22" s="125"/>
      <c r="C22" s="467" t="s">
        <v>350</v>
      </c>
      <c r="D22" s="118"/>
      <c r="E22" s="126"/>
      <c r="F22" s="118"/>
      <c r="G22" s="126"/>
      <c r="H22" s="118"/>
      <c r="I22" s="118"/>
      <c r="J22" s="118"/>
      <c r="K22" s="137"/>
      <c r="L22" s="65"/>
    </row>
    <row r="23" spans="1:12" ht="17.25" customHeight="1">
      <c r="A23" s="68"/>
      <c r="B23" s="120"/>
      <c r="C23" s="192"/>
      <c r="D23" s="121"/>
      <c r="E23" s="121"/>
      <c r="F23" s="121"/>
      <c r="G23" s="121"/>
      <c r="H23" s="121"/>
      <c r="I23" s="121"/>
      <c r="J23" s="121"/>
      <c r="K23" s="139"/>
      <c r="L23" s="65"/>
    </row>
    <row r="24" spans="1:12" ht="18" customHeight="1">
      <c r="A24" s="65"/>
      <c r="B24" s="65"/>
      <c r="C24" s="193"/>
      <c r="D24" s="65"/>
      <c r="E24" s="65"/>
      <c r="F24" s="65"/>
      <c r="G24" s="65"/>
      <c r="H24" s="65"/>
      <c r="I24" s="65"/>
      <c r="J24" s="65"/>
      <c r="K24" s="65"/>
      <c r="L24" s="65"/>
    </row>
    <row r="25" spans="1:12">
      <c r="C25" s="4"/>
    </row>
  </sheetData>
  <mergeCells count="8">
    <mergeCell ref="A1:L1"/>
    <mergeCell ref="B2:K2"/>
    <mergeCell ref="C7:C8"/>
    <mergeCell ref="D7:F7"/>
    <mergeCell ref="G7:I7"/>
    <mergeCell ref="J7:J8"/>
    <mergeCell ref="C4:J4"/>
    <mergeCell ref="C6:J6"/>
  </mergeCells>
  <printOptions horizontalCentered="1" verticalCentered="1"/>
  <pageMargins left="0.51181102362204722" right="0.51181102362204722" top="0.78740157480314965" bottom="0.78740157480314965" header="0.31496062992125984" footer="0.31496062992125984"/>
  <pageSetup paperSize="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O24"/>
  <sheetViews>
    <sheetView workbookViewId="0">
      <selection sqref="A1:O1"/>
    </sheetView>
  </sheetViews>
  <sheetFormatPr defaultRowHeight="12.75"/>
  <cols>
    <col min="1" max="1" width="2.7109375" customWidth="1"/>
    <col min="2" max="2" width="13.28515625" customWidth="1"/>
    <col min="3" max="3" width="8.28515625" customWidth="1"/>
    <col min="4" max="4" width="8.140625" customWidth="1"/>
    <col min="5" max="5" width="8.28515625" customWidth="1"/>
    <col min="6" max="6" width="8.140625" customWidth="1"/>
    <col min="7" max="7" width="8.28515625" customWidth="1"/>
    <col min="8" max="8" width="12.7109375" customWidth="1"/>
    <col min="9" max="9" width="10.28515625" customWidth="1"/>
    <col min="10" max="10" width="8.42578125" customWidth="1"/>
    <col min="11" max="11" width="11.42578125" bestFit="1" customWidth="1"/>
    <col min="12" max="12" width="14" customWidth="1"/>
    <col min="13" max="13" width="9.28515625" customWidth="1"/>
    <col min="14" max="14" width="10.140625" bestFit="1" customWidth="1"/>
    <col min="15" max="15" width="2.7109375" customWidth="1"/>
    <col min="251" max="251" width="3.28515625" customWidth="1"/>
    <col min="252" max="252" width="13.28515625" customWidth="1"/>
    <col min="253" max="253" width="8.28515625" customWidth="1"/>
    <col min="254" max="254" width="8.140625" customWidth="1"/>
    <col min="255" max="255" width="8.28515625" customWidth="1"/>
    <col min="256" max="256" width="8.140625" customWidth="1"/>
    <col min="257" max="258" width="8.28515625" customWidth="1"/>
    <col min="259" max="259" width="12.7109375" customWidth="1"/>
    <col min="260" max="260" width="10.28515625" customWidth="1"/>
    <col min="261" max="261" width="8.42578125" customWidth="1"/>
    <col min="262" max="262" width="11.42578125" bestFit="1" customWidth="1"/>
    <col min="263" max="263" width="14" customWidth="1"/>
    <col min="264" max="264" width="11" bestFit="1" customWidth="1"/>
    <col min="265" max="265" width="10.140625" bestFit="1" customWidth="1"/>
    <col min="266" max="266" width="3.28515625" customWidth="1"/>
    <col min="267" max="267" width="8.85546875" bestFit="1" customWidth="1"/>
    <col min="507" max="507" width="3.28515625" customWidth="1"/>
    <col min="508" max="508" width="13.28515625" customWidth="1"/>
    <col min="509" max="509" width="8.28515625" customWidth="1"/>
    <col min="510" max="510" width="8.140625" customWidth="1"/>
    <col min="511" max="511" width="8.28515625" customWidth="1"/>
    <col min="512" max="512" width="8.140625" customWidth="1"/>
    <col min="513" max="514" width="8.28515625" customWidth="1"/>
    <col min="515" max="515" width="12.7109375" customWidth="1"/>
    <col min="516" max="516" width="10.28515625" customWidth="1"/>
    <col min="517" max="517" width="8.42578125" customWidth="1"/>
    <col min="518" max="518" width="11.42578125" bestFit="1" customWidth="1"/>
    <col min="519" max="519" width="14" customWidth="1"/>
    <col min="520" max="520" width="11" bestFit="1" customWidth="1"/>
    <col min="521" max="521" width="10.140625" bestFit="1" customWidth="1"/>
    <col min="522" max="522" width="3.28515625" customWidth="1"/>
    <col min="523" max="523" width="8.85546875" bestFit="1" customWidth="1"/>
    <col min="763" max="763" width="3.28515625" customWidth="1"/>
    <col min="764" max="764" width="13.28515625" customWidth="1"/>
    <col min="765" max="765" width="8.28515625" customWidth="1"/>
    <col min="766" max="766" width="8.140625" customWidth="1"/>
    <col min="767" max="767" width="8.28515625" customWidth="1"/>
    <col min="768" max="768" width="8.140625" customWidth="1"/>
    <col min="769" max="770" width="8.28515625" customWidth="1"/>
    <col min="771" max="771" width="12.7109375" customWidth="1"/>
    <col min="772" max="772" width="10.28515625" customWidth="1"/>
    <col min="773" max="773" width="8.42578125" customWidth="1"/>
    <col min="774" max="774" width="11.42578125" bestFit="1" customWidth="1"/>
    <col min="775" max="775" width="14" customWidth="1"/>
    <col min="776" max="776" width="11" bestFit="1" customWidth="1"/>
    <col min="777" max="777" width="10.140625" bestFit="1" customWidth="1"/>
    <col min="778" max="778" width="3.28515625" customWidth="1"/>
    <col min="779" max="779" width="8.85546875" bestFit="1" customWidth="1"/>
    <col min="1019" max="1019" width="3.28515625" customWidth="1"/>
    <col min="1020" max="1020" width="13.28515625" customWidth="1"/>
    <col min="1021" max="1021" width="8.28515625" customWidth="1"/>
    <col min="1022" max="1022" width="8.140625" customWidth="1"/>
    <col min="1023" max="1023" width="8.28515625" customWidth="1"/>
    <col min="1024" max="1024" width="8.140625" customWidth="1"/>
    <col min="1025" max="1026" width="8.28515625" customWidth="1"/>
    <col min="1027" max="1027" width="12.7109375" customWidth="1"/>
    <col min="1028" max="1028" width="10.28515625" customWidth="1"/>
    <col min="1029" max="1029" width="8.42578125" customWidth="1"/>
    <col min="1030" max="1030" width="11.42578125" bestFit="1" customWidth="1"/>
    <col min="1031" max="1031" width="14" customWidth="1"/>
    <col min="1032" max="1032" width="11" bestFit="1" customWidth="1"/>
    <col min="1033" max="1033" width="10.140625" bestFit="1" customWidth="1"/>
    <col min="1034" max="1034" width="3.28515625" customWidth="1"/>
    <col min="1035" max="1035" width="8.85546875" bestFit="1" customWidth="1"/>
    <col min="1275" max="1275" width="3.28515625" customWidth="1"/>
    <col min="1276" max="1276" width="13.28515625" customWidth="1"/>
    <col min="1277" max="1277" width="8.28515625" customWidth="1"/>
    <col min="1278" max="1278" width="8.140625" customWidth="1"/>
    <col min="1279" max="1279" width="8.28515625" customWidth="1"/>
    <col min="1280" max="1280" width="8.140625" customWidth="1"/>
    <col min="1281" max="1282" width="8.28515625" customWidth="1"/>
    <col min="1283" max="1283" width="12.7109375" customWidth="1"/>
    <col min="1284" max="1284" width="10.28515625" customWidth="1"/>
    <col min="1285" max="1285" width="8.42578125" customWidth="1"/>
    <col min="1286" max="1286" width="11.42578125" bestFit="1" customWidth="1"/>
    <col min="1287" max="1287" width="14" customWidth="1"/>
    <col min="1288" max="1288" width="11" bestFit="1" customWidth="1"/>
    <col min="1289" max="1289" width="10.140625" bestFit="1" customWidth="1"/>
    <col min="1290" max="1290" width="3.28515625" customWidth="1"/>
    <col min="1291" max="1291" width="8.85546875" bestFit="1" customWidth="1"/>
    <col min="1531" max="1531" width="3.28515625" customWidth="1"/>
    <col min="1532" max="1532" width="13.28515625" customWidth="1"/>
    <col min="1533" max="1533" width="8.28515625" customWidth="1"/>
    <col min="1534" max="1534" width="8.140625" customWidth="1"/>
    <col min="1535" max="1535" width="8.28515625" customWidth="1"/>
    <col min="1536" max="1536" width="8.140625" customWidth="1"/>
    <col min="1537" max="1538" width="8.28515625" customWidth="1"/>
    <col min="1539" max="1539" width="12.7109375" customWidth="1"/>
    <col min="1540" max="1540" width="10.28515625" customWidth="1"/>
    <col min="1541" max="1541" width="8.42578125" customWidth="1"/>
    <col min="1542" max="1542" width="11.42578125" bestFit="1" customWidth="1"/>
    <col min="1543" max="1543" width="14" customWidth="1"/>
    <col min="1544" max="1544" width="11" bestFit="1" customWidth="1"/>
    <col min="1545" max="1545" width="10.140625" bestFit="1" customWidth="1"/>
    <col min="1546" max="1546" width="3.28515625" customWidth="1"/>
    <col min="1547" max="1547" width="8.85546875" bestFit="1" customWidth="1"/>
    <col min="1787" max="1787" width="3.28515625" customWidth="1"/>
    <col min="1788" max="1788" width="13.28515625" customWidth="1"/>
    <col min="1789" max="1789" width="8.28515625" customWidth="1"/>
    <col min="1790" max="1790" width="8.140625" customWidth="1"/>
    <col min="1791" max="1791" width="8.28515625" customWidth="1"/>
    <col min="1792" max="1792" width="8.140625" customWidth="1"/>
    <col min="1793" max="1794" width="8.28515625" customWidth="1"/>
    <col min="1795" max="1795" width="12.7109375" customWidth="1"/>
    <col min="1796" max="1796" width="10.28515625" customWidth="1"/>
    <col min="1797" max="1797" width="8.42578125" customWidth="1"/>
    <col min="1798" max="1798" width="11.42578125" bestFit="1" customWidth="1"/>
    <col min="1799" max="1799" width="14" customWidth="1"/>
    <col min="1800" max="1800" width="11" bestFit="1" customWidth="1"/>
    <col min="1801" max="1801" width="10.140625" bestFit="1" customWidth="1"/>
    <col min="1802" max="1802" width="3.28515625" customWidth="1"/>
    <col min="1803" max="1803" width="8.85546875" bestFit="1" customWidth="1"/>
    <col min="2043" max="2043" width="3.28515625" customWidth="1"/>
    <col min="2044" max="2044" width="13.28515625" customWidth="1"/>
    <col min="2045" max="2045" width="8.28515625" customWidth="1"/>
    <col min="2046" max="2046" width="8.140625" customWidth="1"/>
    <col min="2047" max="2047" width="8.28515625" customWidth="1"/>
    <col min="2048" max="2048" width="8.140625" customWidth="1"/>
    <col min="2049" max="2050" width="8.28515625" customWidth="1"/>
    <col min="2051" max="2051" width="12.7109375" customWidth="1"/>
    <col min="2052" max="2052" width="10.28515625" customWidth="1"/>
    <col min="2053" max="2053" width="8.42578125" customWidth="1"/>
    <col min="2054" max="2054" width="11.42578125" bestFit="1" customWidth="1"/>
    <col min="2055" max="2055" width="14" customWidth="1"/>
    <col min="2056" max="2056" width="11" bestFit="1" customWidth="1"/>
    <col min="2057" max="2057" width="10.140625" bestFit="1" customWidth="1"/>
    <col min="2058" max="2058" width="3.28515625" customWidth="1"/>
    <col min="2059" max="2059" width="8.85546875" bestFit="1" customWidth="1"/>
    <col min="2299" max="2299" width="3.28515625" customWidth="1"/>
    <col min="2300" max="2300" width="13.28515625" customWidth="1"/>
    <col min="2301" max="2301" width="8.28515625" customWidth="1"/>
    <col min="2302" max="2302" width="8.140625" customWidth="1"/>
    <col min="2303" max="2303" width="8.28515625" customWidth="1"/>
    <col min="2304" max="2304" width="8.140625" customWidth="1"/>
    <col min="2305" max="2306" width="8.28515625" customWidth="1"/>
    <col min="2307" max="2307" width="12.7109375" customWidth="1"/>
    <col min="2308" max="2308" width="10.28515625" customWidth="1"/>
    <col min="2309" max="2309" width="8.42578125" customWidth="1"/>
    <col min="2310" max="2310" width="11.42578125" bestFit="1" customWidth="1"/>
    <col min="2311" max="2311" width="14" customWidth="1"/>
    <col min="2312" max="2312" width="11" bestFit="1" customWidth="1"/>
    <col min="2313" max="2313" width="10.140625" bestFit="1" customWidth="1"/>
    <col min="2314" max="2314" width="3.28515625" customWidth="1"/>
    <col min="2315" max="2315" width="8.85546875" bestFit="1" customWidth="1"/>
    <col min="2555" max="2555" width="3.28515625" customWidth="1"/>
    <col min="2556" max="2556" width="13.28515625" customWidth="1"/>
    <col min="2557" max="2557" width="8.28515625" customWidth="1"/>
    <col min="2558" max="2558" width="8.140625" customWidth="1"/>
    <col min="2559" max="2559" width="8.28515625" customWidth="1"/>
    <col min="2560" max="2560" width="8.140625" customWidth="1"/>
    <col min="2561" max="2562" width="8.28515625" customWidth="1"/>
    <col min="2563" max="2563" width="12.7109375" customWidth="1"/>
    <col min="2564" max="2564" width="10.28515625" customWidth="1"/>
    <col min="2565" max="2565" width="8.42578125" customWidth="1"/>
    <col min="2566" max="2566" width="11.42578125" bestFit="1" customWidth="1"/>
    <col min="2567" max="2567" width="14" customWidth="1"/>
    <col min="2568" max="2568" width="11" bestFit="1" customWidth="1"/>
    <col min="2569" max="2569" width="10.140625" bestFit="1" customWidth="1"/>
    <col min="2570" max="2570" width="3.28515625" customWidth="1"/>
    <col min="2571" max="2571" width="8.85546875" bestFit="1" customWidth="1"/>
    <col min="2811" max="2811" width="3.28515625" customWidth="1"/>
    <col min="2812" max="2812" width="13.28515625" customWidth="1"/>
    <col min="2813" max="2813" width="8.28515625" customWidth="1"/>
    <col min="2814" max="2814" width="8.140625" customWidth="1"/>
    <col min="2815" max="2815" width="8.28515625" customWidth="1"/>
    <col min="2816" max="2816" width="8.140625" customWidth="1"/>
    <col min="2817" max="2818" width="8.28515625" customWidth="1"/>
    <col min="2819" max="2819" width="12.7109375" customWidth="1"/>
    <col min="2820" max="2820" width="10.28515625" customWidth="1"/>
    <col min="2821" max="2821" width="8.42578125" customWidth="1"/>
    <col min="2822" max="2822" width="11.42578125" bestFit="1" customWidth="1"/>
    <col min="2823" max="2823" width="14" customWidth="1"/>
    <col min="2824" max="2824" width="11" bestFit="1" customWidth="1"/>
    <col min="2825" max="2825" width="10.140625" bestFit="1" customWidth="1"/>
    <col min="2826" max="2826" width="3.28515625" customWidth="1"/>
    <col min="2827" max="2827" width="8.85546875" bestFit="1" customWidth="1"/>
    <col min="3067" max="3067" width="3.28515625" customWidth="1"/>
    <col min="3068" max="3068" width="13.28515625" customWidth="1"/>
    <col min="3069" max="3069" width="8.28515625" customWidth="1"/>
    <col min="3070" max="3070" width="8.140625" customWidth="1"/>
    <col min="3071" max="3071" width="8.28515625" customWidth="1"/>
    <col min="3072" max="3072" width="8.140625" customWidth="1"/>
    <col min="3073" max="3074" width="8.28515625" customWidth="1"/>
    <col min="3075" max="3075" width="12.7109375" customWidth="1"/>
    <col min="3076" max="3076" width="10.28515625" customWidth="1"/>
    <col min="3077" max="3077" width="8.42578125" customWidth="1"/>
    <col min="3078" max="3078" width="11.42578125" bestFit="1" customWidth="1"/>
    <col min="3079" max="3079" width="14" customWidth="1"/>
    <col min="3080" max="3080" width="11" bestFit="1" customWidth="1"/>
    <col min="3081" max="3081" width="10.140625" bestFit="1" customWidth="1"/>
    <col min="3082" max="3082" width="3.28515625" customWidth="1"/>
    <col min="3083" max="3083" width="8.85546875" bestFit="1" customWidth="1"/>
    <col min="3323" max="3323" width="3.28515625" customWidth="1"/>
    <col min="3324" max="3324" width="13.28515625" customWidth="1"/>
    <col min="3325" max="3325" width="8.28515625" customWidth="1"/>
    <col min="3326" max="3326" width="8.140625" customWidth="1"/>
    <col min="3327" max="3327" width="8.28515625" customWidth="1"/>
    <col min="3328" max="3328" width="8.140625" customWidth="1"/>
    <col min="3329" max="3330" width="8.28515625" customWidth="1"/>
    <col min="3331" max="3331" width="12.7109375" customWidth="1"/>
    <col min="3332" max="3332" width="10.28515625" customWidth="1"/>
    <col min="3333" max="3333" width="8.42578125" customWidth="1"/>
    <col min="3334" max="3334" width="11.42578125" bestFit="1" customWidth="1"/>
    <col min="3335" max="3335" width="14" customWidth="1"/>
    <col min="3336" max="3336" width="11" bestFit="1" customWidth="1"/>
    <col min="3337" max="3337" width="10.140625" bestFit="1" customWidth="1"/>
    <col min="3338" max="3338" width="3.28515625" customWidth="1"/>
    <col min="3339" max="3339" width="8.85546875" bestFit="1" customWidth="1"/>
    <col min="3579" max="3579" width="3.28515625" customWidth="1"/>
    <col min="3580" max="3580" width="13.28515625" customWidth="1"/>
    <col min="3581" max="3581" width="8.28515625" customWidth="1"/>
    <col min="3582" max="3582" width="8.140625" customWidth="1"/>
    <col min="3583" max="3583" width="8.28515625" customWidth="1"/>
    <col min="3584" max="3584" width="8.140625" customWidth="1"/>
    <col min="3585" max="3586" width="8.28515625" customWidth="1"/>
    <col min="3587" max="3587" width="12.7109375" customWidth="1"/>
    <col min="3588" max="3588" width="10.28515625" customWidth="1"/>
    <col min="3589" max="3589" width="8.42578125" customWidth="1"/>
    <col min="3590" max="3590" width="11.42578125" bestFit="1" customWidth="1"/>
    <col min="3591" max="3591" width="14" customWidth="1"/>
    <col min="3592" max="3592" width="11" bestFit="1" customWidth="1"/>
    <col min="3593" max="3593" width="10.140625" bestFit="1" customWidth="1"/>
    <col min="3594" max="3594" width="3.28515625" customWidth="1"/>
    <col min="3595" max="3595" width="8.85546875" bestFit="1" customWidth="1"/>
    <col min="3835" max="3835" width="3.28515625" customWidth="1"/>
    <col min="3836" max="3836" width="13.28515625" customWidth="1"/>
    <col min="3837" max="3837" width="8.28515625" customWidth="1"/>
    <col min="3838" max="3838" width="8.140625" customWidth="1"/>
    <col min="3839" max="3839" width="8.28515625" customWidth="1"/>
    <col min="3840" max="3840" width="8.140625" customWidth="1"/>
    <col min="3841" max="3842" width="8.28515625" customWidth="1"/>
    <col min="3843" max="3843" width="12.7109375" customWidth="1"/>
    <col min="3844" max="3844" width="10.28515625" customWidth="1"/>
    <col min="3845" max="3845" width="8.42578125" customWidth="1"/>
    <col min="3846" max="3846" width="11.42578125" bestFit="1" customWidth="1"/>
    <col min="3847" max="3847" width="14" customWidth="1"/>
    <col min="3848" max="3848" width="11" bestFit="1" customWidth="1"/>
    <col min="3849" max="3849" width="10.140625" bestFit="1" customWidth="1"/>
    <col min="3850" max="3850" width="3.28515625" customWidth="1"/>
    <col min="3851" max="3851" width="8.85546875" bestFit="1" customWidth="1"/>
    <col min="4091" max="4091" width="3.28515625" customWidth="1"/>
    <col min="4092" max="4092" width="13.28515625" customWidth="1"/>
    <col min="4093" max="4093" width="8.28515625" customWidth="1"/>
    <col min="4094" max="4094" width="8.140625" customWidth="1"/>
    <col min="4095" max="4095" width="8.28515625" customWidth="1"/>
    <col min="4096" max="4096" width="8.140625" customWidth="1"/>
    <col min="4097" max="4098" width="8.28515625" customWidth="1"/>
    <col min="4099" max="4099" width="12.7109375" customWidth="1"/>
    <col min="4100" max="4100" width="10.28515625" customWidth="1"/>
    <col min="4101" max="4101" width="8.42578125" customWidth="1"/>
    <col min="4102" max="4102" width="11.42578125" bestFit="1" customWidth="1"/>
    <col min="4103" max="4103" width="14" customWidth="1"/>
    <col min="4104" max="4104" width="11" bestFit="1" customWidth="1"/>
    <col min="4105" max="4105" width="10.140625" bestFit="1" customWidth="1"/>
    <col min="4106" max="4106" width="3.28515625" customWidth="1"/>
    <col min="4107" max="4107" width="8.85546875" bestFit="1" customWidth="1"/>
    <col min="4347" max="4347" width="3.28515625" customWidth="1"/>
    <col min="4348" max="4348" width="13.28515625" customWidth="1"/>
    <col min="4349" max="4349" width="8.28515625" customWidth="1"/>
    <col min="4350" max="4350" width="8.140625" customWidth="1"/>
    <col min="4351" max="4351" width="8.28515625" customWidth="1"/>
    <col min="4352" max="4352" width="8.140625" customWidth="1"/>
    <col min="4353" max="4354" width="8.28515625" customWidth="1"/>
    <col min="4355" max="4355" width="12.7109375" customWidth="1"/>
    <col min="4356" max="4356" width="10.28515625" customWidth="1"/>
    <col min="4357" max="4357" width="8.42578125" customWidth="1"/>
    <col min="4358" max="4358" width="11.42578125" bestFit="1" customWidth="1"/>
    <col min="4359" max="4359" width="14" customWidth="1"/>
    <col min="4360" max="4360" width="11" bestFit="1" customWidth="1"/>
    <col min="4361" max="4361" width="10.140625" bestFit="1" customWidth="1"/>
    <col min="4362" max="4362" width="3.28515625" customWidth="1"/>
    <col min="4363" max="4363" width="8.85546875" bestFit="1" customWidth="1"/>
    <col min="4603" max="4603" width="3.28515625" customWidth="1"/>
    <col min="4604" max="4604" width="13.28515625" customWidth="1"/>
    <col min="4605" max="4605" width="8.28515625" customWidth="1"/>
    <col min="4606" max="4606" width="8.140625" customWidth="1"/>
    <col min="4607" max="4607" width="8.28515625" customWidth="1"/>
    <col min="4608" max="4608" width="8.140625" customWidth="1"/>
    <col min="4609" max="4610" width="8.28515625" customWidth="1"/>
    <col min="4611" max="4611" width="12.7109375" customWidth="1"/>
    <col min="4612" max="4612" width="10.28515625" customWidth="1"/>
    <col min="4613" max="4613" width="8.42578125" customWidth="1"/>
    <col min="4614" max="4614" width="11.42578125" bestFit="1" customWidth="1"/>
    <col min="4615" max="4615" width="14" customWidth="1"/>
    <col min="4616" max="4616" width="11" bestFit="1" customWidth="1"/>
    <col min="4617" max="4617" width="10.140625" bestFit="1" customWidth="1"/>
    <col min="4618" max="4618" width="3.28515625" customWidth="1"/>
    <col min="4619" max="4619" width="8.85546875" bestFit="1" customWidth="1"/>
    <col min="4859" max="4859" width="3.28515625" customWidth="1"/>
    <col min="4860" max="4860" width="13.28515625" customWidth="1"/>
    <col min="4861" max="4861" width="8.28515625" customWidth="1"/>
    <col min="4862" max="4862" width="8.140625" customWidth="1"/>
    <col min="4863" max="4863" width="8.28515625" customWidth="1"/>
    <col min="4864" max="4864" width="8.140625" customWidth="1"/>
    <col min="4865" max="4866" width="8.28515625" customWidth="1"/>
    <col min="4867" max="4867" width="12.7109375" customWidth="1"/>
    <col min="4868" max="4868" width="10.28515625" customWidth="1"/>
    <col min="4869" max="4869" width="8.42578125" customWidth="1"/>
    <col min="4870" max="4870" width="11.42578125" bestFit="1" customWidth="1"/>
    <col min="4871" max="4871" width="14" customWidth="1"/>
    <col min="4872" max="4872" width="11" bestFit="1" customWidth="1"/>
    <col min="4873" max="4873" width="10.140625" bestFit="1" customWidth="1"/>
    <col min="4874" max="4874" width="3.28515625" customWidth="1"/>
    <col min="4875" max="4875" width="8.85546875" bestFit="1" customWidth="1"/>
    <col min="5115" max="5115" width="3.28515625" customWidth="1"/>
    <col min="5116" max="5116" width="13.28515625" customWidth="1"/>
    <col min="5117" max="5117" width="8.28515625" customWidth="1"/>
    <col min="5118" max="5118" width="8.140625" customWidth="1"/>
    <col min="5119" max="5119" width="8.28515625" customWidth="1"/>
    <col min="5120" max="5120" width="8.140625" customWidth="1"/>
    <col min="5121" max="5122" width="8.28515625" customWidth="1"/>
    <col min="5123" max="5123" width="12.7109375" customWidth="1"/>
    <col min="5124" max="5124" width="10.28515625" customWidth="1"/>
    <col min="5125" max="5125" width="8.42578125" customWidth="1"/>
    <col min="5126" max="5126" width="11.42578125" bestFit="1" customWidth="1"/>
    <col min="5127" max="5127" width="14" customWidth="1"/>
    <col min="5128" max="5128" width="11" bestFit="1" customWidth="1"/>
    <col min="5129" max="5129" width="10.140625" bestFit="1" customWidth="1"/>
    <col min="5130" max="5130" width="3.28515625" customWidth="1"/>
    <col min="5131" max="5131" width="8.85546875" bestFit="1" customWidth="1"/>
    <col min="5371" max="5371" width="3.28515625" customWidth="1"/>
    <col min="5372" max="5372" width="13.28515625" customWidth="1"/>
    <col min="5373" max="5373" width="8.28515625" customWidth="1"/>
    <col min="5374" max="5374" width="8.140625" customWidth="1"/>
    <col min="5375" max="5375" width="8.28515625" customWidth="1"/>
    <col min="5376" max="5376" width="8.140625" customWidth="1"/>
    <col min="5377" max="5378" width="8.28515625" customWidth="1"/>
    <col min="5379" max="5379" width="12.7109375" customWidth="1"/>
    <col min="5380" max="5380" width="10.28515625" customWidth="1"/>
    <col min="5381" max="5381" width="8.42578125" customWidth="1"/>
    <col min="5382" max="5382" width="11.42578125" bestFit="1" customWidth="1"/>
    <col min="5383" max="5383" width="14" customWidth="1"/>
    <col min="5384" max="5384" width="11" bestFit="1" customWidth="1"/>
    <col min="5385" max="5385" width="10.140625" bestFit="1" customWidth="1"/>
    <col min="5386" max="5386" width="3.28515625" customWidth="1"/>
    <col min="5387" max="5387" width="8.85546875" bestFit="1" customWidth="1"/>
    <col min="5627" max="5627" width="3.28515625" customWidth="1"/>
    <col min="5628" max="5628" width="13.28515625" customWidth="1"/>
    <col min="5629" max="5629" width="8.28515625" customWidth="1"/>
    <col min="5630" max="5630" width="8.140625" customWidth="1"/>
    <col min="5631" max="5631" width="8.28515625" customWidth="1"/>
    <col min="5632" max="5632" width="8.140625" customWidth="1"/>
    <col min="5633" max="5634" width="8.28515625" customWidth="1"/>
    <col min="5635" max="5635" width="12.7109375" customWidth="1"/>
    <col min="5636" max="5636" width="10.28515625" customWidth="1"/>
    <col min="5637" max="5637" width="8.42578125" customWidth="1"/>
    <col min="5638" max="5638" width="11.42578125" bestFit="1" customWidth="1"/>
    <col min="5639" max="5639" width="14" customWidth="1"/>
    <col min="5640" max="5640" width="11" bestFit="1" customWidth="1"/>
    <col min="5641" max="5641" width="10.140625" bestFit="1" customWidth="1"/>
    <col min="5642" max="5642" width="3.28515625" customWidth="1"/>
    <col min="5643" max="5643" width="8.85546875" bestFit="1" customWidth="1"/>
    <col min="5883" max="5883" width="3.28515625" customWidth="1"/>
    <col min="5884" max="5884" width="13.28515625" customWidth="1"/>
    <col min="5885" max="5885" width="8.28515625" customWidth="1"/>
    <col min="5886" max="5886" width="8.140625" customWidth="1"/>
    <col min="5887" max="5887" width="8.28515625" customWidth="1"/>
    <col min="5888" max="5888" width="8.140625" customWidth="1"/>
    <col min="5889" max="5890" width="8.28515625" customWidth="1"/>
    <col min="5891" max="5891" width="12.7109375" customWidth="1"/>
    <col min="5892" max="5892" width="10.28515625" customWidth="1"/>
    <col min="5893" max="5893" width="8.42578125" customWidth="1"/>
    <col min="5894" max="5894" width="11.42578125" bestFit="1" customWidth="1"/>
    <col min="5895" max="5895" width="14" customWidth="1"/>
    <col min="5896" max="5896" width="11" bestFit="1" customWidth="1"/>
    <col min="5897" max="5897" width="10.140625" bestFit="1" customWidth="1"/>
    <col min="5898" max="5898" width="3.28515625" customWidth="1"/>
    <col min="5899" max="5899" width="8.85546875" bestFit="1" customWidth="1"/>
    <col min="6139" max="6139" width="3.28515625" customWidth="1"/>
    <col min="6140" max="6140" width="13.28515625" customWidth="1"/>
    <col min="6141" max="6141" width="8.28515625" customWidth="1"/>
    <col min="6142" max="6142" width="8.140625" customWidth="1"/>
    <col min="6143" max="6143" width="8.28515625" customWidth="1"/>
    <col min="6144" max="6144" width="8.140625" customWidth="1"/>
    <col min="6145" max="6146" width="8.28515625" customWidth="1"/>
    <col min="6147" max="6147" width="12.7109375" customWidth="1"/>
    <col min="6148" max="6148" width="10.28515625" customWidth="1"/>
    <col min="6149" max="6149" width="8.42578125" customWidth="1"/>
    <col min="6150" max="6150" width="11.42578125" bestFit="1" customWidth="1"/>
    <col min="6151" max="6151" width="14" customWidth="1"/>
    <col min="6152" max="6152" width="11" bestFit="1" customWidth="1"/>
    <col min="6153" max="6153" width="10.140625" bestFit="1" customWidth="1"/>
    <col min="6154" max="6154" width="3.28515625" customWidth="1"/>
    <col min="6155" max="6155" width="8.85546875" bestFit="1" customWidth="1"/>
    <col min="6395" max="6395" width="3.28515625" customWidth="1"/>
    <col min="6396" max="6396" width="13.28515625" customWidth="1"/>
    <col min="6397" max="6397" width="8.28515625" customWidth="1"/>
    <col min="6398" max="6398" width="8.140625" customWidth="1"/>
    <col min="6399" max="6399" width="8.28515625" customWidth="1"/>
    <col min="6400" max="6400" width="8.140625" customWidth="1"/>
    <col min="6401" max="6402" width="8.28515625" customWidth="1"/>
    <col min="6403" max="6403" width="12.7109375" customWidth="1"/>
    <col min="6404" max="6404" width="10.28515625" customWidth="1"/>
    <col min="6405" max="6405" width="8.42578125" customWidth="1"/>
    <col min="6406" max="6406" width="11.42578125" bestFit="1" customWidth="1"/>
    <col min="6407" max="6407" width="14" customWidth="1"/>
    <col min="6408" max="6408" width="11" bestFit="1" customWidth="1"/>
    <col min="6409" max="6409" width="10.140625" bestFit="1" customWidth="1"/>
    <col min="6410" max="6410" width="3.28515625" customWidth="1"/>
    <col min="6411" max="6411" width="8.85546875" bestFit="1" customWidth="1"/>
    <col min="6651" max="6651" width="3.28515625" customWidth="1"/>
    <col min="6652" max="6652" width="13.28515625" customWidth="1"/>
    <col min="6653" max="6653" width="8.28515625" customWidth="1"/>
    <col min="6654" max="6654" width="8.140625" customWidth="1"/>
    <col min="6655" max="6655" width="8.28515625" customWidth="1"/>
    <col min="6656" max="6656" width="8.140625" customWidth="1"/>
    <col min="6657" max="6658" width="8.28515625" customWidth="1"/>
    <col min="6659" max="6659" width="12.7109375" customWidth="1"/>
    <col min="6660" max="6660" width="10.28515625" customWidth="1"/>
    <col min="6661" max="6661" width="8.42578125" customWidth="1"/>
    <col min="6662" max="6662" width="11.42578125" bestFit="1" customWidth="1"/>
    <col min="6663" max="6663" width="14" customWidth="1"/>
    <col min="6664" max="6664" width="11" bestFit="1" customWidth="1"/>
    <col min="6665" max="6665" width="10.140625" bestFit="1" customWidth="1"/>
    <col min="6666" max="6666" width="3.28515625" customWidth="1"/>
    <col min="6667" max="6667" width="8.85546875" bestFit="1" customWidth="1"/>
    <col min="6907" max="6907" width="3.28515625" customWidth="1"/>
    <col min="6908" max="6908" width="13.28515625" customWidth="1"/>
    <col min="6909" max="6909" width="8.28515625" customWidth="1"/>
    <col min="6910" max="6910" width="8.140625" customWidth="1"/>
    <col min="6911" max="6911" width="8.28515625" customWidth="1"/>
    <col min="6912" max="6912" width="8.140625" customWidth="1"/>
    <col min="6913" max="6914" width="8.28515625" customWidth="1"/>
    <col min="6915" max="6915" width="12.7109375" customWidth="1"/>
    <col min="6916" max="6916" width="10.28515625" customWidth="1"/>
    <col min="6917" max="6917" width="8.42578125" customWidth="1"/>
    <col min="6918" max="6918" width="11.42578125" bestFit="1" customWidth="1"/>
    <col min="6919" max="6919" width="14" customWidth="1"/>
    <col min="6920" max="6920" width="11" bestFit="1" customWidth="1"/>
    <col min="6921" max="6921" width="10.140625" bestFit="1" customWidth="1"/>
    <col min="6922" max="6922" width="3.28515625" customWidth="1"/>
    <col min="6923" max="6923" width="8.85546875" bestFit="1" customWidth="1"/>
    <col min="7163" max="7163" width="3.28515625" customWidth="1"/>
    <col min="7164" max="7164" width="13.28515625" customWidth="1"/>
    <col min="7165" max="7165" width="8.28515625" customWidth="1"/>
    <col min="7166" max="7166" width="8.140625" customWidth="1"/>
    <col min="7167" max="7167" width="8.28515625" customWidth="1"/>
    <col min="7168" max="7168" width="8.140625" customWidth="1"/>
    <col min="7169" max="7170" width="8.28515625" customWidth="1"/>
    <col min="7171" max="7171" width="12.7109375" customWidth="1"/>
    <col min="7172" max="7172" width="10.28515625" customWidth="1"/>
    <col min="7173" max="7173" width="8.42578125" customWidth="1"/>
    <col min="7174" max="7174" width="11.42578125" bestFit="1" customWidth="1"/>
    <col min="7175" max="7175" width="14" customWidth="1"/>
    <col min="7176" max="7176" width="11" bestFit="1" customWidth="1"/>
    <col min="7177" max="7177" width="10.140625" bestFit="1" customWidth="1"/>
    <col min="7178" max="7178" width="3.28515625" customWidth="1"/>
    <col min="7179" max="7179" width="8.85546875" bestFit="1" customWidth="1"/>
    <col min="7419" max="7419" width="3.28515625" customWidth="1"/>
    <col min="7420" max="7420" width="13.28515625" customWidth="1"/>
    <col min="7421" max="7421" width="8.28515625" customWidth="1"/>
    <col min="7422" max="7422" width="8.140625" customWidth="1"/>
    <col min="7423" max="7423" width="8.28515625" customWidth="1"/>
    <col min="7424" max="7424" width="8.140625" customWidth="1"/>
    <col min="7425" max="7426" width="8.28515625" customWidth="1"/>
    <col min="7427" max="7427" width="12.7109375" customWidth="1"/>
    <col min="7428" max="7428" width="10.28515625" customWidth="1"/>
    <col min="7429" max="7429" width="8.42578125" customWidth="1"/>
    <col min="7430" max="7430" width="11.42578125" bestFit="1" customWidth="1"/>
    <col min="7431" max="7431" width="14" customWidth="1"/>
    <col min="7432" max="7432" width="11" bestFit="1" customWidth="1"/>
    <col min="7433" max="7433" width="10.140625" bestFit="1" customWidth="1"/>
    <col min="7434" max="7434" width="3.28515625" customWidth="1"/>
    <col min="7435" max="7435" width="8.85546875" bestFit="1" customWidth="1"/>
    <col min="7675" max="7675" width="3.28515625" customWidth="1"/>
    <col min="7676" max="7676" width="13.28515625" customWidth="1"/>
    <col min="7677" max="7677" width="8.28515625" customWidth="1"/>
    <col min="7678" max="7678" width="8.140625" customWidth="1"/>
    <col min="7679" max="7679" width="8.28515625" customWidth="1"/>
    <col min="7680" max="7680" width="8.140625" customWidth="1"/>
    <col min="7681" max="7682" width="8.28515625" customWidth="1"/>
    <col min="7683" max="7683" width="12.7109375" customWidth="1"/>
    <col min="7684" max="7684" width="10.28515625" customWidth="1"/>
    <col min="7685" max="7685" width="8.42578125" customWidth="1"/>
    <col min="7686" max="7686" width="11.42578125" bestFit="1" customWidth="1"/>
    <col min="7687" max="7687" width="14" customWidth="1"/>
    <col min="7688" max="7688" width="11" bestFit="1" customWidth="1"/>
    <col min="7689" max="7689" width="10.140625" bestFit="1" customWidth="1"/>
    <col min="7690" max="7690" width="3.28515625" customWidth="1"/>
    <col min="7691" max="7691" width="8.85546875" bestFit="1" customWidth="1"/>
    <col min="7931" max="7931" width="3.28515625" customWidth="1"/>
    <col min="7932" max="7932" width="13.28515625" customWidth="1"/>
    <col min="7933" max="7933" width="8.28515625" customWidth="1"/>
    <col min="7934" max="7934" width="8.140625" customWidth="1"/>
    <col min="7935" max="7935" width="8.28515625" customWidth="1"/>
    <col min="7936" max="7936" width="8.140625" customWidth="1"/>
    <col min="7937" max="7938" width="8.28515625" customWidth="1"/>
    <col min="7939" max="7939" width="12.7109375" customWidth="1"/>
    <col min="7940" max="7940" width="10.28515625" customWidth="1"/>
    <col min="7941" max="7941" width="8.42578125" customWidth="1"/>
    <col min="7942" max="7942" width="11.42578125" bestFit="1" customWidth="1"/>
    <col min="7943" max="7943" width="14" customWidth="1"/>
    <col min="7944" max="7944" width="11" bestFit="1" customWidth="1"/>
    <col min="7945" max="7945" width="10.140625" bestFit="1" customWidth="1"/>
    <col min="7946" max="7946" width="3.28515625" customWidth="1"/>
    <col min="7947" max="7947" width="8.85546875" bestFit="1" customWidth="1"/>
    <col min="8187" max="8187" width="3.28515625" customWidth="1"/>
    <col min="8188" max="8188" width="13.28515625" customWidth="1"/>
    <col min="8189" max="8189" width="8.28515625" customWidth="1"/>
    <col min="8190" max="8190" width="8.140625" customWidth="1"/>
    <col min="8191" max="8191" width="8.28515625" customWidth="1"/>
    <col min="8192" max="8192" width="8.140625" customWidth="1"/>
    <col min="8193" max="8194" width="8.28515625" customWidth="1"/>
    <col min="8195" max="8195" width="12.7109375" customWidth="1"/>
    <col min="8196" max="8196" width="10.28515625" customWidth="1"/>
    <col min="8197" max="8197" width="8.42578125" customWidth="1"/>
    <col min="8198" max="8198" width="11.42578125" bestFit="1" customWidth="1"/>
    <col min="8199" max="8199" width="14" customWidth="1"/>
    <col min="8200" max="8200" width="11" bestFit="1" customWidth="1"/>
    <col min="8201" max="8201" width="10.140625" bestFit="1" customWidth="1"/>
    <col min="8202" max="8202" width="3.28515625" customWidth="1"/>
    <col min="8203" max="8203" width="8.85546875" bestFit="1" customWidth="1"/>
    <col min="8443" max="8443" width="3.28515625" customWidth="1"/>
    <col min="8444" max="8444" width="13.28515625" customWidth="1"/>
    <col min="8445" max="8445" width="8.28515625" customWidth="1"/>
    <col min="8446" max="8446" width="8.140625" customWidth="1"/>
    <col min="8447" max="8447" width="8.28515625" customWidth="1"/>
    <col min="8448" max="8448" width="8.140625" customWidth="1"/>
    <col min="8449" max="8450" width="8.28515625" customWidth="1"/>
    <col min="8451" max="8451" width="12.7109375" customWidth="1"/>
    <col min="8452" max="8452" width="10.28515625" customWidth="1"/>
    <col min="8453" max="8453" width="8.42578125" customWidth="1"/>
    <col min="8454" max="8454" width="11.42578125" bestFit="1" customWidth="1"/>
    <col min="8455" max="8455" width="14" customWidth="1"/>
    <col min="8456" max="8456" width="11" bestFit="1" customWidth="1"/>
    <col min="8457" max="8457" width="10.140625" bestFit="1" customWidth="1"/>
    <col min="8458" max="8458" width="3.28515625" customWidth="1"/>
    <col min="8459" max="8459" width="8.85546875" bestFit="1" customWidth="1"/>
    <col min="8699" max="8699" width="3.28515625" customWidth="1"/>
    <col min="8700" max="8700" width="13.28515625" customWidth="1"/>
    <col min="8701" max="8701" width="8.28515625" customWidth="1"/>
    <col min="8702" max="8702" width="8.140625" customWidth="1"/>
    <col min="8703" max="8703" width="8.28515625" customWidth="1"/>
    <col min="8704" max="8704" width="8.140625" customWidth="1"/>
    <col min="8705" max="8706" width="8.28515625" customWidth="1"/>
    <col min="8707" max="8707" width="12.7109375" customWidth="1"/>
    <col min="8708" max="8708" width="10.28515625" customWidth="1"/>
    <col min="8709" max="8709" width="8.42578125" customWidth="1"/>
    <col min="8710" max="8710" width="11.42578125" bestFit="1" customWidth="1"/>
    <col min="8711" max="8711" width="14" customWidth="1"/>
    <col min="8712" max="8712" width="11" bestFit="1" customWidth="1"/>
    <col min="8713" max="8713" width="10.140625" bestFit="1" customWidth="1"/>
    <col min="8714" max="8714" width="3.28515625" customWidth="1"/>
    <col min="8715" max="8715" width="8.85546875" bestFit="1" customWidth="1"/>
    <col min="8955" max="8955" width="3.28515625" customWidth="1"/>
    <col min="8956" max="8956" width="13.28515625" customWidth="1"/>
    <col min="8957" max="8957" width="8.28515625" customWidth="1"/>
    <col min="8958" max="8958" width="8.140625" customWidth="1"/>
    <col min="8959" max="8959" width="8.28515625" customWidth="1"/>
    <col min="8960" max="8960" width="8.140625" customWidth="1"/>
    <col min="8961" max="8962" width="8.28515625" customWidth="1"/>
    <col min="8963" max="8963" width="12.7109375" customWidth="1"/>
    <col min="8964" max="8964" width="10.28515625" customWidth="1"/>
    <col min="8965" max="8965" width="8.42578125" customWidth="1"/>
    <col min="8966" max="8966" width="11.42578125" bestFit="1" customWidth="1"/>
    <col min="8967" max="8967" width="14" customWidth="1"/>
    <col min="8968" max="8968" width="11" bestFit="1" customWidth="1"/>
    <col min="8969" max="8969" width="10.140625" bestFit="1" customWidth="1"/>
    <col min="8970" max="8970" width="3.28515625" customWidth="1"/>
    <col min="8971" max="8971" width="8.85546875" bestFit="1" customWidth="1"/>
    <col min="9211" max="9211" width="3.28515625" customWidth="1"/>
    <col min="9212" max="9212" width="13.28515625" customWidth="1"/>
    <col min="9213" max="9213" width="8.28515625" customWidth="1"/>
    <col min="9214" max="9214" width="8.140625" customWidth="1"/>
    <col min="9215" max="9215" width="8.28515625" customWidth="1"/>
    <col min="9216" max="9216" width="8.140625" customWidth="1"/>
    <col min="9217" max="9218" width="8.28515625" customWidth="1"/>
    <col min="9219" max="9219" width="12.7109375" customWidth="1"/>
    <col min="9220" max="9220" width="10.28515625" customWidth="1"/>
    <col min="9221" max="9221" width="8.42578125" customWidth="1"/>
    <col min="9222" max="9222" width="11.42578125" bestFit="1" customWidth="1"/>
    <col min="9223" max="9223" width="14" customWidth="1"/>
    <col min="9224" max="9224" width="11" bestFit="1" customWidth="1"/>
    <col min="9225" max="9225" width="10.140625" bestFit="1" customWidth="1"/>
    <col min="9226" max="9226" width="3.28515625" customWidth="1"/>
    <col min="9227" max="9227" width="8.85546875" bestFit="1" customWidth="1"/>
    <col min="9467" max="9467" width="3.28515625" customWidth="1"/>
    <col min="9468" max="9468" width="13.28515625" customWidth="1"/>
    <col min="9469" max="9469" width="8.28515625" customWidth="1"/>
    <col min="9470" max="9470" width="8.140625" customWidth="1"/>
    <col min="9471" max="9471" width="8.28515625" customWidth="1"/>
    <col min="9472" max="9472" width="8.140625" customWidth="1"/>
    <col min="9473" max="9474" width="8.28515625" customWidth="1"/>
    <col min="9475" max="9475" width="12.7109375" customWidth="1"/>
    <col min="9476" max="9476" width="10.28515625" customWidth="1"/>
    <col min="9477" max="9477" width="8.42578125" customWidth="1"/>
    <col min="9478" max="9478" width="11.42578125" bestFit="1" customWidth="1"/>
    <col min="9479" max="9479" width="14" customWidth="1"/>
    <col min="9480" max="9480" width="11" bestFit="1" customWidth="1"/>
    <col min="9481" max="9481" width="10.140625" bestFit="1" customWidth="1"/>
    <col min="9482" max="9482" width="3.28515625" customWidth="1"/>
    <col min="9483" max="9483" width="8.85546875" bestFit="1" customWidth="1"/>
    <col min="9723" max="9723" width="3.28515625" customWidth="1"/>
    <col min="9724" max="9724" width="13.28515625" customWidth="1"/>
    <col min="9725" max="9725" width="8.28515625" customWidth="1"/>
    <col min="9726" max="9726" width="8.140625" customWidth="1"/>
    <col min="9727" max="9727" width="8.28515625" customWidth="1"/>
    <col min="9728" max="9728" width="8.140625" customWidth="1"/>
    <col min="9729" max="9730" width="8.28515625" customWidth="1"/>
    <col min="9731" max="9731" width="12.7109375" customWidth="1"/>
    <col min="9732" max="9732" width="10.28515625" customWidth="1"/>
    <col min="9733" max="9733" width="8.42578125" customWidth="1"/>
    <col min="9734" max="9734" width="11.42578125" bestFit="1" customWidth="1"/>
    <col min="9735" max="9735" width="14" customWidth="1"/>
    <col min="9736" max="9736" width="11" bestFit="1" customWidth="1"/>
    <col min="9737" max="9737" width="10.140625" bestFit="1" customWidth="1"/>
    <col min="9738" max="9738" width="3.28515625" customWidth="1"/>
    <col min="9739" max="9739" width="8.85546875" bestFit="1" customWidth="1"/>
    <col min="9979" max="9979" width="3.28515625" customWidth="1"/>
    <col min="9980" max="9980" width="13.28515625" customWidth="1"/>
    <col min="9981" max="9981" width="8.28515625" customWidth="1"/>
    <col min="9982" max="9982" width="8.140625" customWidth="1"/>
    <col min="9983" max="9983" width="8.28515625" customWidth="1"/>
    <col min="9984" max="9984" width="8.140625" customWidth="1"/>
    <col min="9985" max="9986" width="8.28515625" customWidth="1"/>
    <col min="9987" max="9987" width="12.7109375" customWidth="1"/>
    <col min="9988" max="9988" width="10.28515625" customWidth="1"/>
    <col min="9989" max="9989" width="8.42578125" customWidth="1"/>
    <col min="9990" max="9990" width="11.42578125" bestFit="1" customWidth="1"/>
    <col min="9991" max="9991" width="14" customWidth="1"/>
    <col min="9992" max="9992" width="11" bestFit="1" customWidth="1"/>
    <col min="9993" max="9993" width="10.140625" bestFit="1" customWidth="1"/>
    <col min="9994" max="9994" width="3.28515625" customWidth="1"/>
    <col min="9995" max="9995" width="8.85546875" bestFit="1" customWidth="1"/>
    <col min="10235" max="10235" width="3.28515625" customWidth="1"/>
    <col min="10236" max="10236" width="13.28515625" customWidth="1"/>
    <col min="10237" max="10237" width="8.28515625" customWidth="1"/>
    <col min="10238" max="10238" width="8.140625" customWidth="1"/>
    <col min="10239" max="10239" width="8.28515625" customWidth="1"/>
    <col min="10240" max="10240" width="8.140625" customWidth="1"/>
    <col min="10241" max="10242" width="8.28515625" customWidth="1"/>
    <col min="10243" max="10243" width="12.7109375" customWidth="1"/>
    <col min="10244" max="10244" width="10.28515625" customWidth="1"/>
    <col min="10245" max="10245" width="8.42578125" customWidth="1"/>
    <col min="10246" max="10246" width="11.42578125" bestFit="1" customWidth="1"/>
    <col min="10247" max="10247" width="14" customWidth="1"/>
    <col min="10248" max="10248" width="11" bestFit="1" customWidth="1"/>
    <col min="10249" max="10249" width="10.140625" bestFit="1" customWidth="1"/>
    <col min="10250" max="10250" width="3.28515625" customWidth="1"/>
    <col min="10251" max="10251" width="8.85546875" bestFit="1" customWidth="1"/>
    <col min="10491" max="10491" width="3.28515625" customWidth="1"/>
    <col min="10492" max="10492" width="13.28515625" customWidth="1"/>
    <col min="10493" max="10493" width="8.28515625" customWidth="1"/>
    <col min="10494" max="10494" width="8.140625" customWidth="1"/>
    <col min="10495" max="10495" width="8.28515625" customWidth="1"/>
    <col min="10496" max="10496" width="8.140625" customWidth="1"/>
    <col min="10497" max="10498" width="8.28515625" customWidth="1"/>
    <col min="10499" max="10499" width="12.7109375" customWidth="1"/>
    <col min="10500" max="10500" width="10.28515625" customWidth="1"/>
    <col min="10501" max="10501" width="8.42578125" customWidth="1"/>
    <col min="10502" max="10502" width="11.42578125" bestFit="1" customWidth="1"/>
    <col min="10503" max="10503" width="14" customWidth="1"/>
    <col min="10504" max="10504" width="11" bestFit="1" customWidth="1"/>
    <col min="10505" max="10505" width="10.140625" bestFit="1" customWidth="1"/>
    <col min="10506" max="10506" width="3.28515625" customWidth="1"/>
    <col min="10507" max="10507" width="8.85546875" bestFit="1" customWidth="1"/>
    <col min="10747" max="10747" width="3.28515625" customWidth="1"/>
    <col min="10748" max="10748" width="13.28515625" customWidth="1"/>
    <col min="10749" max="10749" width="8.28515625" customWidth="1"/>
    <col min="10750" max="10750" width="8.140625" customWidth="1"/>
    <col min="10751" max="10751" width="8.28515625" customWidth="1"/>
    <col min="10752" max="10752" width="8.140625" customWidth="1"/>
    <col min="10753" max="10754" width="8.28515625" customWidth="1"/>
    <col min="10755" max="10755" width="12.7109375" customWidth="1"/>
    <col min="10756" max="10756" width="10.28515625" customWidth="1"/>
    <col min="10757" max="10757" width="8.42578125" customWidth="1"/>
    <col min="10758" max="10758" width="11.42578125" bestFit="1" customWidth="1"/>
    <col min="10759" max="10759" width="14" customWidth="1"/>
    <col min="10760" max="10760" width="11" bestFit="1" customWidth="1"/>
    <col min="10761" max="10761" width="10.140625" bestFit="1" customWidth="1"/>
    <col min="10762" max="10762" width="3.28515625" customWidth="1"/>
    <col min="10763" max="10763" width="8.85546875" bestFit="1" customWidth="1"/>
    <col min="11003" max="11003" width="3.28515625" customWidth="1"/>
    <col min="11004" max="11004" width="13.28515625" customWidth="1"/>
    <col min="11005" max="11005" width="8.28515625" customWidth="1"/>
    <col min="11006" max="11006" width="8.140625" customWidth="1"/>
    <col min="11007" max="11007" width="8.28515625" customWidth="1"/>
    <col min="11008" max="11008" width="8.140625" customWidth="1"/>
    <col min="11009" max="11010" width="8.28515625" customWidth="1"/>
    <col min="11011" max="11011" width="12.7109375" customWidth="1"/>
    <col min="11012" max="11012" width="10.28515625" customWidth="1"/>
    <col min="11013" max="11013" width="8.42578125" customWidth="1"/>
    <col min="11014" max="11014" width="11.42578125" bestFit="1" customWidth="1"/>
    <col min="11015" max="11015" width="14" customWidth="1"/>
    <col min="11016" max="11016" width="11" bestFit="1" customWidth="1"/>
    <col min="11017" max="11017" width="10.140625" bestFit="1" customWidth="1"/>
    <col min="11018" max="11018" width="3.28515625" customWidth="1"/>
    <col min="11019" max="11019" width="8.85546875" bestFit="1" customWidth="1"/>
    <col min="11259" max="11259" width="3.28515625" customWidth="1"/>
    <col min="11260" max="11260" width="13.28515625" customWidth="1"/>
    <col min="11261" max="11261" width="8.28515625" customWidth="1"/>
    <col min="11262" max="11262" width="8.140625" customWidth="1"/>
    <col min="11263" max="11263" width="8.28515625" customWidth="1"/>
    <col min="11264" max="11264" width="8.140625" customWidth="1"/>
    <col min="11265" max="11266" width="8.28515625" customWidth="1"/>
    <col min="11267" max="11267" width="12.7109375" customWidth="1"/>
    <col min="11268" max="11268" width="10.28515625" customWidth="1"/>
    <col min="11269" max="11269" width="8.42578125" customWidth="1"/>
    <col min="11270" max="11270" width="11.42578125" bestFit="1" customWidth="1"/>
    <col min="11271" max="11271" width="14" customWidth="1"/>
    <col min="11272" max="11272" width="11" bestFit="1" customWidth="1"/>
    <col min="11273" max="11273" width="10.140625" bestFit="1" customWidth="1"/>
    <col min="11274" max="11274" width="3.28515625" customWidth="1"/>
    <col min="11275" max="11275" width="8.85546875" bestFit="1" customWidth="1"/>
    <col min="11515" max="11515" width="3.28515625" customWidth="1"/>
    <col min="11516" max="11516" width="13.28515625" customWidth="1"/>
    <col min="11517" max="11517" width="8.28515625" customWidth="1"/>
    <col min="11518" max="11518" width="8.140625" customWidth="1"/>
    <col min="11519" max="11519" width="8.28515625" customWidth="1"/>
    <col min="11520" max="11520" width="8.140625" customWidth="1"/>
    <col min="11521" max="11522" width="8.28515625" customWidth="1"/>
    <col min="11523" max="11523" width="12.7109375" customWidth="1"/>
    <col min="11524" max="11524" width="10.28515625" customWidth="1"/>
    <col min="11525" max="11525" width="8.42578125" customWidth="1"/>
    <col min="11526" max="11526" width="11.42578125" bestFit="1" customWidth="1"/>
    <col min="11527" max="11527" width="14" customWidth="1"/>
    <col min="11528" max="11528" width="11" bestFit="1" customWidth="1"/>
    <col min="11529" max="11529" width="10.140625" bestFit="1" customWidth="1"/>
    <col min="11530" max="11530" width="3.28515625" customWidth="1"/>
    <col min="11531" max="11531" width="8.85546875" bestFit="1" customWidth="1"/>
    <col min="11771" max="11771" width="3.28515625" customWidth="1"/>
    <col min="11772" max="11772" width="13.28515625" customWidth="1"/>
    <col min="11773" max="11773" width="8.28515625" customWidth="1"/>
    <col min="11774" max="11774" width="8.140625" customWidth="1"/>
    <col min="11775" max="11775" width="8.28515625" customWidth="1"/>
    <col min="11776" max="11776" width="8.140625" customWidth="1"/>
    <col min="11777" max="11778" width="8.28515625" customWidth="1"/>
    <col min="11779" max="11779" width="12.7109375" customWidth="1"/>
    <col min="11780" max="11780" width="10.28515625" customWidth="1"/>
    <col min="11781" max="11781" width="8.42578125" customWidth="1"/>
    <col min="11782" max="11782" width="11.42578125" bestFit="1" customWidth="1"/>
    <col min="11783" max="11783" width="14" customWidth="1"/>
    <col min="11784" max="11784" width="11" bestFit="1" customWidth="1"/>
    <col min="11785" max="11785" width="10.140625" bestFit="1" customWidth="1"/>
    <col min="11786" max="11786" width="3.28515625" customWidth="1"/>
    <col min="11787" max="11787" width="8.85546875" bestFit="1" customWidth="1"/>
    <col min="12027" max="12027" width="3.28515625" customWidth="1"/>
    <col min="12028" max="12028" width="13.28515625" customWidth="1"/>
    <col min="12029" max="12029" width="8.28515625" customWidth="1"/>
    <col min="12030" max="12030" width="8.140625" customWidth="1"/>
    <col min="12031" max="12031" width="8.28515625" customWidth="1"/>
    <col min="12032" max="12032" width="8.140625" customWidth="1"/>
    <col min="12033" max="12034" width="8.28515625" customWidth="1"/>
    <col min="12035" max="12035" width="12.7109375" customWidth="1"/>
    <col min="12036" max="12036" width="10.28515625" customWidth="1"/>
    <col min="12037" max="12037" width="8.42578125" customWidth="1"/>
    <col min="12038" max="12038" width="11.42578125" bestFit="1" customWidth="1"/>
    <col min="12039" max="12039" width="14" customWidth="1"/>
    <col min="12040" max="12040" width="11" bestFit="1" customWidth="1"/>
    <col min="12041" max="12041" width="10.140625" bestFit="1" customWidth="1"/>
    <col min="12042" max="12042" width="3.28515625" customWidth="1"/>
    <col min="12043" max="12043" width="8.85546875" bestFit="1" customWidth="1"/>
    <col min="12283" max="12283" width="3.28515625" customWidth="1"/>
    <col min="12284" max="12284" width="13.28515625" customWidth="1"/>
    <col min="12285" max="12285" width="8.28515625" customWidth="1"/>
    <col min="12286" max="12286" width="8.140625" customWidth="1"/>
    <col min="12287" max="12287" width="8.28515625" customWidth="1"/>
    <col min="12288" max="12288" width="8.140625" customWidth="1"/>
    <col min="12289" max="12290" width="8.28515625" customWidth="1"/>
    <col min="12291" max="12291" width="12.7109375" customWidth="1"/>
    <col min="12292" max="12292" width="10.28515625" customWidth="1"/>
    <col min="12293" max="12293" width="8.42578125" customWidth="1"/>
    <col min="12294" max="12294" width="11.42578125" bestFit="1" customWidth="1"/>
    <col min="12295" max="12295" width="14" customWidth="1"/>
    <col min="12296" max="12296" width="11" bestFit="1" customWidth="1"/>
    <col min="12297" max="12297" width="10.140625" bestFit="1" customWidth="1"/>
    <col min="12298" max="12298" width="3.28515625" customWidth="1"/>
    <col min="12299" max="12299" width="8.85546875" bestFit="1" customWidth="1"/>
    <col min="12539" max="12539" width="3.28515625" customWidth="1"/>
    <col min="12540" max="12540" width="13.28515625" customWidth="1"/>
    <col min="12541" max="12541" width="8.28515625" customWidth="1"/>
    <col min="12542" max="12542" width="8.140625" customWidth="1"/>
    <col min="12543" max="12543" width="8.28515625" customWidth="1"/>
    <col min="12544" max="12544" width="8.140625" customWidth="1"/>
    <col min="12545" max="12546" width="8.28515625" customWidth="1"/>
    <col min="12547" max="12547" width="12.7109375" customWidth="1"/>
    <col min="12548" max="12548" width="10.28515625" customWidth="1"/>
    <col min="12549" max="12549" width="8.42578125" customWidth="1"/>
    <col min="12550" max="12550" width="11.42578125" bestFit="1" customWidth="1"/>
    <col min="12551" max="12551" width="14" customWidth="1"/>
    <col min="12552" max="12552" width="11" bestFit="1" customWidth="1"/>
    <col min="12553" max="12553" width="10.140625" bestFit="1" customWidth="1"/>
    <col min="12554" max="12554" width="3.28515625" customWidth="1"/>
    <col min="12555" max="12555" width="8.85546875" bestFit="1" customWidth="1"/>
    <col min="12795" max="12795" width="3.28515625" customWidth="1"/>
    <col min="12796" max="12796" width="13.28515625" customWidth="1"/>
    <col min="12797" max="12797" width="8.28515625" customWidth="1"/>
    <col min="12798" max="12798" width="8.140625" customWidth="1"/>
    <col min="12799" max="12799" width="8.28515625" customWidth="1"/>
    <col min="12800" max="12800" width="8.140625" customWidth="1"/>
    <col min="12801" max="12802" width="8.28515625" customWidth="1"/>
    <col min="12803" max="12803" width="12.7109375" customWidth="1"/>
    <col min="12804" max="12804" width="10.28515625" customWidth="1"/>
    <col min="12805" max="12805" width="8.42578125" customWidth="1"/>
    <col min="12806" max="12806" width="11.42578125" bestFit="1" customWidth="1"/>
    <col min="12807" max="12807" width="14" customWidth="1"/>
    <col min="12808" max="12808" width="11" bestFit="1" customWidth="1"/>
    <col min="12809" max="12809" width="10.140625" bestFit="1" customWidth="1"/>
    <col min="12810" max="12810" width="3.28515625" customWidth="1"/>
    <col min="12811" max="12811" width="8.85546875" bestFit="1" customWidth="1"/>
    <col min="13051" max="13051" width="3.28515625" customWidth="1"/>
    <col min="13052" max="13052" width="13.28515625" customWidth="1"/>
    <col min="13053" max="13053" width="8.28515625" customWidth="1"/>
    <col min="13054" max="13054" width="8.140625" customWidth="1"/>
    <col min="13055" max="13055" width="8.28515625" customWidth="1"/>
    <col min="13056" max="13056" width="8.140625" customWidth="1"/>
    <col min="13057" max="13058" width="8.28515625" customWidth="1"/>
    <col min="13059" max="13059" width="12.7109375" customWidth="1"/>
    <col min="13060" max="13060" width="10.28515625" customWidth="1"/>
    <col min="13061" max="13061" width="8.42578125" customWidth="1"/>
    <col min="13062" max="13062" width="11.42578125" bestFit="1" customWidth="1"/>
    <col min="13063" max="13063" width="14" customWidth="1"/>
    <col min="13064" max="13064" width="11" bestFit="1" customWidth="1"/>
    <col min="13065" max="13065" width="10.140625" bestFit="1" customWidth="1"/>
    <col min="13066" max="13066" width="3.28515625" customWidth="1"/>
    <col min="13067" max="13067" width="8.85546875" bestFit="1" customWidth="1"/>
    <col min="13307" max="13307" width="3.28515625" customWidth="1"/>
    <col min="13308" max="13308" width="13.28515625" customWidth="1"/>
    <col min="13309" max="13309" width="8.28515625" customWidth="1"/>
    <col min="13310" max="13310" width="8.140625" customWidth="1"/>
    <col min="13311" max="13311" width="8.28515625" customWidth="1"/>
    <col min="13312" max="13312" width="8.140625" customWidth="1"/>
    <col min="13313" max="13314" width="8.28515625" customWidth="1"/>
    <col min="13315" max="13315" width="12.7109375" customWidth="1"/>
    <col min="13316" max="13316" width="10.28515625" customWidth="1"/>
    <col min="13317" max="13317" width="8.42578125" customWidth="1"/>
    <col min="13318" max="13318" width="11.42578125" bestFit="1" customWidth="1"/>
    <col min="13319" max="13319" width="14" customWidth="1"/>
    <col min="13320" max="13320" width="11" bestFit="1" customWidth="1"/>
    <col min="13321" max="13321" width="10.140625" bestFit="1" customWidth="1"/>
    <col min="13322" max="13322" width="3.28515625" customWidth="1"/>
    <col min="13323" max="13323" width="8.85546875" bestFit="1" customWidth="1"/>
    <col min="13563" max="13563" width="3.28515625" customWidth="1"/>
    <col min="13564" max="13564" width="13.28515625" customWidth="1"/>
    <col min="13565" max="13565" width="8.28515625" customWidth="1"/>
    <col min="13566" max="13566" width="8.140625" customWidth="1"/>
    <col min="13567" max="13567" width="8.28515625" customWidth="1"/>
    <col min="13568" max="13568" width="8.140625" customWidth="1"/>
    <col min="13569" max="13570" width="8.28515625" customWidth="1"/>
    <col min="13571" max="13571" width="12.7109375" customWidth="1"/>
    <col min="13572" max="13572" width="10.28515625" customWidth="1"/>
    <col min="13573" max="13573" width="8.42578125" customWidth="1"/>
    <col min="13574" max="13574" width="11.42578125" bestFit="1" customWidth="1"/>
    <col min="13575" max="13575" width="14" customWidth="1"/>
    <col min="13576" max="13576" width="11" bestFit="1" customWidth="1"/>
    <col min="13577" max="13577" width="10.140625" bestFit="1" customWidth="1"/>
    <col min="13578" max="13578" width="3.28515625" customWidth="1"/>
    <col min="13579" max="13579" width="8.85546875" bestFit="1" customWidth="1"/>
    <col min="13819" max="13819" width="3.28515625" customWidth="1"/>
    <col min="13820" max="13820" width="13.28515625" customWidth="1"/>
    <col min="13821" max="13821" width="8.28515625" customWidth="1"/>
    <col min="13822" max="13822" width="8.140625" customWidth="1"/>
    <col min="13823" max="13823" width="8.28515625" customWidth="1"/>
    <col min="13824" max="13824" width="8.140625" customWidth="1"/>
    <col min="13825" max="13826" width="8.28515625" customWidth="1"/>
    <col min="13827" max="13827" width="12.7109375" customWidth="1"/>
    <col min="13828" max="13828" width="10.28515625" customWidth="1"/>
    <col min="13829" max="13829" width="8.42578125" customWidth="1"/>
    <col min="13830" max="13830" width="11.42578125" bestFit="1" customWidth="1"/>
    <col min="13831" max="13831" width="14" customWidth="1"/>
    <col min="13832" max="13832" width="11" bestFit="1" customWidth="1"/>
    <col min="13833" max="13833" width="10.140625" bestFit="1" customWidth="1"/>
    <col min="13834" max="13834" width="3.28515625" customWidth="1"/>
    <col min="13835" max="13835" width="8.85546875" bestFit="1" customWidth="1"/>
    <col min="14075" max="14075" width="3.28515625" customWidth="1"/>
    <col min="14076" max="14076" width="13.28515625" customWidth="1"/>
    <col min="14077" max="14077" width="8.28515625" customWidth="1"/>
    <col min="14078" max="14078" width="8.140625" customWidth="1"/>
    <col min="14079" max="14079" width="8.28515625" customWidth="1"/>
    <col min="14080" max="14080" width="8.140625" customWidth="1"/>
    <col min="14081" max="14082" width="8.28515625" customWidth="1"/>
    <col min="14083" max="14083" width="12.7109375" customWidth="1"/>
    <col min="14084" max="14084" width="10.28515625" customWidth="1"/>
    <col min="14085" max="14085" width="8.42578125" customWidth="1"/>
    <col min="14086" max="14086" width="11.42578125" bestFit="1" customWidth="1"/>
    <col min="14087" max="14087" width="14" customWidth="1"/>
    <col min="14088" max="14088" width="11" bestFit="1" customWidth="1"/>
    <col min="14089" max="14089" width="10.140625" bestFit="1" customWidth="1"/>
    <col min="14090" max="14090" width="3.28515625" customWidth="1"/>
    <col min="14091" max="14091" width="8.85546875" bestFit="1" customWidth="1"/>
    <col min="14331" max="14331" width="3.28515625" customWidth="1"/>
    <col min="14332" max="14332" width="13.28515625" customWidth="1"/>
    <col min="14333" max="14333" width="8.28515625" customWidth="1"/>
    <col min="14334" max="14334" width="8.140625" customWidth="1"/>
    <col min="14335" max="14335" width="8.28515625" customWidth="1"/>
    <col min="14336" max="14336" width="8.140625" customWidth="1"/>
    <col min="14337" max="14338" width="8.28515625" customWidth="1"/>
    <col min="14339" max="14339" width="12.7109375" customWidth="1"/>
    <col min="14340" max="14340" width="10.28515625" customWidth="1"/>
    <col min="14341" max="14341" width="8.42578125" customWidth="1"/>
    <col min="14342" max="14342" width="11.42578125" bestFit="1" customWidth="1"/>
    <col min="14343" max="14343" width="14" customWidth="1"/>
    <col min="14344" max="14344" width="11" bestFit="1" customWidth="1"/>
    <col min="14345" max="14345" width="10.140625" bestFit="1" customWidth="1"/>
    <col min="14346" max="14346" width="3.28515625" customWidth="1"/>
    <col min="14347" max="14347" width="8.85546875" bestFit="1" customWidth="1"/>
    <col min="14587" max="14587" width="3.28515625" customWidth="1"/>
    <col min="14588" max="14588" width="13.28515625" customWidth="1"/>
    <col min="14589" max="14589" width="8.28515625" customWidth="1"/>
    <col min="14590" max="14590" width="8.140625" customWidth="1"/>
    <col min="14591" max="14591" width="8.28515625" customWidth="1"/>
    <col min="14592" max="14592" width="8.140625" customWidth="1"/>
    <col min="14593" max="14594" width="8.28515625" customWidth="1"/>
    <col min="14595" max="14595" width="12.7109375" customWidth="1"/>
    <col min="14596" max="14596" width="10.28515625" customWidth="1"/>
    <col min="14597" max="14597" width="8.42578125" customWidth="1"/>
    <col min="14598" max="14598" width="11.42578125" bestFit="1" customWidth="1"/>
    <col min="14599" max="14599" width="14" customWidth="1"/>
    <col min="14600" max="14600" width="11" bestFit="1" customWidth="1"/>
    <col min="14601" max="14601" width="10.140625" bestFit="1" customWidth="1"/>
    <col min="14602" max="14602" width="3.28515625" customWidth="1"/>
    <col min="14603" max="14603" width="8.85546875" bestFit="1" customWidth="1"/>
    <col min="14843" max="14843" width="3.28515625" customWidth="1"/>
    <col min="14844" max="14844" width="13.28515625" customWidth="1"/>
    <col min="14845" max="14845" width="8.28515625" customWidth="1"/>
    <col min="14846" max="14846" width="8.140625" customWidth="1"/>
    <col min="14847" max="14847" width="8.28515625" customWidth="1"/>
    <col min="14848" max="14848" width="8.140625" customWidth="1"/>
    <col min="14849" max="14850" width="8.28515625" customWidth="1"/>
    <col min="14851" max="14851" width="12.7109375" customWidth="1"/>
    <col min="14852" max="14852" width="10.28515625" customWidth="1"/>
    <col min="14853" max="14853" width="8.42578125" customWidth="1"/>
    <col min="14854" max="14854" width="11.42578125" bestFit="1" customWidth="1"/>
    <col min="14855" max="14855" width="14" customWidth="1"/>
    <col min="14856" max="14856" width="11" bestFit="1" customWidth="1"/>
    <col min="14857" max="14857" width="10.140625" bestFit="1" customWidth="1"/>
    <col min="14858" max="14858" width="3.28515625" customWidth="1"/>
    <col min="14859" max="14859" width="8.85546875" bestFit="1" customWidth="1"/>
    <col min="15099" max="15099" width="3.28515625" customWidth="1"/>
    <col min="15100" max="15100" width="13.28515625" customWidth="1"/>
    <col min="15101" max="15101" width="8.28515625" customWidth="1"/>
    <col min="15102" max="15102" width="8.140625" customWidth="1"/>
    <col min="15103" max="15103" width="8.28515625" customWidth="1"/>
    <col min="15104" max="15104" width="8.140625" customWidth="1"/>
    <col min="15105" max="15106" width="8.28515625" customWidth="1"/>
    <col min="15107" max="15107" width="12.7109375" customWidth="1"/>
    <col min="15108" max="15108" width="10.28515625" customWidth="1"/>
    <col min="15109" max="15109" width="8.42578125" customWidth="1"/>
    <col min="15110" max="15110" width="11.42578125" bestFit="1" customWidth="1"/>
    <col min="15111" max="15111" width="14" customWidth="1"/>
    <col min="15112" max="15112" width="11" bestFit="1" customWidth="1"/>
    <col min="15113" max="15113" width="10.140625" bestFit="1" customWidth="1"/>
    <col min="15114" max="15114" width="3.28515625" customWidth="1"/>
    <col min="15115" max="15115" width="8.85546875" bestFit="1" customWidth="1"/>
    <col min="15355" max="15355" width="3.28515625" customWidth="1"/>
    <col min="15356" max="15356" width="13.28515625" customWidth="1"/>
    <col min="15357" max="15357" width="8.28515625" customWidth="1"/>
    <col min="15358" max="15358" width="8.140625" customWidth="1"/>
    <col min="15359" max="15359" width="8.28515625" customWidth="1"/>
    <col min="15360" max="15360" width="8.140625" customWidth="1"/>
    <col min="15361" max="15362" width="8.28515625" customWidth="1"/>
    <col min="15363" max="15363" width="12.7109375" customWidth="1"/>
    <col min="15364" max="15364" width="10.28515625" customWidth="1"/>
    <col min="15365" max="15365" width="8.42578125" customWidth="1"/>
    <col min="15366" max="15366" width="11.42578125" bestFit="1" customWidth="1"/>
    <col min="15367" max="15367" width="14" customWidth="1"/>
    <col min="15368" max="15368" width="11" bestFit="1" customWidth="1"/>
    <col min="15369" max="15369" width="10.140625" bestFit="1" customWidth="1"/>
    <col min="15370" max="15370" width="3.28515625" customWidth="1"/>
    <col min="15371" max="15371" width="8.85546875" bestFit="1" customWidth="1"/>
    <col min="15611" max="15611" width="3.28515625" customWidth="1"/>
    <col min="15612" max="15612" width="13.28515625" customWidth="1"/>
    <col min="15613" max="15613" width="8.28515625" customWidth="1"/>
    <col min="15614" max="15614" width="8.140625" customWidth="1"/>
    <col min="15615" max="15615" width="8.28515625" customWidth="1"/>
    <col min="15616" max="15616" width="8.140625" customWidth="1"/>
    <col min="15617" max="15618" width="8.28515625" customWidth="1"/>
    <col min="15619" max="15619" width="12.7109375" customWidth="1"/>
    <col min="15620" max="15620" width="10.28515625" customWidth="1"/>
    <col min="15621" max="15621" width="8.42578125" customWidth="1"/>
    <col min="15622" max="15622" width="11.42578125" bestFit="1" customWidth="1"/>
    <col min="15623" max="15623" width="14" customWidth="1"/>
    <col min="15624" max="15624" width="11" bestFit="1" customWidth="1"/>
    <col min="15625" max="15625" width="10.140625" bestFit="1" customWidth="1"/>
    <col min="15626" max="15626" width="3.28515625" customWidth="1"/>
    <col min="15627" max="15627" width="8.85546875" bestFit="1" customWidth="1"/>
    <col min="15867" max="15867" width="3.28515625" customWidth="1"/>
    <col min="15868" max="15868" width="13.28515625" customWidth="1"/>
    <col min="15869" max="15869" width="8.28515625" customWidth="1"/>
    <col min="15870" max="15870" width="8.140625" customWidth="1"/>
    <col min="15871" max="15871" width="8.28515625" customWidth="1"/>
    <col min="15872" max="15872" width="8.140625" customWidth="1"/>
    <col min="15873" max="15874" width="8.28515625" customWidth="1"/>
    <col min="15875" max="15875" width="12.7109375" customWidth="1"/>
    <col min="15876" max="15876" width="10.28515625" customWidth="1"/>
    <col min="15877" max="15877" width="8.42578125" customWidth="1"/>
    <col min="15878" max="15878" width="11.42578125" bestFit="1" customWidth="1"/>
    <col min="15879" max="15879" width="14" customWidth="1"/>
    <col min="15880" max="15880" width="11" bestFit="1" customWidth="1"/>
    <col min="15881" max="15881" width="10.140625" bestFit="1" customWidth="1"/>
    <col min="15882" max="15882" width="3.28515625" customWidth="1"/>
    <col min="15883" max="15883" width="8.85546875" bestFit="1" customWidth="1"/>
    <col min="16123" max="16123" width="3.28515625" customWidth="1"/>
    <col min="16124" max="16124" width="13.28515625" customWidth="1"/>
    <col min="16125" max="16125" width="8.28515625" customWidth="1"/>
    <col min="16126" max="16126" width="8.140625" customWidth="1"/>
    <col min="16127" max="16127" width="8.28515625" customWidth="1"/>
    <col min="16128" max="16128" width="8.140625" customWidth="1"/>
    <col min="16129" max="16130" width="8.28515625" customWidth="1"/>
    <col min="16131" max="16131" width="12.7109375" customWidth="1"/>
    <col min="16132" max="16132" width="10.28515625" customWidth="1"/>
    <col min="16133" max="16133" width="8.42578125" customWidth="1"/>
    <col min="16134" max="16134" width="11.42578125" bestFit="1" customWidth="1"/>
    <col min="16135" max="16135" width="14" customWidth="1"/>
    <col min="16136" max="16136" width="11" bestFit="1" customWidth="1"/>
    <col min="16137" max="16137" width="10.140625" bestFit="1" customWidth="1"/>
    <col min="16138" max="16138" width="3.28515625" customWidth="1"/>
    <col min="16139" max="16139" width="8.85546875" bestFit="1" customWidth="1"/>
  </cols>
  <sheetData>
    <row r="1" spans="1:15" ht="18" customHeight="1">
      <c r="A1" s="1152" t="s">
        <v>467</v>
      </c>
      <c r="B1" s="1152"/>
      <c r="C1" s="1152"/>
      <c r="D1" s="1152"/>
      <c r="E1" s="1152"/>
      <c r="F1" s="1152"/>
      <c r="G1" s="1152"/>
      <c r="H1" s="1152"/>
      <c r="I1" s="1152"/>
      <c r="J1" s="1152"/>
      <c r="K1" s="1152"/>
      <c r="L1" s="1152"/>
      <c r="M1" s="1152"/>
      <c r="N1" s="1152"/>
      <c r="O1" s="1152"/>
    </row>
    <row r="2" spans="1:15" ht="21" customHeight="1">
      <c r="A2" s="68"/>
      <c r="B2" s="1155"/>
      <c r="C2" s="1156"/>
      <c r="D2" s="1156"/>
      <c r="E2" s="1156"/>
      <c r="F2" s="1156"/>
      <c r="G2" s="1156"/>
      <c r="H2" s="1156"/>
      <c r="I2" s="1156"/>
      <c r="J2" s="1156"/>
      <c r="K2" s="1156"/>
      <c r="L2" s="1156"/>
      <c r="M2" s="1156"/>
      <c r="N2" s="1157"/>
      <c r="O2" s="65"/>
    </row>
    <row r="3" spans="1:15" ht="18.75" customHeight="1">
      <c r="A3" s="68"/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4"/>
      <c r="O3" s="65"/>
    </row>
    <row r="4" spans="1:15" ht="20.100000000000001" customHeight="1">
      <c r="A4" s="68"/>
      <c r="B4" s="106"/>
      <c r="C4" s="107"/>
      <c r="D4" s="107"/>
      <c r="E4" s="107"/>
      <c r="F4" s="107"/>
      <c r="G4" s="107"/>
      <c r="H4" s="511"/>
      <c r="I4" s="511"/>
      <c r="J4" s="511"/>
      <c r="K4" s="511"/>
      <c r="L4" s="511"/>
      <c r="M4" s="511"/>
      <c r="N4" s="108"/>
      <c r="O4" s="66"/>
    </row>
    <row r="5" spans="1:15" ht="20.100000000000001" customHeight="1">
      <c r="A5" s="68"/>
      <c r="B5" s="107"/>
      <c r="C5" s="107"/>
      <c r="D5" s="107"/>
      <c r="E5" s="107"/>
      <c r="F5" s="107"/>
      <c r="G5" s="107"/>
      <c r="H5" s="1180"/>
      <c r="I5" s="1180"/>
      <c r="J5" s="1180"/>
      <c r="K5" s="511"/>
      <c r="L5" s="511"/>
      <c r="M5" s="511"/>
      <c r="N5" s="110"/>
      <c r="O5" s="66"/>
    </row>
    <row r="6" spans="1:15" ht="20.100000000000001" customHeight="1">
      <c r="A6" s="68"/>
      <c r="B6" s="512"/>
      <c r="C6" s="1181"/>
      <c r="D6" s="1181"/>
      <c r="E6" s="1180"/>
      <c r="F6" s="1180"/>
      <c r="G6" s="546"/>
      <c r="H6" s="512"/>
      <c r="I6" s="512"/>
      <c r="J6" s="512"/>
      <c r="K6" s="1182"/>
      <c r="L6" s="1182"/>
      <c r="M6" s="1182"/>
      <c r="N6" s="1183"/>
      <c r="O6" s="66"/>
    </row>
    <row r="7" spans="1:15" ht="20.100000000000001" customHeight="1">
      <c r="A7" s="68"/>
      <c r="B7" s="107"/>
      <c r="C7" s="112"/>
      <c r="D7" s="112"/>
      <c r="E7" s="112"/>
      <c r="F7" s="112"/>
      <c r="G7" s="112"/>
      <c r="H7" s="513"/>
      <c r="I7" s="513"/>
      <c r="J7" s="513"/>
      <c r="K7" s="514"/>
      <c r="L7" s="514"/>
      <c r="M7" s="514"/>
      <c r="N7" s="113"/>
      <c r="O7" s="66"/>
    </row>
    <row r="8" spans="1:15" ht="20.100000000000001" customHeight="1">
      <c r="A8" s="68"/>
      <c r="B8" s="107"/>
      <c r="C8" s="112"/>
      <c r="D8" s="112"/>
      <c r="E8" s="515"/>
      <c r="F8" s="112"/>
      <c r="G8" s="515"/>
      <c r="H8" s="513"/>
      <c r="I8" s="513"/>
      <c r="J8" s="513"/>
      <c r="K8" s="516"/>
      <c r="L8" s="516"/>
      <c r="M8" s="516"/>
      <c r="N8" s="115"/>
      <c r="O8" s="66"/>
    </row>
    <row r="9" spans="1:15" ht="20.100000000000001" customHeight="1">
      <c r="A9" s="68"/>
      <c r="B9" s="107"/>
      <c r="C9" s="112"/>
      <c r="D9" s="112"/>
      <c r="E9" s="515"/>
      <c r="F9" s="112"/>
      <c r="G9" s="515"/>
      <c r="H9" s="513"/>
      <c r="I9" s="513"/>
      <c r="J9" s="513"/>
      <c r="K9" s="516"/>
      <c r="L9" s="516"/>
      <c r="M9" s="516"/>
      <c r="N9" s="115"/>
      <c r="O9" s="66"/>
    </row>
    <row r="10" spans="1:15" ht="20.100000000000001" customHeight="1">
      <c r="A10" s="68"/>
      <c r="B10" s="107"/>
      <c r="C10" s="112"/>
      <c r="D10" s="112"/>
      <c r="E10" s="515"/>
      <c r="F10" s="112"/>
      <c r="G10" s="515"/>
      <c r="H10" s="513"/>
      <c r="I10" s="513"/>
      <c r="J10" s="513"/>
      <c r="K10" s="516"/>
      <c r="L10" s="516"/>
      <c r="M10" s="516"/>
      <c r="N10" s="115"/>
      <c r="O10" s="66"/>
    </row>
    <row r="11" spans="1:15" ht="20.100000000000001" customHeight="1">
      <c r="A11" s="68"/>
      <c r="B11" s="107"/>
      <c r="C11" s="112"/>
      <c r="D11" s="112"/>
      <c r="E11" s="515"/>
      <c r="F11" s="112"/>
      <c r="G11" s="515"/>
      <c r="H11" s="513"/>
      <c r="I11" s="513"/>
      <c r="J11" s="513"/>
      <c r="K11" s="516"/>
      <c r="L11" s="516"/>
      <c r="M11" s="516"/>
      <c r="N11" s="115"/>
      <c r="O11" s="66"/>
    </row>
    <row r="12" spans="1:15" ht="20.100000000000001" customHeight="1">
      <c r="A12" s="68"/>
      <c r="B12" s="107"/>
      <c r="C12" s="112"/>
      <c r="D12" s="112"/>
      <c r="E12" s="112"/>
      <c r="F12" s="112"/>
      <c r="G12" s="515"/>
      <c r="H12" s="513"/>
      <c r="I12" s="513"/>
      <c r="J12" s="513"/>
      <c r="K12" s="516"/>
      <c r="L12" s="516"/>
      <c r="M12" s="516"/>
      <c r="N12" s="115"/>
      <c r="O12" s="66"/>
    </row>
    <row r="13" spans="1:15" ht="20.100000000000001" customHeight="1">
      <c r="A13" s="68"/>
      <c r="B13" s="107"/>
      <c r="C13" s="112"/>
      <c r="D13" s="112"/>
      <c r="E13" s="515"/>
      <c r="F13" s="112"/>
      <c r="G13" s="515"/>
      <c r="H13" s="513"/>
      <c r="I13" s="513"/>
      <c r="J13" s="513"/>
      <c r="K13" s="516"/>
      <c r="L13" s="516"/>
      <c r="M13" s="516"/>
      <c r="N13" s="115"/>
      <c r="O13" s="66"/>
    </row>
    <row r="14" spans="1:15" ht="20.100000000000001" customHeight="1">
      <c r="A14" s="68"/>
      <c r="B14" s="107"/>
      <c r="C14" s="112"/>
      <c r="D14" s="112"/>
      <c r="E14" s="112"/>
      <c r="F14" s="112"/>
      <c r="G14" s="112"/>
      <c r="H14" s="513"/>
      <c r="I14" s="513"/>
      <c r="J14" s="513"/>
      <c r="K14" s="517"/>
      <c r="L14" s="516"/>
      <c r="M14" s="516"/>
      <c r="N14" s="115"/>
      <c r="O14" s="66"/>
    </row>
    <row r="15" spans="1:15" ht="20.100000000000001" customHeight="1">
      <c r="A15" s="68"/>
      <c r="B15" s="107"/>
      <c r="C15" s="112"/>
      <c r="D15" s="112"/>
      <c r="E15" s="515"/>
      <c r="F15" s="112"/>
      <c r="G15" s="515"/>
      <c r="H15" s="513"/>
      <c r="I15" s="513"/>
      <c r="J15" s="513"/>
      <c r="K15" s="517"/>
      <c r="L15" s="517"/>
      <c r="M15" s="518"/>
      <c r="N15" s="117"/>
      <c r="O15" s="66"/>
    </row>
    <row r="16" spans="1:15" ht="20.100000000000001" customHeight="1">
      <c r="A16" s="68"/>
      <c r="B16" s="107"/>
      <c r="C16" s="112"/>
      <c r="D16" s="112"/>
      <c r="E16" s="515"/>
      <c r="F16" s="112"/>
      <c r="G16" s="515"/>
      <c r="H16" s="513"/>
      <c r="I16" s="513"/>
      <c r="J16" s="513"/>
      <c r="K16" s="519"/>
      <c r="L16" s="519"/>
      <c r="M16" s="519"/>
      <c r="N16" s="117"/>
      <c r="O16" s="66"/>
    </row>
    <row r="17" spans="1:15" ht="20.100000000000001" customHeight="1">
      <c r="A17" s="68"/>
      <c r="B17" s="107"/>
      <c r="C17" s="112"/>
      <c r="D17" s="112"/>
      <c r="E17" s="515"/>
      <c r="F17" s="112"/>
      <c r="G17" s="515"/>
      <c r="H17" s="513"/>
      <c r="I17" s="513"/>
      <c r="J17" s="513"/>
      <c r="K17" s="511"/>
      <c r="L17" s="520"/>
      <c r="M17" s="520"/>
      <c r="N17" s="108"/>
      <c r="O17" s="65"/>
    </row>
    <row r="18" spans="1:15" ht="20.100000000000001" customHeight="1">
      <c r="A18" s="68"/>
      <c r="B18" s="107"/>
      <c r="C18" s="112"/>
      <c r="D18" s="112"/>
      <c r="E18" s="515"/>
      <c r="F18" s="112"/>
      <c r="G18" s="515"/>
      <c r="H18" s="513"/>
      <c r="I18" s="513"/>
      <c r="J18" s="513"/>
      <c r="K18" s="511"/>
      <c r="L18" s="511"/>
      <c r="M18" s="511"/>
      <c r="N18" s="108"/>
      <c r="O18" s="65"/>
    </row>
    <row r="19" spans="1:15" ht="20.100000000000001" customHeight="1">
      <c r="A19" s="68"/>
      <c r="B19" s="107"/>
      <c r="C19" s="112"/>
      <c r="D19" s="112"/>
      <c r="E19" s="515"/>
      <c r="F19" s="112"/>
      <c r="G19" s="515"/>
      <c r="H19" s="513"/>
      <c r="I19" s="513"/>
      <c r="J19" s="513"/>
      <c r="K19" s="511"/>
      <c r="L19" s="511"/>
      <c r="M19" s="511"/>
      <c r="N19" s="108"/>
      <c r="O19" s="65"/>
    </row>
    <row r="20" spans="1:15" ht="20.100000000000001" customHeight="1">
      <c r="A20" s="68"/>
      <c r="B20" s="107"/>
      <c r="C20" s="112"/>
      <c r="D20" s="112"/>
      <c r="E20" s="515"/>
      <c r="F20" s="112"/>
      <c r="G20" s="515"/>
      <c r="H20" s="513"/>
      <c r="I20" s="513"/>
      <c r="J20" s="513"/>
      <c r="K20" s="511"/>
      <c r="L20" s="511"/>
      <c r="M20" s="511"/>
      <c r="N20" s="108"/>
      <c r="O20" s="65"/>
    </row>
    <row r="21" spans="1:15" ht="20.100000000000001" customHeight="1">
      <c r="A21" s="68"/>
      <c r="B21" s="107"/>
      <c r="C21" s="112"/>
      <c r="D21" s="112"/>
      <c r="E21" s="112"/>
      <c r="F21" s="112"/>
      <c r="G21" s="112"/>
      <c r="H21" s="513"/>
      <c r="I21" s="513"/>
      <c r="J21" s="513"/>
      <c r="K21" s="511"/>
      <c r="L21" s="511"/>
      <c r="M21" s="511"/>
      <c r="N21" s="108"/>
      <c r="O21" s="65"/>
    </row>
    <row r="22" spans="1:15" ht="20.100000000000001" customHeight="1">
      <c r="A22" s="68"/>
      <c r="B22" s="125"/>
      <c r="C22" s="126"/>
      <c r="D22" s="118"/>
      <c r="E22" s="126"/>
      <c r="F22" s="118"/>
      <c r="G22" s="126"/>
      <c r="H22" s="513"/>
      <c r="I22" s="513"/>
      <c r="J22" s="513"/>
      <c r="K22" s="511"/>
      <c r="L22" s="511"/>
      <c r="M22" s="511"/>
      <c r="N22" s="108"/>
      <c r="O22" s="65"/>
    </row>
    <row r="23" spans="1:15" ht="27.75" customHeight="1">
      <c r="A23" s="68"/>
      <c r="B23" s="573" t="s">
        <v>522</v>
      </c>
      <c r="C23" s="121"/>
      <c r="D23" s="121"/>
      <c r="E23" s="121"/>
      <c r="F23" s="121"/>
      <c r="G23" s="121"/>
      <c r="H23" s="322"/>
      <c r="I23" s="322"/>
      <c r="J23" s="322"/>
      <c r="K23" s="121"/>
      <c r="L23" s="121"/>
      <c r="M23" s="121"/>
      <c r="N23" s="521">
        <f ca="1">NOW()</f>
        <v>42411.803437962961</v>
      </c>
      <c r="O23" s="65"/>
    </row>
    <row r="24" spans="1:15" ht="18" customHeight="1">
      <c r="A24" s="65"/>
      <c r="B24" s="65"/>
      <c r="C24" s="65"/>
      <c r="D24" s="65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</row>
  </sheetData>
  <mergeCells count="7">
    <mergeCell ref="A1:O1"/>
    <mergeCell ref="B2:N2"/>
    <mergeCell ref="H5:J5"/>
    <mergeCell ref="C6:D6"/>
    <mergeCell ref="E6:F6"/>
    <mergeCell ref="K6:L6"/>
    <mergeCell ref="M6:N6"/>
  </mergeCells>
  <printOptions horizontalCentered="1" verticalCentered="1"/>
  <pageMargins left="0.51181102362204722" right="0.51181102362204722" top="0.78740157480314965" bottom="0.78740157480314965" header="0.31496062992125984" footer="0.31496062992125984"/>
  <pageSetup paperSize="9" orientation="landscape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:K34"/>
  <sheetViews>
    <sheetView showGridLines="0" zoomScaleNormal="100" workbookViewId="0">
      <selection sqref="A1:K1"/>
    </sheetView>
  </sheetViews>
  <sheetFormatPr defaultRowHeight="12.75"/>
  <cols>
    <col min="1" max="1" width="2.7109375" customWidth="1"/>
    <col min="2" max="2" width="12.5703125" customWidth="1"/>
    <col min="3" max="3" width="11.7109375" customWidth="1"/>
    <col min="4" max="4" width="11.28515625" bestFit="1" customWidth="1"/>
    <col min="5" max="5" width="9.7109375" customWidth="1"/>
    <col min="6" max="6" width="8.5703125" bestFit="1" customWidth="1"/>
    <col min="7" max="7" width="9.42578125" bestFit="1" customWidth="1"/>
    <col min="8" max="8" width="13.42578125" customWidth="1"/>
    <col min="9" max="9" width="14.7109375" customWidth="1"/>
    <col min="10" max="10" width="21.7109375" customWidth="1"/>
    <col min="11" max="11" width="24.7109375" customWidth="1"/>
  </cols>
  <sheetData>
    <row r="1" spans="1:11" ht="17.100000000000001" customHeight="1">
      <c r="A1" s="1152" t="s">
        <v>468</v>
      </c>
      <c r="B1" s="1152"/>
      <c r="C1" s="1152"/>
      <c r="D1" s="1152"/>
      <c r="E1" s="1152"/>
      <c r="F1" s="1152"/>
      <c r="G1" s="1152"/>
      <c r="H1" s="1152"/>
      <c r="I1" s="1152"/>
      <c r="J1" s="1152"/>
      <c r="K1" s="1152"/>
    </row>
    <row r="2" spans="1:11" ht="20.100000000000001" customHeight="1">
      <c r="A2" s="65"/>
      <c r="B2" s="71"/>
      <c r="C2" s="242"/>
      <c r="D2" s="242"/>
      <c r="E2" s="242"/>
      <c r="F2" s="242"/>
      <c r="G2" s="242"/>
      <c r="H2" s="72"/>
      <c r="I2" s="67"/>
      <c r="J2" s="67"/>
      <c r="K2" s="67"/>
    </row>
    <row r="3" spans="1:11" ht="15" customHeight="1">
      <c r="A3" s="65"/>
      <c r="B3" s="73"/>
      <c r="C3" s="74"/>
      <c r="D3" s="74"/>
      <c r="E3" s="74"/>
      <c r="F3" s="74"/>
      <c r="G3" s="74"/>
      <c r="H3" s="75"/>
      <c r="I3" s="67"/>
      <c r="J3" s="67"/>
      <c r="K3" s="67"/>
    </row>
    <row r="4" spans="1:11" ht="18" customHeight="1">
      <c r="A4" s="65"/>
      <c r="B4" s="1189" t="s">
        <v>21</v>
      </c>
      <c r="C4" s="1189" t="s">
        <v>208</v>
      </c>
      <c r="D4" s="1189" t="s">
        <v>22</v>
      </c>
      <c r="E4" s="1186" t="s">
        <v>23</v>
      </c>
      <c r="F4" s="1187"/>
      <c r="G4" s="1188"/>
      <c r="H4" s="76" t="s">
        <v>351</v>
      </c>
      <c r="I4" s="67"/>
      <c r="J4" s="67"/>
      <c r="K4" s="67"/>
    </row>
    <row r="5" spans="1:11" ht="18" customHeight="1">
      <c r="A5" s="65"/>
      <c r="B5" s="1190"/>
      <c r="C5" s="1190"/>
      <c r="D5" s="1190"/>
      <c r="E5" s="77" t="s">
        <v>25</v>
      </c>
      <c r="F5" s="77" t="s">
        <v>26</v>
      </c>
      <c r="G5" s="77" t="s">
        <v>27</v>
      </c>
      <c r="H5" s="78" t="s">
        <v>24</v>
      </c>
      <c r="I5" s="67"/>
      <c r="J5" s="67"/>
      <c r="K5" s="67"/>
    </row>
    <row r="6" spans="1:11" ht="18" customHeight="1">
      <c r="A6" s="65"/>
      <c r="B6" s="1190"/>
      <c r="C6" s="1190"/>
      <c r="D6" s="1190"/>
      <c r="E6" s="1066" t="s">
        <v>123</v>
      </c>
      <c r="F6" s="229" t="s">
        <v>518</v>
      </c>
      <c r="G6" s="229" t="s">
        <v>519</v>
      </c>
      <c r="H6" s="468" t="s">
        <v>122</v>
      </c>
      <c r="I6" s="67"/>
      <c r="J6" s="67"/>
      <c r="K6" s="67"/>
    </row>
    <row r="7" spans="1:11" ht="18" customHeight="1">
      <c r="A7" s="65"/>
      <c r="B7" s="1191"/>
      <c r="C7" s="1191"/>
      <c r="D7" s="1191"/>
      <c r="E7" s="79">
        <v>2015</v>
      </c>
      <c r="F7" s="79">
        <v>2016</v>
      </c>
      <c r="G7" s="79">
        <v>2016</v>
      </c>
      <c r="H7" s="80">
        <v>2016</v>
      </c>
      <c r="I7" s="67"/>
      <c r="J7" s="67"/>
      <c r="K7" s="67"/>
    </row>
    <row r="8" spans="1:11" ht="20.100000000000001" customHeight="1">
      <c r="A8" s="65"/>
      <c r="B8" s="81"/>
      <c r="C8" s="82" t="s">
        <v>33</v>
      </c>
      <c r="D8" s="74"/>
      <c r="E8" s="74"/>
      <c r="F8" s="74"/>
      <c r="G8" s="74"/>
      <c r="H8" s="75"/>
      <c r="I8" s="67"/>
      <c r="J8" s="67"/>
      <c r="K8" s="67"/>
    </row>
    <row r="9" spans="1:11" ht="15" customHeight="1">
      <c r="A9" s="65"/>
      <c r="B9" s="81"/>
      <c r="C9" s="83"/>
      <c r="D9" s="83"/>
      <c r="E9" s="83"/>
      <c r="F9" s="83"/>
      <c r="G9" s="83"/>
      <c r="H9" s="84"/>
      <c r="I9" s="67"/>
      <c r="J9" s="67"/>
      <c r="K9" s="67"/>
    </row>
    <row r="10" spans="1:11" ht="20.100000000000001" customHeight="1">
      <c r="A10" s="65"/>
      <c r="B10" s="81"/>
      <c r="C10" s="97" t="s">
        <v>209</v>
      </c>
      <c r="D10" s="86" t="s">
        <v>299</v>
      </c>
      <c r="E10" s="87">
        <f>B32</f>
        <v>140.5</v>
      </c>
      <c r="F10" s="87">
        <f>C32</f>
        <v>121.2</v>
      </c>
      <c r="G10" s="87">
        <f>D32</f>
        <v>118.25</v>
      </c>
      <c r="H10" s="353">
        <f>E32</f>
        <v>118.5</v>
      </c>
      <c r="I10" s="67"/>
      <c r="J10" s="67"/>
      <c r="K10" s="67"/>
    </row>
    <row r="11" spans="1:11" ht="20.100000000000001" customHeight="1">
      <c r="A11" s="65"/>
      <c r="B11" s="81"/>
      <c r="C11" s="81"/>
      <c r="D11" s="86" t="s">
        <v>13</v>
      </c>
      <c r="E11" s="88">
        <f>($H$10/E10-1)*100</f>
        <v>-15.658362989323848</v>
      </c>
      <c r="F11" s="88">
        <f>($H$10/F10-1)*100</f>
        <v>-2.2277227722772297</v>
      </c>
      <c r="G11" s="88">
        <f>($H$10/G10-1)*100</f>
        <v>0.21141649048626032</v>
      </c>
      <c r="H11" s="89">
        <f>($H$10/H10-1)*100</f>
        <v>0</v>
      </c>
      <c r="I11" s="67"/>
      <c r="J11" s="67"/>
      <c r="K11" s="67"/>
    </row>
    <row r="12" spans="1:11" ht="20.100000000000001" customHeight="1">
      <c r="A12" s="65"/>
      <c r="B12" s="81"/>
      <c r="C12" s="97" t="s">
        <v>34</v>
      </c>
      <c r="D12" s="86" t="s">
        <v>35</v>
      </c>
      <c r="E12" s="87">
        <f>B34</f>
        <v>1907</v>
      </c>
      <c r="F12" s="87">
        <f>C34</f>
        <v>1487</v>
      </c>
      <c r="G12" s="87">
        <f>D34</f>
        <v>1389</v>
      </c>
      <c r="H12" s="353">
        <f>E34</f>
        <v>1386</v>
      </c>
      <c r="I12" s="67"/>
      <c r="J12" s="67"/>
      <c r="K12" s="67"/>
    </row>
    <row r="13" spans="1:11" ht="20.100000000000001" customHeight="1">
      <c r="A13" s="65"/>
      <c r="B13" s="81"/>
      <c r="C13" s="81"/>
      <c r="D13" s="86" t="s">
        <v>13</v>
      </c>
      <c r="E13" s="88">
        <f>($H$12/E12-1)*100</f>
        <v>-27.320398531725221</v>
      </c>
      <c r="F13" s="88">
        <f>($H$12/F12-1)*100</f>
        <v>-6.7921990585070642</v>
      </c>
      <c r="G13" s="88">
        <f>($H$12/G12-1)*100</f>
        <v>-0.21598272138229069</v>
      </c>
      <c r="H13" s="88">
        <f>($H$12/H12-1)*100</f>
        <v>0</v>
      </c>
      <c r="I13" s="67"/>
      <c r="J13" s="67"/>
      <c r="K13" s="67"/>
    </row>
    <row r="14" spans="1:11" ht="15" customHeight="1">
      <c r="A14" s="65"/>
      <c r="B14" s="81"/>
      <c r="C14" s="91"/>
      <c r="D14" s="79"/>
      <c r="E14" s="92"/>
      <c r="F14" s="92"/>
      <c r="G14" s="92"/>
      <c r="H14" s="93"/>
      <c r="I14" s="67"/>
      <c r="J14" s="67"/>
      <c r="K14" s="67"/>
    </row>
    <row r="15" spans="1:11" ht="20.100000000000001" customHeight="1">
      <c r="A15" s="65"/>
      <c r="B15" s="81"/>
      <c r="C15" s="82" t="s">
        <v>445</v>
      </c>
      <c r="D15" s="94"/>
      <c r="E15" s="74"/>
      <c r="F15" s="74"/>
      <c r="G15" s="74"/>
      <c r="H15" s="95"/>
      <c r="I15" s="67"/>
      <c r="J15" s="67"/>
      <c r="K15" s="67"/>
    </row>
    <row r="16" spans="1:11" ht="15" customHeight="1">
      <c r="A16" s="65"/>
      <c r="B16" s="81"/>
      <c r="C16" s="85"/>
      <c r="D16" s="83"/>
      <c r="E16" s="96"/>
      <c r="F16" s="96"/>
      <c r="G16" s="96"/>
      <c r="H16" s="84"/>
      <c r="I16" s="67"/>
      <c r="J16" s="67"/>
      <c r="K16" s="67"/>
    </row>
    <row r="17" spans="1:11" ht="20.100000000000001" customHeight="1">
      <c r="A17" s="65"/>
      <c r="B17" s="81"/>
      <c r="C17" s="97" t="s">
        <v>8</v>
      </c>
      <c r="D17" s="86" t="s">
        <v>29</v>
      </c>
      <c r="E17" s="87">
        <f>B31</f>
        <v>459.99</v>
      </c>
      <c r="F17" s="87">
        <f>C31</f>
        <v>502.6</v>
      </c>
      <c r="G17" s="87">
        <f>D31</f>
        <v>494.29</v>
      </c>
      <c r="H17" s="90">
        <f>E31</f>
        <v>497.22</v>
      </c>
      <c r="I17" s="67"/>
      <c r="J17" s="67"/>
      <c r="K17" s="67"/>
    </row>
    <row r="18" spans="1:11" ht="20.100000000000001" customHeight="1">
      <c r="A18" s="65"/>
      <c r="B18" s="81"/>
      <c r="C18" s="85"/>
      <c r="D18" s="86" t="s">
        <v>13</v>
      </c>
      <c r="E18" s="88">
        <f>($H$17/E17-1)*100</f>
        <v>8.0936542098741349</v>
      </c>
      <c r="F18" s="88">
        <f>($H$17/F17-1)*100</f>
        <v>-1.070433744528454</v>
      </c>
      <c r="G18" s="88">
        <f>($H$17/G17-1)*100</f>
        <v>0.59276942685468903</v>
      </c>
      <c r="H18" s="88">
        <f>($H$17/H17-1)*100</f>
        <v>0</v>
      </c>
      <c r="I18" s="67"/>
      <c r="J18" s="67"/>
      <c r="K18" s="67"/>
    </row>
    <row r="19" spans="1:11" ht="15" customHeight="1">
      <c r="A19" s="65"/>
      <c r="B19" s="81"/>
      <c r="C19" s="85"/>
      <c r="D19" s="86"/>
      <c r="E19" s="88"/>
      <c r="F19" s="88"/>
      <c r="G19" s="321" t="s">
        <v>300</v>
      </c>
      <c r="H19" s="89">
        <v>4.0422000000000002</v>
      </c>
      <c r="I19" s="67"/>
      <c r="J19" s="67"/>
      <c r="K19" s="67"/>
    </row>
    <row r="20" spans="1:11" ht="20.100000000000001" customHeight="1">
      <c r="A20" s="65"/>
      <c r="B20" s="81"/>
      <c r="C20" s="98" t="s">
        <v>446</v>
      </c>
      <c r="D20" s="99"/>
      <c r="E20" s="100"/>
      <c r="F20" s="100"/>
      <c r="G20" s="100"/>
      <c r="H20" s="101"/>
      <c r="I20" s="67"/>
      <c r="J20" s="67"/>
      <c r="K20" s="67"/>
    </row>
    <row r="21" spans="1:11" ht="15" customHeight="1">
      <c r="A21" s="65"/>
      <c r="B21" s="81"/>
      <c r="C21" s="83"/>
      <c r="D21" s="83"/>
      <c r="E21" s="83"/>
      <c r="F21" s="83"/>
      <c r="G21" s="83"/>
      <c r="H21" s="84"/>
      <c r="I21" s="67"/>
      <c r="J21" s="67"/>
      <c r="K21" s="67"/>
    </row>
    <row r="22" spans="1:11" ht="20.100000000000001" customHeight="1">
      <c r="A22" s="65"/>
      <c r="B22" s="102"/>
      <c r="C22" s="97" t="s">
        <v>30</v>
      </c>
      <c r="D22" s="86" t="s">
        <v>29</v>
      </c>
      <c r="E22" s="87">
        <f>B33</f>
        <v>299.58</v>
      </c>
      <c r="F22" s="87">
        <f>C33</f>
        <v>387.01</v>
      </c>
      <c r="G22" s="87">
        <f>D33</f>
        <v>395.62</v>
      </c>
      <c r="H22" s="90">
        <f>E33</f>
        <v>394.54</v>
      </c>
      <c r="I22" s="67"/>
      <c r="J22" s="67"/>
      <c r="K22" s="67"/>
    </row>
    <row r="23" spans="1:11" ht="15" customHeight="1">
      <c r="A23" s="65"/>
      <c r="B23" s="102"/>
      <c r="C23" s="85"/>
      <c r="D23" s="86" t="s">
        <v>13</v>
      </c>
      <c r="E23" s="88">
        <f>($H$22/E22-1)*100</f>
        <v>31.697710127511858</v>
      </c>
      <c r="F23" s="88">
        <f>($H$22/F22-1)*100</f>
        <v>1.9456861579804308</v>
      </c>
      <c r="G23" s="88">
        <f>($H$22/G22-1)*100</f>
        <v>-0.27298923209139181</v>
      </c>
      <c r="H23" s="88">
        <f>($H$22/H22-1)*100</f>
        <v>0</v>
      </c>
      <c r="I23" s="67"/>
      <c r="J23" s="67"/>
      <c r="K23" s="67"/>
    </row>
    <row r="24" spans="1:11" ht="20.100000000000001" customHeight="1">
      <c r="A24" s="65"/>
      <c r="B24" s="102"/>
      <c r="C24" s="1184" t="s">
        <v>447</v>
      </c>
      <c r="D24" s="1185"/>
      <c r="E24" s="242"/>
      <c r="F24" s="242"/>
      <c r="G24" s="242"/>
      <c r="H24" s="101"/>
      <c r="I24" s="67"/>
      <c r="J24" s="67"/>
      <c r="K24" s="67"/>
    </row>
    <row r="25" spans="1:11" ht="20.100000000000001" customHeight="1">
      <c r="A25" s="65"/>
      <c r="B25" s="102"/>
      <c r="C25" s="291" t="s">
        <v>209</v>
      </c>
      <c r="D25" s="289" t="s">
        <v>48</v>
      </c>
      <c r="E25" s="319" t="s">
        <v>312</v>
      </c>
      <c r="F25" s="318">
        <f>H10*1.3228</f>
        <v>156.7518</v>
      </c>
      <c r="G25" s="287" t="s">
        <v>302</v>
      </c>
      <c r="H25" s="90">
        <f>F25*H19</f>
        <v>633.62212596000006</v>
      </c>
      <c r="I25" s="67"/>
      <c r="J25" s="67"/>
      <c r="K25" s="67"/>
    </row>
    <row r="26" spans="1:11" ht="20.100000000000001" customHeight="1">
      <c r="A26" s="65"/>
      <c r="B26" s="73"/>
      <c r="C26" s="292" t="s">
        <v>34</v>
      </c>
      <c r="D26" s="290" t="s">
        <v>228</v>
      </c>
      <c r="E26" s="294" t="s">
        <v>301</v>
      </c>
      <c r="F26" s="293">
        <f>H12/16.6</f>
        <v>83.493975903614455</v>
      </c>
      <c r="G26" s="288" t="s">
        <v>303</v>
      </c>
      <c r="H26" s="243">
        <f>F26*H19</f>
        <v>337.49934939759038</v>
      </c>
      <c r="I26" s="67"/>
      <c r="J26" s="67"/>
      <c r="K26" s="67"/>
    </row>
    <row r="27" spans="1:11" ht="17.100000000000001" customHeight="1">
      <c r="A27" s="65"/>
      <c r="B27" s="69" t="s">
        <v>358</v>
      </c>
      <c r="C27" s="70"/>
      <c r="D27" s="70"/>
      <c r="E27" s="70"/>
      <c r="F27" s="70"/>
      <c r="G27" s="70"/>
      <c r="H27" s="70"/>
      <c r="I27" s="67"/>
      <c r="J27" s="390" t="s">
        <v>315</v>
      </c>
      <c r="K27" s="391">
        <f ca="1">NOW()</f>
        <v>42411.803437962961</v>
      </c>
    </row>
    <row r="28" spans="1:11">
      <c r="K28" s="4"/>
    </row>
    <row r="29" spans="1:11">
      <c r="A29" s="3" t="s">
        <v>264</v>
      </c>
      <c r="K29" s="4"/>
    </row>
    <row r="30" spans="1:11">
      <c r="A30" s="128"/>
      <c r="B30" s="57" t="s">
        <v>25</v>
      </c>
      <c r="C30" s="57" t="s">
        <v>26</v>
      </c>
      <c r="D30" s="57" t="s">
        <v>27</v>
      </c>
      <c r="E30" s="127" t="s">
        <v>28</v>
      </c>
      <c r="K30" s="4"/>
    </row>
    <row r="31" spans="1:11">
      <c r="A31" s="60" t="s">
        <v>8</v>
      </c>
      <c r="B31" s="61">
        <v>459.99</v>
      </c>
      <c r="C31" s="61">
        <v>502.6</v>
      </c>
      <c r="D31" s="61">
        <v>494.29</v>
      </c>
      <c r="E31" s="61">
        <v>497.22</v>
      </c>
    </row>
    <row r="32" spans="1:11" ht="15">
      <c r="A32" s="58" t="s">
        <v>210</v>
      </c>
      <c r="B32" s="59">
        <v>140.5</v>
      </c>
      <c r="C32" s="59">
        <v>121.2</v>
      </c>
      <c r="D32" s="59">
        <v>118.25</v>
      </c>
      <c r="E32" s="59">
        <v>118.5</v>
      </c>
      <c r="G32" s="129"/>
      <c r="H32" s="129"/>
      <c r="I32" s="129"/>
    </row>
    <row r="33" spans="1:9" ht="14.25">
      <c r="A33" s="58" t="s">
        <v>30</v>
      </c>
      <c r="B33" s="59">
        <v>299.58</v>
      </c>
      <c r="C33" s="59">
        <v>387.01</v>
      </c>
      <c r="D33" s="59">
        <v>395.62</v>
      </c>
      <c r="E33" s="59">
        <v>394.54</v>
      </c>
      <c r="G33" s="130"/>
      <c r="H33" s="130"/>
      <c r="I33" s="130"/>
    </row>
    <row r="34" spans="1:9" ht="15">
      <c r="A34" s="62" t="s">
        <v>211</v>
      </c>
      <c r="B34" s="63">
        <v>1907</v>
      </c>
      <c r="C34" s="63">
        <v>1487</v>
      </c>
      <c r="D34" s="63">
        <v>1389</v>
      </c>
      <c r="E34" s="63">
        <v>1386</v>
      </c>
      <c r="G34" s="131"/>
      <c r="H34" s="132"/>
      <c r="I34" s="131"/>
    </row>
  </sheetData>
  <mergeCells count="6">
    <mergeCell ref="C24:D24"/>
    <mergeCell ref="A1:K1"/>
    <mergeCell ref="E4:G4"/>
    <mergeCell ref="B4:B7"/>
    <mergeCell ref="C4:C7"/>
    <mergeCell ref="D4:D7"/>
  </mergeCells>
  <phoneticPr fontId="13" type="noConversion"/>
  <printOptions horizontalCentered="1" verticalCentered="1"/>
  <pageMargins left="0.31496062992125984" right="0.31496062992125984" top="0.78740157480314965" bottom="0.78740157480314965" header="0.51181102362204722" footer="0.31496062992125984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28</vt:i4>
      </vt:variant>
      <vt:variant>
        <vt:lpstr>Intervalos nomeados</vt:lpstr>
      </vt:variant>
      <vt:variant>
        <vt:i4>1</vt:i4>
      </vt:variant>
    </vt:vector>
  </HeadingPairs>
  <TitlesOfParts>
    <vt:vector size="29" baseType="lpstr">
      <vt:lpstr>Capa</vt:lpstr>
      <vt:lpstr>CCapa</vt:lpstr>
      <vt:lpstr>Indice</vt:lpstr>
      <vt:lpstr>Mundial</vt:lpstr>
      <vt:lpstr>Brasil</vt:lpstr>
      <vt:lpstr>Indicadores</vt:lpstr>
      <vt:lpstr>Estoque</vt:lpstr>
      <vt:lpstr>Série Safras</vt:lpstr>
      <vt:lpstr>Preço</vt:lpstr>
      <vt:lpstr>Cotações</vt:lpstr>
      <vt:lpstr>Agro Ano</vt:lpstr>
      <vt:lpstr>Agro Mês</vt:lpstr>
      <vt:lpstr>Importações</vt:lpstr>
      <vt:lpstr>Exportações</vt:lpstr>
      <vt:lpstr>Exp. Verde</vt:lpstr>
      <vt:lpstr>Exp. Solúvel</vt:lpstr>
      <vt:lpstr>Exp. Torrado</vt:lpstr>
      <vt:lpstr>Exp. Extrato</vt:lpstr>
      <vt:lpstr>Total</vt:lpstr>
      <vt:lpstr>Destinos</vt:lpstr>
      <vt:lpstr>Custos</vt:lpstr>
      <vt:lpstr>PM</vt:lpstr>
      <vt:lpstr>Safra 16</vt:lpstr>
      <vt:lpstr>Safra 15</vt:lpstr>
      <vt:lpstr>Safra 14</vt:lpstr>
      <vt:lpstr>Ranking</vt:lpstr>
      <vt:lpstr>Plan1</vt:lpstr>
      <vt:lpstr>Plan2</vt:lpstr>
      <vt:lpstr>Mundial!Area_de_impressao</vt:lpstr>
    </vt:vector>
  </TitlesOfParts>
  <Company>conab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geame</dc:creator>
  <cp:lastModifiedBy>airton.camargo</cp:lastModifiedBy>
  <cp:lastPrinted>2016-02-11T19:54:13Z</cp:lastPrinted>
  <dcterms:created xsi:type="dcterms:W3CDTF">2001-03-13T14:19:45Z</dcterms:created>
  <dcterms:modified xsi:type="dcterms:W3CDTF">2016-02-11T21:17:14Z</dcterms:modified>
</cp:coreProperties>
</file>