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omments1.xml" ContentType="application/vnd.openxmlformats-officedocument.spreadsheetml.comments+xml"/>
  <Override PartName="/xl/drawings/drawing12.xml" ContentType="application/vnd.openxmlformats-officedocument.drawing+xml"/>
  <Override PartName="/xl/comments2.xml" ContentType="application/vnd.openxmlformats-officedocument.spreadsheetml.comments+xml"/>
  <Override PartName="/xl/drawings/drawing13.xml" ContentType="application/vnd.openxmlformats-officedocument.drawing+xml"/>
  <Override PartName="/xl/comments3.xml" ContentType="application/vnd.openxmlformats-officedocument.spreadsheetml.comments+xml"/>
  <Override PartName="/xl/drawings/drawing14.xml" ContentType="application/vnd.openxmlformats-officedocument.drawing+xml"/>
  <Override PartName="/xl/comments4.xml" ContentType="application/vnd.openxmlformats-officedocument.spreadsheetml.comments+xml"/>
  <Override PartName="/xl/drawings/drawing15.xml" ContentType="application/vnd.openxmlformats-officedocument.drawing+xml"/>
  <Override PartName="/xl/comments5.xml" ContentType="application/vnd.openxmlformats-officedocument.spreadsheetml.comments+xml"/>
  <Override PartName="/xl/drawings/drawing1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EstaPastaDeTrabalho" defaultThemeVersion="124226"/>
  <mc:AlternateContent xmlns:mc="http://schemas.openxmlformats.org/markup-compatibility/2006">
    <mc:Choice Requires="x15">
      <x15ac:absPath xmlns:x15ac="http://schemas.microsoft.com/office/spreadsheetml/2010/11/ac" url="C:\Users\francesca.cardoso\Desktop\"/>
    </mc:Choice>
  </mc:AlternateContent>
  <bookViews>
    <workbookView xWindow="0" yWindow="0" windowWidth="28800" windowHeight="12330" tabRatio="995"/>
  </bookViews>
  <sheets>
    <sheet name="ORIENTAÇÕES" sheetId="125" r:id="rId1"/>
    <sheet name="RESUMO" sheetId="78" r:id="rId2"/>
    <sheet name="Áreas" sheetId="126" r:id="rId3"/>
    <sheet name="Produtividade" sheetId="115" r:id="rId4"/>
    <sheet name="Custo por m2" sheetId="116" r:id="rId5"/>
    <sheet name="Uniforme" sheetId="110" r:id="rId6"/>
    <sheet name="Mat Limpeza" sheetId="88" r:id="rId7"/>
    <sheet name="Mat Lavanderia" sheetId="130" r:id="rId8"/>
    <sheet name="Equipamentos" sheetId="107" r:id="rId9"/>
    <sheet name="EPI's e EPC's" sheetId="138" r:id="rId10"/>
    <sheet name="Servente" sheetId="91" r:id="rId11"/>
    <sheet name="Servente + I" sheetId="140" r:id="rId12"/>
    <sheet name="Lavandeira" sheetId="141" r:id="rId13"/>
    <sheet name="Motorista B" sheetId="142" r:id="rId14"/>
    <sheet name="Motorista D" sheetId="143" r:id="rId15"/>
    <sheet name="VALOR CONTRATO" sheetId="144" r:id="rId16"/>
  </sheets>
  <externalReferences>
    <externalReference r:id="rId17"/>
  </externalReferences>
  <definedNames>
    <definedName name="__shared_7_0_0">"SUM([.A1:.A8])"</definedName>
    <definedName name="__shared_7_11_0">"[.A1]*[.$J$28]"</definedName>
    <definedName name="__shared_7_12_0">"[.A1]*[.$K$28]"</definedName>
    <definedName name="__shared_7_13_0">"[.A1]*[.$L$28]"</definedName>
    <definedName name="__shared_7_15_0">"[.A1]*[.$J$28]"</definedName>
    <definedName name="__shared_7_16_0">"[.A1]*[.$K$28]"</definedName>
    <definedName name="__shared_7_17_0">"[.A1]*[.$L$28]"</definedName>
    <definedName name="__shared_7_26_0">"SUM([.A1:.A4])"</definedName>
    <definedName name="__shared_7_3_0">"[.A1]*[.$J$28]"</definedName>
    <definedName name="__shared_7_4_0">"[.A1]*[.$K$28]"</definedName>
    <definedName name="__shared_7_5_0">"[.A1]*[.$L$28]"</definedName>
    <definedName name="__shared_7_7_0">"SUM([.A1:.A9])"</definedName>
    <definedName name="__shared_7_9_0">"[.A1]+[.A2]+[.A3]"</definedName>
    <definedName name="_xlnm._FilterDatabase" localSheetId="0" hidden="1">ORIENTAÇÕES!#REF!</definedName>
    <definedName name="_xlnm._FilterDatabase" localSheetId="1" hidden="1">RESUMO!#REF!</definedName>
    <definedName name="_xlnm._FilterDatabase" localSheetId="15" hidden="1">'VALOR CONTRATO'!#REF!</definedName>
    <definedName name="a" localSheetId="9">[1]Efetivo!#REF!</definedName>
    <definedName name="a" localSheetId="12">[1]Efetivo!#REF!</definedName>
    <definedName name="a" localSheetId="13">[1]Efetivo!#REF!</definedName>
    <definedName name="a" localSheetId="14">[1]Efetivo!#REF!</definedName>
    <definedName name="a" localSheetId="11">[1]Efetivo!#REF!</definedName>
    <definedName name="a" localSheetId="15">[1]Efetivo!#REF!</definedName>
    <definedName name="a">[1]Efetivo!#REF!</definedName>
    <definedName name="aa" localSheetId="9">[1]Efetivo!#REF!</definedName>
    <definedName name="aa" localSheetId="12">[1]Efetivo!#REF!</definedName>
    <definedName name="aa" localSheetId="13">[1]Efetivo!#REF!</definedName>
    <definedName name="aa" localSheetId="14">[1]Efetivo!#REF!</definedName>
    <definedName name="aa" localSheetId="11">[1]Efetivo!#REF!</definedName>
    <definedName name="aa" localSheetId="15">[1]Efetivo!#REF!</definedName>
    <definedName name="aa">[1]Efetivo!#REF!</definedName>
    <definedName name="_xlnm.Print_Area" localSheetId="2">Áreas!$A$1:$Y$39</definedName>
    <definedName name="_xlnm.Print_Area" localSheetId="4">'Custo por m2'!$A$1:$U$35</definedName>
    <definedName name="_xlnm.Print_Area" localSheetId="9">'EPI''s e EPC''s'!$A$1:$P$50</definedName>
    <definedName name="_xlnm.Print_Area" localSheetId="8">Equipamentos!$A$1:$J$40</definedName>
    <definedName name="_xlnm.Print_Area" localSheetId="12">Lavandeira!$A$1:$H$212</definedName>
    <definedName name="_xlnm.Print_Area" localSheetId="7">'Mat Lavanderia'!$A$1:$I$45</definedName>
    <definedName name="_xlnm.Print_Area" localSheetId="6">'Mat Limpeza'!$A$1:$I$93</definedName>
    <definedName name="_xlnm.Print_Area" localSheetId="13">'Motorista B'!$A$1:$H$212</definedName>
    <definedName name="_xlnm.Print_Area" localSheetId="14">'Motorista D'!$A$1:$H$212</definedName>
    <definedName name="_xlnm.Print_Area" localSheetId="0">ORIENTAÇÕES!$A$1:$J$52</definedName>
    <definedName name="_xlnm.Print_Area" localSheetId="3">Produtividade!$A$1:$N$35</definedName>
    <definedName name="_xlnm.Print_Area" localSheetId="1">RESUMO!$A$1:$M$37</definedName>
    <definedName name="_xlnm.Print_Area" localSheetId="10">Servente!$A$1:$H$212</definedName>
    <definedName name="_xlnm.Print_Area" localSheetId="11">'Servente + I'!$A$1:$H$213</definedName>
    <definedName name="_xlnm.Print_Area" localSheetId="5">Uniforme!$A$1:$P$42</definedName>
    <definedName name="_xlnm.Print_Area" localSheetId="15">'VALOR CONTRATO'!$A$1:$I$47</definedName>
    <definedName name="CONTRATO">[1]Efetivo!#REF!</definedName>
    <definedName name="Despesas" localSheetId="4">[1]Efetivo!#REF!</definedName>
    <definedName name="Despesas" localSheetId="9">[1]Efetivo!#REF!</definedName>
    <definedName name="Despesas" localSheetId="8">[1]Efetivo!#REF!</definedName>
    <definedName name="Despesas" localSheetId="12">[1]Efetivo!#REF!</definedName>
    <definedName name="Despesas" localSheetId="6">[1]Efetivo!#REF!</definedName>
    <definedName name="Despesas" localSheetId="13">[1]Efetivo!#REF!</definedName>
    <definedName name="Despesas" localSheetId="14">[1]Efetivo!#REF!</definedName>
    <definedName name="Despesas" localSheetId="3">[1]Efetivo!#REF!</definedName>
    <definedName name="Despesas" localSheetId="10">[1]Efetivo!#REF!</definedName>
    <definedName name="Despesas" localSheetId="11">[1]Efetivo!#REF!</definedName>
    <definedName name="Despesas" localSheetId="5">[1]Efetivo!#REF!</definedName>
    <definedName name="Despesas" localSheetId="15">[1]Efetivo!#REF!</definedName>
    <definedName name="Despesas">[1]Efetivo!#REF!</definedName>
    <definedName name="EPI" localSheetId="12">[1]Efetivo!#REF!</definedName>
    <definedName name="EPI" localSheetId="13">[1]Efetivo!#REF!</definedName>
    <definedName name="EPI" localSheetId="14">[1]Efetivo!#REF!</definedName>
    <definedName name="EPI" localSheetId="11">[1]Efetivo!#REF!</definedName>
    <definedName name="EPI" localSheetId="15">[1]Efetivo!#REF!</definedName>
    <definedName name="EPI">[1]Efetivo!#REF!</definedName>
    <definedName name="EQUIPAMENTO" localSheetId="4">[1]Efetivo!#REF!</definedName>
    <definedName name="EQUIPAMENTO" localSheetId="9">[1]Efetivo!#REF!</definedName>
    <definedName name="EQUIPAMENTO" localSheetId="12">[1]Efetivo!#REF!</definedName>
    <definedName name="EQUIPAMENTO" localSheetId="13">[1]Efetivo!#REF!</definedName>
    <definedName name="EQUIPAMENTO" localSheetId="14">[1]Efetivo!#REF!</definedName>
    <definedName name="EQUIPAMENTO" localSheetId="3">[1]Efetivo!#REF!</definedName>
    <definedName name="EQUIPAMENTO" localSheetId="11">[1]Efetivo!#REF!</definedName>
    <definedName name="EQUIPAMENTO" localSheetId="5">[1]Efetivo!#REF!</definedName>
    <definedName name="EQUIPAMENTO" localSheetId="15">[1]Efetivo!#REF!</definedName>
    <definedName name="EQUIPAMENTO">[1]Efetivo!#REF!</definedName>
    <definedName name="Excel_BuiltIn_Print_Area_2">"$#REF!.$A$1:$J$73"</definedName>
    <definedName name="Lavadeira" localSheetId="9">[1]Efetivo!#REF!</definedName>
    <definedName name="Lavadeira" localSheetId="12">[1]Efetivo!#REF!</definedName>
    <definedName name="Lavadeira" localSheetId="13">[1]Efetivo!#REF!</definedName>
    <definedName name="Lavadeira" localSheetId="14">[1]Efetivo!#REF!</definedName>
    <definedName name="Lavadeira" localSheetId="11">[1]Efetivo!#REF!</definedName>
    <definedName name="Lavadeira" localSheetId="15">[1]Efetivo!#REF!</definedName>
    <definedName name="Lavadeira">[1]Efetivo!#REF!</definedName>
    <definedName name="LAVAND" localSheetId="4">[1]Efetivo!#REF!</definedName>
    <definedName name="LAVAND" localSheetId="9">[1]Efetivo!#REF!</definedName>
    <definedName name="LAVAND" localSheetId="12">[1]Efetivo!#REF!</definedName>
    <definedName name="LAVAND" localSheetId="13">[1]Efetivo!#REF!</definedName>
    <definedName name="LAVAND" localSheetId="14">[1]Efetivo!#REF!</definedName>
    <definedName name="LAVAND" localSheetId="3">[1]Efetivo!#REF!</definedName>
    <definedName name="LAVAND" localSheetId="11">[1]Efetivo!#REF!</definedName>
    <definedName name="LAVAND" localSheetId="5">[1]Efetivo!#REF!</definedName>
    <definedName name="LAVAND" localSheetId="15">[1]Efetivo!#REF!</definedName>
    <definedName name="LAVAND">[1]Efetivo!#REF!</definedName>
    <definedName name="MAT_LAVAND" localSheetId="4">[1]Efetivo!#REF!</definedName>
    <definedName name="MAT_LAVAND" localSheetId="9">[1]Efetivo!#REF!</definedName>
    <definedName name="MAT_LAVAND" localSheetId="12">[1]Efetivo!#REF!</definedName>
    <definedName name="MAT_LAVAND" localSheetId="13">[1]Efetivo!#REF!</definedName>
    <definedName name="MAT_LAVAND" localSheetId="14">[1]Efetivo!#REF!</definedName>
    <definedName name="MAT_LAVAND" localSheetId="3">[1]Efetivo!#REF!</definedName>
    <definedName name="MAT_LAVAND" localSheetId="11">[1]Efetivo!#REF!</definedName>
    <definedName name="MAT_LAVAND" localSheetId="5">[1]Efetivo!#REF!</definedName>
    <definedName name="MAT_LAVAND" localSheetId="15">[1]Efetivo!#REF!</definedName>
    <definedName name="MAT_LAVAND">[1]Efetivo!#REF!</definedName>
    <definedName name="Não" localSheetId="4">[1]Efetivo!#REF!</definedName>
    <definedName name="Não" localSheetId="9">[1]Efetivo!#REF!</definedName>
    <definedName name="Não" localSheetId="8">[1]Efetivo!#REF!</definedName>
    <definedName name="Não" localSheetId="12">[1]Efetivo!#REF!</definedName>
    <definedName name="Não" localSheetId="6">[1]Efetivo!#REF!</definedName>
    <definedName name="Não" localSheetId="13">[1]Efetivo!#REF!</definedName>
    <definedName name="Não" localSheetId="14">[1]Efetivo!#REF!</definedName>
    <definedName name="Não" localSheetId="0">[1]Efetivo!#REF!</definedName>
    <definedName name="Não" localSheetId="3">[1]Efetivo!#REF!</definedName>
    <definedName name="Não" localSheetId="10">[1]Efetivo!#REF!</definedName>
    <definedName name="Não" localSheetId="11">[1]Efetivo!#REF!</definedName>
    <definedName name="Não" localSheetId="5">[1]Efetivo!#REF!</definedName>
    <definedName name="Não" localSheetId="15">[1]Efetivo!#REF!</definedName>
    <definedName name="Não">[1]Efetivo!#REF!</definedName>
    <definedName name="Servente" localSheetId="9">[1]Efetivo!#REF!</definedName>
    <definedName name="Servente" localSheetId="12">[1]Efetivo!#REF!</definedName>
    <definedName name="Servente" localSheetId="13">[1]Efetivo!#REF!</definedName>
    <definedName name="Servente" localSheetId="14">[1]Efetivo!#REF!</definedName>
    <definedName name="Servente" localSheetId="11">[1]Efetivo!#REF!</definedName>
    <definedName name="Servente" localSheetId="15">[1]Efetivo!#REF!</definedName>
    <definedName name="Servente">[1]Efetivo!#REF!</definedName>
    <definedName name="ServenteInsalubridade" localSheetId="9">[1]Efetivo!#REF!</definedName>
    <definedName name="ServenteInsalubridade" localSheetId="12">[1]Efetivo!#REF!</definedName>
    <definedName name="ServenteInsalubridade" localSheetId="13">[1]Efetivo!#REF!</definedName>
    <definedName name="ServenteInsalubridade" localSheetId="14">[1]Efetivo!#REF!</definedName>
    <definedName name="ServenteInsalubridade" localSheetId="11">[1]Efetivo!#REF!</definedName>
    <definedName name="ServenteInsalubridade" localSheetId="15">[1]Efetivo!#REF!</definedName>
    <definedName name="ServenteInsalubridade">[1]Efetivo!#REF!</definedName>
    <definedName name="Sim" localSheetId="4">[1]Efetivo!#REF!</definedName>
    <definedName name="Sim" localSheetId="9">[1]Efetivo!#REF!</definedName>
    <definedName name="Sim" localSheetId="8">[1]Efetivo!#REF!</definedName>
    <definedName name="Sim" localSheetId="12">[1]Efetivo!#REF!</definedName>
    <definedName name="Sim" localSheetId="6">[1]Efetivo!#REF!</definedName>
    <definedName name="Sim" localSheetId="13">[1]Efetivo!#REF!</definedName>
    <definedName name="Sim" localSheetId="14">[1]Efetivo!#REF!</definedName>
    <definedName name="Sim" localSheetId="0">[1]Efetivo!#REF!</definedName>
    <definedName name="Sim" localSheetId="3">[1]Efetivo!#REF!</definedName>
    <definedName name="Sim" localSheetId="10">[1]Efetivo!#REF!</definedName>
    <definedName name="Sim" localSheetId="11">[1]Efetivo!#REF!</definedName>
    <definedName name="Sim" localSheetId="5">[1]Efetivo!#REF!</definedName>
    <definedName name="Sim" localSheetId="15">[1]Efetivo!#REF!</definedName>
    <definedName name="Sim">[1]Efetivo!#REF!</definedName>
    <definedName name="TESTE" localSheetId="4">[1]Efetivo!#REF!</definedName>
    <definedName name="TESTE" localSheetId="9">[1]Efetivo!#REF!</definedName>
    <definedName name="TESTE" localSheetId="8">[1]Efetivo!#REF!</definedName>
    <definedName name="TESTE" localSheetId="12">[1]Efetivo!#REF!</definedName>
    <definedName name="TESTE" localSheetId="6">[1]Efetivo!#REF!</definedName>
    <definedName name="TESTE" localSheetId="13">[1]Efetivo!#REF!</definedName>
    <definedName name="TESTE" localSheetId="14">[1]Efetivo!#REF!</definedName>
    <definedName name="TESTE" localSheetId="0">[1]Efetivo!#REF!</definedName>
    <definedName name="TESTE" localSheetId="3">[1]Efetivo!#REF!</definedName>
    <definedName name="TESTE" localSheetId="10">[1]Efetivo!#REF!</definedName>
    <definedName name="TESTE" localSheetId="11">[1]Efetivo!#REF!</definedName>
    <definedName name="TESTE" localSheetId="5">[1]Efetivo!#REF!</definedName>
    <definedName name="TESTE" localSheetId="15">[1]Efetivo!#REF!</definedName>
    <definedName name="TESTE">[1]Efetivo!#REF!</definedName>
    <definedName name="Tratorista" localSheetId="9">[1]Efetivo!#REF!</definedName>
    <definedName name="Tratorista" localSheetId="12">[1]Efetivo!#REF!</definedName>
    <definedName name="Tratorista" localSheetId="13">[1]Efetivo!#REF!</definedName>
    <definedName name="Tratorista" localSheetId="14">[1]Efetivo!#REF!</definedName>
    <definedName name="Tratorista" localSheetId="11">[1]Efetivo!#REF!</definedName>
    <definedName name="Tratorista" localSheetId="15">[1]Efetivo!#REF!</definedName>
    <definedName name="Tratorista">[1]Efetivo!#REF!</definedName>
    <definedName name="VALOR2" localSheetId="12">[1]Efetivo!#REF!</definedName>
    <definedName name="VALOR2" localSheetId="13">[1]Efetivo!#REF!</definedName>
    <definedName name="VALOR2" localSheetId="14">[1]Efetivo!#REF!</definedName>
    <definedName name="VALOR2" localSheetId="11">[1]Efetivo!#REF!</definedName>
    <definedName name="VALOR2" localSheetId="15">[1]Efetivo!#REF!</definedName>
    <definedName name="VALOR2">[1]Efetivo!#REF!</definedName>
    <definedName name="Veiculos" localSheetId="4">[1]Efetivo!#REF!</definedName>
    <definedName name="Veiculos" localSheetId="9">[1]Efetivo!#REF!</definedName>
    <definedName name="Veiculos" localSheetId="8">[1]Efetivo!#REF!</definedName>
    <definedName name="Veiculos" localSheetId="12">[1]Efetivo!#REF!</definedName>
    <definedName name="Veiculos" localSheetId="6">[1]Efetivo!#REF!</definedName>
    <definedName name="Veiculos" localSheetId="13">[1]Efetivo!#REF!</definedName>
    <definedName name="Veiculos" localSheetId="14">[1]Efetivo!#REF!</definedName>
    <definedName name="Veiculos" localSheetId="0">[1]Efetivo!#REF!</definedName>
    <definedName name="Veiculos" localSheetId="3">[1]Efetivo!#REF!</definedName>
    <definedName name="Veiculos" localSheetId="10">[1]Efetivo!#REF!</definedName>
    <definedName name="Veiculos" localSheetId="11">[1]Efetivo!#REF!</definedName>
    <definedName name="Veiculos" localSheetId="5">[1]Efetivo!#REF!</definedName>
    <definedName name="Veiculos" localSheetId="15">[1]Efetivo!#REF!</definedName>
    <definedName name="Veiculos">[1]Efetivo!#REF!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7" i="91" l="1"/>
  <c r="G17" i="140"/>
  <c r="G17" i="143"/>
  <c r="G17" i="142"/>
  <c r="G118" i="142"/>
  <c r="K88" i="143"/>
  <c r="K88" i="141"/>
  <c r="G118" i="91"/>
  <c r="K89" i="140"/>
  <c r="G186" i="91"/>
  <c r="K88" i="91"/>
  <c r="G19" i="140" l="1"/>
  <c r="K89" i="143"/>
  <c r="K89" i="142"/>
  <c r="K89" i="141"/>
  <c r="K90" i="140"/>
  <c r="G22" i="143"/>
  <c r="G22" i="142"/>
  <c r="G21" i="143"/>
  <c r="G21" i="142"/>
  <c r="G20" i="143"/>
  <c r="G20" i="142"/>
  <c r="G20" i="140"/>
  <c r="G19" i="143"/>
  <c r="H35" i="143" s="1"/>
  <c r="G19" i="142"/>
  <c r="H35" i="142" s="1"/>
  <c r="G18" i="143"/>
  <c r="G18" i="142"/>
  <c r="A10" i="78" l="1"/>
  <c r="A10" i="144" s="1"/>
  <c r="E17" i="144" l="1"/>
  <c r="C17" i="144"/>
  <c r="H15" i="144"/>
  <c r="C15" i="144"/>
  <c r="J18" i="78" l="1"/>
  <c r="H17" i="144" s="1"/>
  <c r="A11" i="143" l="1"/>
  <c r="A10" i="143"/>
  <c r="A8" i="143"/>
  <c r="A6" i="143"/>
  <c r="A5" i="143"/>
  <c r="A11" i="142"/>
  <c r="A10" i="142"/>
  <c r="A8" i="142"/>
  <c r="A6" i="142"/>
  <c r="A5" i="142"/>
  <c r="A11" i="141"/>
  <c r="A10" i="141"/>
  <c r="A8" i="141"/>
  <c r="A6" i="141"/>
  <c r="A5" i="141"/>
  <c r="A11" i="140"/>
  <c r="A10" i="140"/>
  <c r="A8" i="140"/>
  <c r="A6" i="140"/>
  <c r="A5" i="140"/>
  <c r="A11" i="91"/>
  <c r="A10" i="91"/>
  <c r="A8" i="91"/>
  <c r="A6" i="91"/>
  <c r="A5" i="91"/>
  <c r="A11" i="138"/>
  <c r="A10" i="138"/>
  <c r="A8" i="138"/>
  <c r="A6" i="138"/>
  <c r="A5" i="138"/>
  <c r="A11" i="107"/>
  <c r="A10" i="107"/>
  <c r="A8" i="107"/>
  <c r="A6" i="107"/>
  <c r="A5" i="107"/>
  <c r="A11" i="130"/>
  <c r="A10" i="130"/>
  <c r="A8" i="130"/>
  <c r="A6" i="130"/>
  <c r="A5" i="130"/>
  <c r="A11" i="88"/>
  <c r="A10" i="88"/>
  <c r="A8" i="88"/>
  <c r="A6" i="88"/>
  <c r="A5" i="88"/>
  <c r="M15" i="138"/>
  <c r="C15" i="138"/>
  <c r="G15" i="107"/>
  <c r="C15" i="107"/>
  <c r="G15" i="130"/>
  <c r="C15" i="130"/>
  <c r="G15" i="88"/>
  <c r="C15" i="88"/>
  <c r="A11" i="110"/>
  <c r="A10" i="110"/>
  <c r="A8" i="110"/>
  <c r="A6" i="110"/>
  <c r="A5" i="110"/>
  <c r="M15" i="110"/>
  <c r="C15" i="110"/>
  <c r="A11" i="116"/>
  <c r="A10" i="116"/>
  <c r="A8" i="116"/>
  <c r="A6" i="116"/>
  <c r="A5" i="116"/>
  <c r="G15" i="116"/>
  <c r="B15" i="116"/>
  <c r="A11" i="115"/>
  <c r="A10" i="115"/>
  <c r="A8" i="115"/>
  <c r="A6" i="115"/>
  <c r="A5" i="115"/>
  <c r="A11" i="126" l="1"/>
  <c r="A10" i="126"/>
  <c r="A8" i="126"/>
  <c r="A6" i="126"/>
  <c r="A5" i="126"/>
  <c r="A11" i="78"/>
  <c r="A11" i="144" s="1"/>
  <c r="A8" i="78"/>
  <c r="A6" i="78"/>
  <c r="A5" i="78"/>
  <c r="G20" i="91" l="1"/>
  <c r="G24" i="143"/>
  <c r="G23" i="143"/>
  <c r="G24" i="142"/>
  <c r="G23" i="142"/>
  <c r="G20" i="141"/>
  <c r="G22" i="141"/>
  <c r="G21" i="141"/>
  <c r="G19" i="141"/>
  <c r="H35" i="141" s="1"/>
  <c r="H37" i="141" s="1"/>
  <c r="H41" i="141" s="1"/>
  <c r="G18" i="141"/>
  <c r="G17" i="141"/>
  <c r="G24" i="141"/>
  <c r="G23" i="141"/>
  <c r="G24" i="140"/>
  <c r="G23" i="140"/>
  <c r="G22" i="140"/>
  <c r="G21" i="140"/>
  <c r="H35" i="140"/>
  <c r="K99" i="140" s="1"/>
  <c r="G18" i="140"/>
  <c r="G24" i="91"/>
  <c r="G23" i="91"/>
  <c r="G22" i="91"/>
  <c r="G21" i="91"/>
  <c r="G19" i="91"/>
  <c r="H35" i="91" s="1"/>
  <c r="G18" i="91"/>
  <c r="G54" i="141"/>
  <c r="G56" i="141" s="1"/>
  <c r="G54" i="142"/>
  <c r="G56" i="142" s="1"/>
  <c r="G54" i="143"/>
  <c r="G56" i="143" s="1"/>
  <c r="G55" i="140"/>
  <c r="G57" i="140" s="1"/>
  <c r="G54" i="91"/>
  <c r="G56" i="91" s="1"/>
  <c r="K98" i="91"/>
  <c r="K89" i="91"/>
  <c r="K90" i="91" s="1"/>
  <c r="G186" i="143"/>
  <c r="K98" i="143"/>
  <c r="K97" i="143"/>
  <c r="K90" i="143"/>
  <c r="G90" i="143"/>
  <c r="G89" i="143"/>
  <c r="G73" i="143"/>
  <c r="G118" i="143" s="1"/>
  <c r="H37" i="143"/>
  <c r="H41" i="143" s="1"/>
  <c r="G186" i="142"/>
  <c r="K98" i="142"/>
  <c r="K97" i="142"/>
  <c r="G90" i="142"/>
  <c r="G89" i="142"/>
  <c r="G73" i="142"/>
  <c r="H37" i="142"/>
  <c r="M23" i="138"/>
  <c r="F19" i="107"/>
  <c r="I19" i="107" s="1"/>
  <c r="F20" i="107"/>
  <c r="I20" i="107" s="1"/>
  <c r="F21" i="107"/>
  <c r="I21" i="107" s="1"/>
  <c r="F22" i="107"/>
  <c r="F23" i="107"/>
  <c r="F24" i="107"/>
  <c r="I24" i="107" s="1"/>
  <c r="F25" i="107"/>
  <c r="I25" i="107" s="1"/>
  <c r="H28" i="130"/>
  <c r="H30" i="130" s="1"/>
  <c r="G22" i="130"/>
  <c r="G23" i="130"/>
  <c r="G24" i="130"/>
  <c r="G25" i="130"/>
  <c r="G26" i="130"/>
  <c r="G27" i="130"/>
  <c r="G186" i="141"/>
  <c r="G139" i="141"/>
  <c r="K97" i="141"/>
  <c r="G90" i="141"/>
  <c r="G89" i="141"/>
  <c r="G73" i="141"/>
  <c r="G118" i="141" s="1"/>
  <c r="G187" i="140"/>
  <c r="G140" i="140"/>
  <c r="K98" i="140"/>
  <c r="G91" i="140"/>
  <c r="K91" i="140"/>
  <c r="K92" i="140" s="1"/>
  <c r="H91" i="140" s="1"/>
  <c r="G90" i="140"/>
  <c r="G74" i="140"/>
  <c r="G119" i="140" s="1"/>
  <c r="G90" i="91"/>
  <c r="G89" i="91"/>
  <c r="K97" i="91"/>
  <c r="K99" i="143" l="1"/>
  <c r="H89" i="143" s="1"/>
  <c r="K99" i="142"/>
  <c r="H89" i="142" s="1"/>
  <c r="K91" i="143"/>
  <c r="H90" i="143" s="1"/>
  <c r="K100" i="140"/>
  <c r="H90" i="140" s="1"/>
  <c r="H96" i="140" s="1"/>
  <c r="H106" i="140" s="1"/>
  <c r="H37" i="140"/>
  <c r="H41" i="140" s="1"/>
  <c r="H56" i="140" s="1"/>
  <c r="G120" i="143"/>
  <c r="H202" i="143"/>
  <c r="H152" i="143"/>
  <c r="H153" i="143" s="1"/>
  <c r="H159" i="143" s="1"/>
  <c r="H55" i="143"/>
  <c r="H54" i="143"/>
  <c r="H41" i="142"/>
  <c r="H202" i="142" s="1"/>
  <c r="G120" i="142"/>
  <c r="K90" i="142"/>
  <c r="K91" i="142" s="1"/>
  <c r="H90" i="142" s="1"/>
  <c r="H202" i="141"/>
  <c r="H54" i="141"/>
  <c r="H55" i="141"/>
  <c r="H152" i="141"/>
  <c r="H153" i="141" s="1"/>
  <c r="H159" i="141" s="1"/>
  <c r="G120" i="141"/>
  <c r="K98" i="141"/>
  <c r="K99" i="141" s="1"/>
  <c r="H89" i="141" s="1"/>
  <c r="K90" i="141"/>
  <c r="K91" i="141" s="1"/>
  <c r="H90" i="141" s="1"/>
  <c r="G121" i="140"/>
  <c r="K99" i="91"/>
  <c r="H89" i="91" s="1"/>
  <c r="K91" i="91"/>
  <c r="H90" i="91" s="1"/>
  <c r="H95" i="142" l="1"/>
  <c r="H105" i="142" s="1"/>
  <c r="H95" i="143"/>
  <c r="H105" i="143" s="1"/>
  <c r="H56" i="143"/>
  <c r="H56" i="141"/>
  <c r="H95" i="141"/>
  <c r="H105" i="141" s="1"/>
  <c r="H55" i="140"/>
  <c r="H57" i="140" s="1"/>
  <c r="H203" i="140"/>
  <c r="H153" i="140"/>
  <c r="H154" i="140" s="1"/>
  <c r="H160" i="140" s="1"/>
  <c r="H55" i="142"/>
  <c r="H54" i="142"/>
  <c r="H56" i="142" s="1"/>
  <c r="H152" i="142"/>
  <c r="H153" i="142" s="1"/>
  <c r="H159" i="142" s="1"/>
  <c r="V19" i="126"/>
  <c r="X19" i="126" s="1"/>
  <c r="F17" i="115"/>
  <c r="F18" i="115"/>
  <c r="F19" i="115"/>
  <c r="F20" i="115"/>
  <c r="F21" i="115"/>
  <c r="F22" i="115"/>
  <c r="F23" i="115"/>
  <c r="F24" i="115"/>
  <c r="F25" i="115"/>
  <c r="F26" i="115"/>
  <c r="F27" i="115"/>
  <c r="F28" i="115"/>
  <c r="F16" i="115"/>
  <c r="I24" i="115"/>
  <c r="I23" i="115"/>
  <c r="I22" i="115"/>
  <c r="I19" i="115"/>
  <c r="I20" i="115"/>
  <c r="I21" i="115"/>
  <c r="I18" i="115"/>
  <c r="I17" i="115"/>
  <c r="I16" i="115"/>
  <c r="V28" i="126"/>
  <c r="V23" i="126"/>
  <c r="X23" i="126" s="1"/>
  <c r="O20" i="126"/>
  <c r="L20" i="126"/>
  <c r="K20" i="126"/>
  <c r="J20" i="126"/>
  <c r="I20" i="126"/>
  <c r="G20" i="126"/>
  <c r="E20" i="126"/>
  <c r="M36" i="126"/>
  <c r="L36" i="126"/>
  <c r="K36" i="126"/>
  <c r="I36" i="126"/>
  <c r="H36" i="126"/>
  <c r="G36" i="126"/>
  <c r="F36" i="126"/>
  <c r="E36" i="126"/>
  <c r="B36" i="126"/>
  <c r="U34" i="126"/>
  <c r="Q34" i="126"/>
  <c r="P34" i="126"/>
  <c r="M34" i="126"/>
  <c r="L34" i="126"/>
  <c r="K34" i="126"/>
  <c r="J34" i="126"/>
  <c r="I34" i="126"/>
  <c r="H34" i="126"/>
  <c r="G34" i="126"/>
  <c r="E34" i="126"/>
  <c r="B34" i="126"/>
  <c r="U33" i="126"/>
  <c r="S33" i="126"/>
  <c r="Q33" i="126"/>
  <c r="P33" i="126"/>
  <c r="O33" i="126"/>
  <c r="N33" i="126"/>
  <c r="K33" i="126"/>
  <c r="J33" i="126"/>
  <c r="I33" i="126"/>
  <c r="H33" i="126"/>
  <c r="F33" i="126"/>
  <c r="E33" i="126"/>
  <c r="B33" i="126"/>
  <c r="Q32" i="126"/>
  <c r="M32" i="126"/>
  <c r="L32" i="126"/>
  <c r="G32" i="126"/>
  <c r="F32" i="126"/>
  <c r="X30" i="126"/>
  <c r="D29" i="126"/>
  <c r="X29" i="126" s="1"/>
  <c r="X28" i="126"/>
  <c r="U27" i="126"/>
  <c r="V27" i="126" s="1"/>
  <c r="S25" i="126"/>
  <c r="M25" i="126"/>
  <c r="L25" i="126"/>
  <c r="K25" i="126"/>
  <c r="I25" i="126"/>
  <c r="F25" i="126"/>
  <c r="B25" i="126"/>
  <c r="L24" i="126"/>
  <c r="J24" i="126"/>
  <c r="I24" i="126"/>
  <c r="H24" i="126"/>
  <c r="E24" i="126"/>
  <c r="S22" i="126"/>
  <c r="V22" i="126" s="1"/>
  <c r="X22" i="126" s="1"/>
  <c r="J21" i="126"/>
  <c r="I21" i="126"/>
  <c r="F21" i="126"/>
  <c r="S20" i="126"/>
  <c r="M20" i="126"/>
  <c r="H20" i="126"/>
  <c r="H21" i="126" s="1"/>
  <c r="B20" i="126"/>
  <c r="M22" i="115"/>
  <c r="H103" i="142" l="1"/>
  <c r="H104" i="140"/>
  <c r="H64" i="140"/>
  <c r="X27" i="126"/>
  <c r="V24" i="126"/>
  <c r="X24" i="126" s="1"/>
  <c r="V32" i="126"/>
  <c r="V21" i="126"/>
  <c r="X21" i="126" s="1"/>
  <c r="V34" i="126"/>
  <c r="X34" i="126" s="1"/>
  <c r="V36" i="126"/>
  <c r="X36" i="126" s="1"/>
  <c r="V25" i="126"/>
  <c r="X25" i="126" s="1"/>
  <c r="V33" i="126"/>
  <c r="V29" i="126"/>
  <c r="V20" i="126"/>
  <c r="X33" i="126"/>
  <c r="X32" i="126"/>
  <c r="H103" i="143" l="1"/>
  <c r="H63" i="143"/>
  <c r="H63" i="142"/>
  <c r="H69" i="142" s="1"/>
  <c r="H103" i="141"/>
  <c r="H63" i="141"/>
  <c r="H70" i="140"/>
  <c r="H66" i="140"/>
  <c r="H73" i="140"/>
  <c r="H69" i="140"/>
  <c r="H72" i="140"/>
  <c r="H68" i="140"/>
  <c r="H71" i="140"/>
  <c r="H67" i="140"/>
  <c r="X20" i="126"/>
  <c r="X37" i="126" s="1"/>
  <c r="H72" i="143" l="1"/>
  <c r="H68" i="143"/>
  <c r="H71" i="143"/>
  <c r="H67" i="143"/>
  <c r="H70" i="143"/>
  <c r="H66" i="143"/>
  <c r="H69" i="143"/>
  <c r="H65" i="143"/>
  <c r="H70" i="142"/>
  <c r="H68" i="142"/>
  <c r="H71" i="142"/>
  <c r="H65" i="142"/>
  <c r="H67" i="142"/>
  <c r="H72" i="142"/>
  <c r="H66" i="142"/>
  <c r="H69" i="141"/>
  <c r="H65" i="141"/>
  <c r="H72" i="141"/>
  <c r="H68" i="141"/>
  <c r="H71" i="141"/>
  <c r="H67" i="141"/>
  <c r="H70" i="141"/>
  <c r="H66" i="141"/>
  <c r="H74" i="140"/>
  <c r="H105" i="140" s="1"/>
  <c r="H107" i="140" s="1"/>
  <c r="H73" i="142" l="1"/>
  <c r="H104" i="142" s="1"/>
  <c r="H106" i="142" s="1"/>
  <c r="H203" i="142" s="1"/>
  <c r="H73" i="143"/>
  <c r="H104" i="143" s="1"/>
  <c r="H106" i="143" s="1"/>
  <c r="H73" i="141"/>
  <c r="H104" i="141" s="1"/>
  <c r="H106" i="141" s="1"/>
  <c r="H204" i="140"/>
  <c r="H113" i="140"/>
  <c r="H118" i="140" s="1"/>
  <c r="H112" i="140"/>
  <c r="H115" i="140" s="1"/>
  <c r="H111" i="142" l="1"/>
  <c r="H114" i="142" s="1"/>
  <c r="H116" i="142" s="1"/>
  <c r="H112" i="142"/>
  <c r="H117" i="142" s="1"/>
  <c r="H119" i="142" s="1"/>
  <c r="H203" i="143"/>
  <c r="H112" i="143"/>
  <c r="H117" i="143" s="1"/>
  <c r="H111" i="143"/>
  <c r="H114" i="143" s="1"/>
  <c r="H203" i="141"/>
  <c r="H111" i="141"/>
  <c r="H114" i="141" s="1"/>
  <c r="H112" i="141"/>
  <c r="H117" i="141" s="1"/>
  <c r="H116" i="140"/>
  <c r="H117" i="140"/>
  <c r="H120" i="140"/>
  <c r="H119" i="140"/>
  <c r="O32" i="138"/>
  <c r="O30" i="138"/>
  <c r="H115" i="142" l="1"/>
  <c r="H118" i="142"/>
  <c r="H119" i="143"/>
  <c r="H118" i="143"/>
  <c r="H115" i="143"/>
  <c r="H116" i="143"/>
  <c r="H119" i="141"/>
  <c r="H118" i="141"/>
  <c r="H116" i="141"/>
  <c r="H115" i="141"/>
  <c r="H121" i="140"/>
  <c r="H205" i="140" s="1"/>
  <c r="M26" i="138"/>
  <c r="H71" i="88"/>
  <c r="N31" i="138"/>
  <c r="L31" i="138"/>
  <c r="L29" i="138"/>
  <c r="L24" i="138"/>
  <c r="N30" i="138"/>
  <c r="L30" i="138"/>
  <c r="M34" i="138"/>
  <c r="N33" i="138"/>
  <c r="M28" i="138"/>
  <c r="M27" i="138"/>
  <c r="N25" i="138"/>
  <c r="M25" i="138"/>
  <c r="L25" i="138"/>
  <c r="M24" i="138"/>
  <c r="L22" i="138"/>
  <c r="N21" i="138"/>
  <c r="M21" i="138"/>
  <c r="L21" i="138"/>
  <c r="H120" i="142" l="1"/>
  <c r="H204" i="142" s="1"/>
  <c r="H120" i="143"/>
  <c r="H204" i="143" s="1"/>
  <c r="H120" i="141"/>
  <c r="H133" i="141" s="1"/>
  <c r="H134" i="140"/>
  <c r="H137" i="140" s="1"/>
  <c r="O35" i="138"/>
  <c r="O37" i="138" s="1"/>
  <c r="L35" i="138"/>
  <c r="M22" i="138"/>
  <c r="N22" i="138"/>
  <c r="N35" i="138" s="1"/>
  <c r="N37" i="138" s="1"/>
  <c r="H169" i="141" s="1"/>
  <c r="G73" i="88"/>
  <c r="G21" i="130"/>
  <c r="G28" i="130" s="1"/>
  <c r="G30" i="130" s="1"/>
  <c r="H32" i="130" s="1"/>
  <c r="H36" i="130" s="1"/>
  <c r="H167" i="141" s="1"/>
  <c r="H133" i="142" l="1"/>
  <c r="H139" i="142" s="1"/>
  <c r="L37" i="138"/>
  <c r="H170" i="140" s="1"/>
  <c r="H169" i="142"/>
  <c r="H169" i="143"/>
  <c r="H204" i="141"/>
  <c r="H142" i="140"/>
  <c r="H138" i="140"/>
  <c r="H139" i="140"/>
  <c r="H136" i="140"/>
  <c r="H140" i="140"/>
  <c r="H133" i="143"/>
  <c r="H140" i="143" s="1"/>
  <c r="H141" i="140"/>
  <c r="H139" i="141"/>
  <c r="H135" i="141"/>
  <c r="H138" i="141"/>
  <c r="H137" i="141"/>
  <c r="H141" i="141"/>
  <c r="H136" i="141"/>
  <c r="H140" i="141"/>
  <c r="M35" i="138"/>
  <c r="M37" i="138" s="1"/>
  <c r="H169" i="91" s="1"/>
  <c r="H140" i="142" l="1"/>
  <c r="H136" i="142"/>
  <c r="H137" i="142"/>
  <c r="H138" i="142"/>
  <c r="H135" i="142"/>
  <c r="H141" i="142"/>
  <c r="N39" i="138"/>
  <c r="H137" i="143"/>
  <c r="H138" i="143"/>
  <c r="H139" i="143"/>
  <c r="H135" i="143"/>
  <c r="H136" i="143"/>
  <c r="H143" i="140"/>
  <c r="H159" i="140" s="1"/>
  <c r="H161" i="140" s="1"/>
  <c r="H141" i="143"/>
  <c r="H142" i="141"/>
  <c r="H142" i="142" l="1"/>
  <c r="H158" i="142" s="1"/>
  <c r="H160" i="142" s="1"/>
  <c r="H142" i="143"/>
  <c r="H158" i="143" s="1"/>
  <c r="H160" i="143" s="1"/>
  <c r="H206" i="140"/>
  <c r="H158" i="141"/>
  <c r="H160" i="141" s="1"/>
  <c r="H205" i="141"/>
  <c r="H22" i="88"/>
  <c r="H205" i="142" l="1"/>
  <c r="H205" i="143"/>
  <c r="G72" i="88" l="1"/>
  <c r="G68" i="88"/>
  <c r="G23" i="88"/>
  <c r="G59" i="88"/>
  <c r="G60" i="88"/>
  <c r="H55" i="88"/>
  <c r="H30" i="88"/>
  <c r="G44" i="88"/>
  <c r="G43" i="88"/>
  <c r="H22" i="107" l="1"/>
  <c r="G36" i="88"/>
  <c r="G25" i="88"/>
  <c r="G76" i="88"/>
  <c r="H62" i="88" l="1"/>
  <c r="G54" i="88"/>
  <c r="O21" i="110"/>
  <c r="O22" i="110"/>
  <c r="M20" i="110" l="1"/>
  <c r="O25" i="110"/>
  <c r="O24" i="110"/>
  <c r="O26" i="110"/>
  <c r="M26" i="110"/>
  <c r="L23" i="110"/>
  <c r="L26" i="110"/>
  <c r="D28" i="115" l="1"/>
  <c r="D27" i="115"/>
  <c r="D26" i="115"/>
  <c r="D25" i="115"/>
  <c r="D24" i="115"/>
  <c r="J24" i="115" s="1"/>
  <c r="D23" i="115"/>
  <c r="J23" i="115" s="1"/>
  <c r="D22" i="115"/>
  <c r="J22" i="115" s="1"/>
  <c r="D21" i="115"/>
  <c r="D20" i="115"/>
  <c r="D19" i="115"/>
  <c r="D18" i="115"/>
  <c r="D17" i="115"/>
  <c r="D16" i="115"/>
  <c r="J16" i="115" l="1"/>
  <c r="C19" i="116"/>
  <c r="E20" i="144" s="1"/>
  <c r="J17" i="115"/>
  <c r="C20" i="116"/>
  <c r="E21" i="144" s="1"/>
  <c r="J21" i="115"/>
  <c r="C24" i="116"/>
  <c r="E25" i="144" s="1"/>
  <c r="C21" i="116"/>
  <c r="E22" i="144" s="1"/>
  <c r="J18" i="115"/>
  <c r="C22" i="116"/>
  <c r="E23" i="144" s="1"/>
  <c r="J19" i="115"/>
  <c r="J20" i="115"/>
  <c r="C23" i="116"/>
  <c r="E24" i="144" s="1"/>
  <c r="J32" i="115" l="1"/>
  <c r="R19" i="116"/>
  <c r="H23" i="107"/>
  <c r="H26" i="107" s="1"/>
  <c r="F18" i="107"/>
  <c r="I18" i="107" s="1"/>
  <c r="I26" i="107" s="1"/>
  <c r="H42" i="88"/>
  <c r="H41" i="88"/>
  <c r="H38" i="88"/>
  <c r="H74" i="88"/>
  <c r="H75" i="88"/>
  <c r="H31" i="88"/>
  <c r="H29" i="88"/>
  <c r="I32" i="107" l="1"/>
  <c r="H30" i="107"/>
  <c r="H168" i="141" s="1"/>
  <c r="G67" i="88"/>
  <c r="G69" i="88"/>
  <c r="G70" i="88"/>
  <c r="G66" i="88"/>
  <c r="G65" i="88"/>
  <c r="G61" i="88"/>
  <c r="G57" i="88"/>
  <c r="G53" i="88"/>
  <c r="G51" i="88"/>
  <c r="G50" i="88"/>
  <c r="G48" i="88"/>
  <c r="G40" i="88"/>
  <c r="G46" i="88"/>
  <c r="G37" i="88"/>
  <c r="G35" i="88"/>
  <c r="G34" i="88"/>
  <c r="G49" i="88"/>
  <c r="G24" i="88"/>
  <c r="G45" i="88"/>
  <c r="H64" i="88"/>
  <c r="H63" i="88"/>
  <c r="H58" i="88"/>
  <c r="H56" i="88"/>
  <c r="H52" i="88"/>
  <c r="H47" i="88"/>
  <c r="H39" i="88"/>
  <c r="H32" i="88"/>
  <c r="H33" i="88"/>
  <c r="H28" i="88"/>
  <c r="H27" i="88"/>
  <c r="H26" i="88"/>
  <c r="N26" i="110"/>
  <c r="N23" i="110"/>
  <c r="M23" i="110"/>
  <c r="L19" i="110"/>
  <c r="L27" i="110" l="1"/>
  <c r="L29" i="110" s="1"/>
  <c r="H167" i="140" s="1"/>
  <c r="G77" i="88"/>
  <c r="G79" i="88" s="1"/>
  <c r="H77" i="88"/>
  <c r="H79" i="88" s="1"/>
  <c r="N19" i="110"/>
  <c r="M19" i="110"/>
  <c r="O27" i="110"/>
  <c r="O29" i="110" s="1"/>
  <c r="H166" i="142" l="1"/>
  <c r="H171" i="142" s="1"/>
  <c r="H166" i="143"/>
  <c r="H171" i="143" s="1"/>
  <c r="H81" i="88"/>
  <c r="M27" i="110"/>
  <c r="M29" i="110" s="1"/>
  <c r="H166" i="91" s="1"/>
  <c r="N27" i="110"/>
  <c r="N29" i="110" s="1"/>
  <c r="H166" i="141" s="1"/>
  <c r="H206" i="143" l="1"/>
  <c r="H207" i="143" s="1"/>
  <c r="H180" i="143"/>
  <c r="H206" i="142"/>
  <c r="H207" i="142" s="1"/>
  <c r="H180" i="142"/>
  <c r="H184" i="142" s="1"/>
  <c r="D28" i="116"/>
  <c r="C28" i="116"/>
  <c r="E29" i="144" s="1"/>
  <c r="H184" i="143" l="1"/>
  <c r="H181" i="143" s="1"/>
  <c r="H181" i="142"/>
  <c r="H185" i="142" s="1"/>
  <c r="H182" i="142" s="1"/>
  <c r="I28" i="116"/>
  <c r="F28" i="116"/>
  <c r="H185" i="143" l="1"/>
  <c r="H182" i="143" s="1"/>
  <c r="H189" i="142"/>
  <c r="H190" i="142"/>
  <c r="H188" i="142"/>
  <c r="H192" i="142"/>
  <c r="H191" i="142"/>
  <c r="D31" i="116"/>
  <c r="C31" i="116"/>
  <c r="R31" i="116" l="1"/>
  <c r="E32" i="144"/>
  <c r="H193" i="142"/>
  <c r="H208" i="142" s="1"/>
  <c r="H209" i="142" s="1"/>
  <c r="H188" i="143"/>
  <c r="H191" i="143"/>
  <c r="H189" i="143"/>
  <c r="H192" i="143"/>
  <c r="H190" i="143"/>
  <c r="I31" i="116"/>
  <c r="F31" i="116"/>
  <c r="D29" i="116"/>
  <c r="C29" i="116"/>
  <c r="E30" i="144" s="1"/>
  <c r="H211" i="142" l="1"/>
  <c r="H212" i="142" s="1"/>
  <c r="F34" i="144"/>
  <c r="G34" i="144" s="1"/>
  <c r="H193" i="143"/>
  <c r="H208" i="143" s="1"/>
  <c r="H209" i="143" s="1"/>
  <c r="F35" i="144" s="1"/>
  <c r="G35" i="144" s="1"/>
  <c r="I29" i="116"/>
  <c r="F29" i="116"/>
  <c r="D26" i="116"/>
  <c r="C26" i="116"/>
  <c r="E27" i="144" s="1"/>
  <c r="G44" i="144" l="1"/>
  <c r="H44" i="144" s="1"/>
  <c r="H35" i="144"/>
  <c r="H34" i="144"/>
  <c r="G43" i="144"/>
  <c r="H211" i="143"/>
  <c r="H212" i="143" s="1"/>
  <c r="I26" i="116"/>
  <c r="F26" i="116"/>
  <c r="D20" i="116"/>
  <c r="D21" i="116"/>
  <c r="D22" i="116"/>
  <c r="D23" i="116"/>
  <c r="I28" i="115"/>
  <c r="J28" i="115" s="1"/>
  <c r="I26" i="115"/>
  <c r="J26" i="115" s="1"/>
  <c r="H43" i="144" l="1"/>
  <c r="H45" i="144" s="1"/>
  <c r="G45" i="144"/>
  <c r="I23" i="116"/>
  <c r="F23" i="116"/>
  <c r="I22" i="116"/>
  <c r="F22" i="116"/>
  <c r="I21" i="116"/>
  <c r="F21" i="116"/>
  <c r="I20" i="116"/>
  <c r="F20" i="116"/>
  <c r="A13" i="125" l="1"/>
  <c r="C25" i="116" l="1"/>
  <c r="E26" i="144" s="1"/>
  <c r="D25" i="116"/>
  <c r="I25" i="116" l="1"/>
  <c r="F25" i="116"/>
  <c r="D27" i="116"/>
  <c r="I27" i="116" l="1"/>
  <c r="F27" i="116"/>
  <c r="D24" i="116"/>
  <c r="I24" i="116" l="1"/>
  <c r="F24" i="116"/>
  <c r="D30" i="116" l="1"/>
  <c r="I30" i="116" l="1"/>
  <c r="F30" i="116"/>
  <c r="C30" i="116" l="1"/>
  <c r="C27" i="116"/>
  <c r="R25" i="116" l="1"/>
  <c r="E28" i="144"/>
  <c r="R28" i="116"/>
  <c r="E31" i="144"/>
  <c r="D19" i="116"/>
  <c r="I19" i="116" s="1"/>
  <c r="F19" i="116" l="1"/>
  <c r="I27" i="115"/>
  <c r="J27" i="115" s="1"/>
  <c r="I25" i="115"/>
  <c r="J25" i="115" s="1"/>
  <c r="J29" i="115" l="1"/>
  <c r="J31" i="115" s="1"/>
  <c r="J33" i="115"/>
  <c r="I28" i="107" l="1"/>
  <c r="I30" i="107" s="1"/>
  <c r="H210" i="91"/>
  <c r="H83" i="88"/>
  <c r="H85" i="88" s="1"/>
  <c r="H167" i="91" s="1"/>
  <c r="H168" i="91"/>
  <c r="H171" i="141"/>
  <c r="H169" i="140"/>
  <c r="H168" i="140" l="1"/>
  <c r="H172" i="140" s="1"/>
  <c r="H207" i="140" s="1"/>
  <c r="H208" i="140" s="1"/>
  <c r="H206" i="141"/>
  <c r="H207" i="141" s="1"/>
  <c r="H180" i="141"/>
  <c r="H184" i="141" s="1"/>
  <c r="H181" i="140" l="1"/>
  <c r="H185" i="140" s="1"/>
  <c r="H182" i="140" s="1"/>
  <c r="H181" i="141"/>
  <c r="H185" i="141" s="1"/>
  <c r="H182" i="141" s="1"/>
  <c r="H191" i="141" l="1"/>
  <c r="H189" i="141"/>
  <c r="H188" i="141"/>
  <c r="H190" i="141"/>
  <c r="H192" i="141"/>
  <c r="H186" i="140"/>
  <c r="H183" i="140" s="1"/>
  <c r="H190" i="140" l="1"/>
  <c r="H193" i="140"/>
  <c r="H189" i="140"/>
  <c r="H192" i="140"/>
  <c r="H191" i="140"/>
  <c r="H193" i="141"/>
  <c r="H208" i="141" s="1"/>
  <c r="H209" i="141" s="1"/>
  <c r="F33" i="144" s="1"/>
  <c r="G33" i="144" s="1"/>
  <c r="G41" i="144" l="1"/>
  <c r="H41" i="144" s="1"/>
  <c r="H33" i="144"/>
  <c r="H211" i="141"/>
  <c r="H212" i="141" s="1"/>
  <c r="H194" i="140"/>
  <c r="H209" i="140" s="1"/>
  <c r="H210" i="140" s="1"/>
  <c r="J19" i="116" s="1"/>
  <c r="H212" i="140" l="1"/>
  <c r="H213" i="140" s="1"/>
  <c r="J21" i="116"/>
  <c r="J20" i="116"/>
  <c r="J24" i="116"/>
  <c r="G73" i="91"/>
  <c r="G120" i="91" l="1"/>
  <c r="H95" i="91" l="1"/>
  <c r="H105" i="91" s="1"/>
  <c r="H41" i="91" l="1"/>
  <c r="H202" i="91" s="1"/>
  <c r="H152" i="91" l="1"/>
  <c r="H153" i="91" s="1"/>
  <c r="H159" i="91" s="1"/>
  <c r="H54" i="91"/>
  <c r="H55" i="91"/>
  <c r="H56" i="91" l="1"/>
  <c r="H103" i="91"/>
  <c r="H63" i="91"/>
  <c r="H66" i="91" l="1"/>
  <c r="H70" i="91"/>
  <c r="H71" i="91"/>
  <c r="H72" i="91"/>
  <c r="H65" i="91"/>
  <c r="H67" i="91"/>
  <c r="H68" i="91"/>
  <c r="H69" i="91"/>
  <c r="H73" i="91" l="1"/>
  <c r="H104" i="91" s="1"/>
  <c r="H106" i="91" s="1"/>
  <c r="H203" i="91" s="1"/>
  <c r="K24" i="116"/>
  <c r="F25" i="144" s="1"/>
  <c r="G25" i="144" s="1"/>
  <c r="H25" i="144" s="1"/>
  <c r="K20" i="116"/>
  <c r="F21" i="144" s="1"/>
  <c r="G21" i="144" s="1"/>
  <c r="H21" i="144" s="1"/>
  <c r="K19" i="116"/>
  <c r="F20" i="144" s="1"/>
  <c r="G20" i="144" s="1"/>
  <c r="H171" i="91"/>
  <c r="H206" i="91" s="1"/>
  <c r="H20" i="144" l="1"/>
  <c r="H112" i="91"/>
  <c r="H111" i="91"/>
  <c r="L19" i="116"/>
  <c r="L20" i="116"/>
  <c r="L24" i="116"/>
  <c r="H117" i="91" l="1"/>
  <c r="H114" i="91"/>
  <c r="H115" i="91" l="1"/>
  <c r="H116" i="91"/>
  <c r="H118" i="91"/>
  <c r="H119" i="91"/>
  <c r="H120" i="91" l="1"/>
  <c r="H204" i="91" s="1"/>
  <c r="K21" i="116"/>
  <c r="F22" i="144" s="1"/>
  <c r="G22" i="144" s="1"/>
  <c r="H22" i="144" l="1"/>
  <c r="H133" i="91"/>
  <c r="L21" i="116"/>
  <c r="H138" i="91" l="1"/>
  <c r="H140" i="91"/>
  <c r="H136" i="91"/>
  <c r="H137" i="91"/>
  <c r="H139" i="91"/>
  <c r="H141" i="91"/>
  <c r="H135" i="91"/>
  <c r="H142" i="91" l="1"/>
  <c r="H158" i="91" l="1"/>
  <c r="H160" i="91" s="1"/>
  <c r="H180" i="91" s="1"/>
  <c r="H184" i="91" s="1"/>
  <c r="H205" i="91"/>
  <c r="H207" i="91" s="1"/>
  <c r="H181" i="91" l="1"/>
  <c r="H185" i="91" s="1"/>
  <c r="H182" i="91" s="1"/>
  <c r="H191" i="91" l="1"/>
  <c r="H192" i="91"/>
  <c r="H188" i="91"/>
  <c r="H189" i="91"/>
  <c r="H190" i="91"/>
  <c r="H193" i="91" l="1"/>
  <c r="H208" i="91" s="1"/>
  <c r="H209" i="91" s="1"/>
  <c r="J31" i="116" l="1"/>
  <c r="K31" i="116" s="1"/>
  <c r="F32" i="144" s="1"/>
  <c r="G32" i="144" s="1"/>
  <c r="H32" i="144" s="1"/>
  <c r="J30" i="116"/>
  <c r="K30" i="116" s="1"/>
  <c r="F31" i="144" s="1"/>
  <c r="G31" i="144" s="1"/>
  <c r="H31" i="144" s="1"/>
  <c r="J29" i="116"/>
  <c r="K29" i="116" s="1"/>
  <c r="F30" i="144" s="1"/>
  <c r="G30" i="144" s="1"/>
  <c r="H30" i="144" s="1"/>
  <c r="J28" i="116"/>
  <c r="K28" i="116" s="1"/>
  <c r="F29" i="144" s="1"/>
  <c r="G29" i="144" s="1"/>
  <c r="H29" i="144" s="1"/>
  <c r="J27" i="116"/>
  <c r="K27" i="116" s="1"/>
  <c r="F28" i="144" s="1"/>
  <c r="G28" i="144" s="1"/>
  <c r="H28" i="144" s="1"/>
  <c r="J26" i="116"/>
  <c r="K26" i="116" s="1"/>
  <c r="F27" i="144" s="1"/>
  <c r="G27" i="144" s="1"/>
  <c r="H27" i="144" s="1"/>
  <c r="J25" i="116"/>
  <c r="J23" i="116"/>
  <c r="J22" i="116"/>
  <c r="H211" i="91"/>
  <c r="H212" i="91" s="1"/>
  <c r="L27" i="116" l="1"/>
  <c r="L28" i="116"/>
  <c r="L29" i="116"/>
  <c r="L30" i="116"/>
  <c r="L26" i="116"/>
  <c r="L31" i="116"/>
  <c r="S31" i="116" s="1"/>
  <c r="Q31" i="116" s="1"/>
  <c r="K22" i="116"/>
  <c r="K23" i="116"/>
  <c r="K25" i="116"/>
  <c r="S28" i="116" l="1"/>
  <c r="Q28" i="116" s="1"/>
  <c r="L25" i="116"/>
  <c r="S25" i="116" s="1"/>
  <c r="Q25" i="116" s="1"/>
  <c r="F26" i="144"/>
  <c r="G26" i="144" s="1"/>
  <c r="H26" i="144" s="1"/>
  <c r="L23" i="116"/>
  <c r="F24" i="144"/>
  <c r="G24" i="144" s="1"/>
  <c r="H24" i="144" s="1"/>
  <c r="L22" i="116"/>
  <c r="S19" i="116" s="1"/>
  <c r="Q19" i="116" s="1"/>
  <c r="F23" i="144"/>
  <c r="G23" i="144" s="1"/>
  <c r="H23" i="144" l="1"/>
  <c r="H36" i="144" s="1"/>
  <c r="G40" i="144"/>
  <c r="G42" i="144" s="1"/>
  <c r="G47" i="144" s="1"/>
  <c r="G36" i="144"/>
  <c r="L32" i="116"/>
  <c r="S32" i="116"/>
  <c r="H40" i="144" l="1"/>
  <c r="H42" i="144" s="1"/>
  <c r="H47" i="144" s="1"/>
</calcChain>
</file>

<file path=xl/comments1.xml><?xml version="1.0" encoding="utf-8"?>
<comments xmlns="http://schemas.openxmlformats.org/spreadsheetml/2006/main">
  <authors>
    <author>Carlos Magno Wonghan da Silva</author>
  </authors>
  <commentList>
    <comment ref="G114" authorId="0" shapeId="0">
      <text>
        <r>
          <rPr>
            <b/>
            <sz val="10"/>
            <color indexed="81"/>
            <rFont val="Segoe UI"/>
            <family val="2"/>
          </rPr>
          <t xml:space="preserve">Aviso Prévio Indenizado (API)
</t>
        </r>
        <r>
          <rPr>
            <sz val="10"/>
            <color indexed="81"/>
            <rFont val="Segoe UI"/>
            <family val="2"/>
          </rPr>
          <t xml:space="preserve">
Trata-se de valor devido ao empregado no caso de o empregador rescindir o contrato sem justo motivo e sem conceder aviso prévio, conforme disposto no §1° do art. 487 da CLT.
Devido à imprevisibilidade, esse é um montante que a empresa deverá provisionar. O provisionamento estimativo é feito, em geral, com base em índice de rotatividade anual.
De acordo com o levantamento efetuado em diversos contratos, cerca de 5% do pessoal é demitido pelo empregador, antes do término do contrato de tranalho.
</t>
        </r>
        <r>
          <rPr>
            <b/>
            <sz val="10"/>
            <color indexed="81"/>
            <rFont val="Segoe UI"/>
            <family val="2"/>
          </rPr>
          <t>Cálculo: (1/12) x 5% = 0,4167%,</t>
        </r>
        <r>
          <rPr>
            <sz val="10"/>
            <color indexed="81"/>
            <rFont val="Segoe UI"/>
            <family val="2"/>
          </rPr>
          <t xml:space="preserve"> ao mês aplicado sobre a remuneração.
Sendo:
1= O aviso prévio integral da remuneração, com desligamento imediato do empregado;
12= rateio da remuneração em 12 meses;
5% cumprem aviso prévio (variável)= dado estatítico. O valor pode variar conforme cada empresa.</t>
        </r>
      </text>
    </comment>
    <comment ref="G116" authorId="0" shapeId="0">
      <text>
        <r>
          <rPr>
            <b/>
            <sz val="10"/>
            <color indexed="81"/>
            <rFont val="Segoe UI"/>
            <family val="2"/>
          </rPr>
          <t xml:space="preserve">Multa do FGTS sobre Aviso Prévio Indenizado
</t>
        </r>
        <r>
          <rPr>
            <sz val="10"/>
            <color indexed="81"/>
            <rFont val="Segoe UI"/>
            <family val="2"/>
          </rPr>
          <t xml:space="preserve">Com a entrada em vigor da Lei nº 13.932, de 11 de dezembro de 2019, a partir de 1º de janeiro de 2020, fica extinto os 10% de contribuição social sobre o FGTS, o valor mensal a ser provisionado, passa a ser apenas de 40% sobre o valor mensal do FGTS, portanto, o percentual fica em 4%.
A SOMA da multa do </t>
        </r>
        <r>
          <rPr>
            <b/>
            <sz val="10"/>
            <color indexed="81"/>
            <rFont val="Segoe UI"/>
            <family val="2"/>
          </rPr>
          <t>APT + API = 2% + 2% = 4%</t>
        </r>
      </text>
    </comment>
    <comment ref="G117" authorId="0" shapeId="0">
      <text>
        <r>
          <rPr>
            <b/>
            <sz val="10"/>
            <color indexed="81"/>
            <rFont val="Segoe UI"/>
            <family val="2"/>
          </rPr>
          <t xml:space="preserve">Aviso Prévio Trabalhado
Cálculo:
</t>
        </r>
        <r>
          <rPr>
            <sz val="10"/>
            <color indexed="81"/>
            <rFont val="Segoe UI"/>
            <family val="2"/>
          </rPr>
          <t xml:space="preserve">1° ano de contrato (cheio): (((7/30)/12)*100 = 1,944% ao mês
7 dias em 30 rateado em 12 meses multiplicado pela estatística cheia, nesse caso, 100%.
Na Prorrogação será readequado.
Acórdão TCU 1586/2018 - Plenário:
Nas licitações para contratação de mão de obra terceirizada, a Administração deve estabelecer na minuta do contrato que a parcela mensal a título de </t>
        </r>
        <r>
          <rPr>
            <b/>
            <sz val="10"/>
            <color indexed="81"/>
            <rFont val="Segoe UI"/>
            <family val="2"/>
          </rPr>
          <t>aviso prévio trabalhado será no percentual máximo de 1,94% no primeiro ano e, em caso de prorrogação do contrato, o percentual máximo dessa parcela será de 0,194%</t>
        </r>
        <r>
          <rPr>
            <sz val="10"/>
            <color indexed="81"/>
            <rFont val="Segoe UI"/>
            <family val="2"/>
          </rPr>
          <t xml:space="preserve"> a cada ano de prorrogação, a ser incluído por ocasião da formulação do aditivo da prorrogação do contrato, conforme a Lei 12.506/2011.</t>
        </r>
      </text>
    </comment>
    <comment ref="G119" authorId="0" shapeId="0">
      <text>
        <r>
          <rPr>
            <b/>
            <sz val="10"/>
            <color indexed="81"/>
            <rFont val="Segoe UI"/>
            <family val="2"/>
          </rPr>
          <t xml:space="preserve">Multa do FGTS sobre Aviso Prévio Indenizado
</t>
        </r>
        <r>
          <rPr>
            <sz val="10"/>
            <color indexed="81"/>
            <rFont val="Segoe UI"/>
            <family val="2"/>
          </rPr>
          <t xml:space="preserve">
Com a entrada em vigor da Lei nº 13.932, de 11 de dezembro de 2019, a partir de 1º de janeiro de 2020, fica extinto os 10% de contribuição social sobre o FGTS, o valor mensal a ser provisionado, passa a ser apenas de 40% sobre o valor mensal do FGTS, portanto, o percentual fica em 4%.
A SOMA da multa do</t>
        </r>
        <r>
          <rPr>
            <b/>
            <sz val="10"/>
            <color indexed="81"/>
            <rFont val="Segoe UI"/>
            <family val="2"/>
          </rPr>
          <t xml:space="preserve"> APT + API = 2% + 2% = 4%</t>
        </r>
      </text>
    </comment>
    <comment ref="G135" authorId="0" shapeId="0">
      <text>
        <r>
          <rPr>
            <b/>
            <sz val="10"/>
            <color indexed="81"/>
            <rFont val="Segoe UI"/>
            <family val="2"/>
          </rPr>
          <t xml:space="preserve">Férias Substituto
</t>
        </r>
        <r>
          <rPr>
            <sz val="10"/>
            <color indexed="81"/>
            <rFont val="Segoe UI"/>
            <family val="2"/>
          </rPr>
          <t xml:space="preserve">(1+1/3)/12)/12 = 0,926%
1= remuneração
1/3= terço constitucional sobre o valor das férias
12 = rateio do provisionamento para 12 meses
/12 = corresponde a 1/12 de férias, pois, a contratada necessitou disponibilizar POR 1 MÊS um de seus empregados/folguitas para cobrir o titular, que está usufruindo de férias.
</t>
        </r>
      </text>
    </comment>
    <comment ref="G136" authorId="0" shapeId="0">
      <text>
        <r>
          <rPr>
            <b/>
            <sz val="10"/>
            <color indexed="81"/>
            <rFont val="Segoe UI"/>
            <family val="2"/>
          </rPr>
          <t xml:space="preserve">Ausências Legais
</t>
        </r>
        <r>
          <rPr>
            <sz val="10"/>
            <color indexed="81"/>
            <rFont val="Segoe UI"/>
            <family val="2"/>
          </rPr>
          <t xml:space="preserve">
Ausências previstas na legislação vigente que é composta por um conjunto de casos em que o funcionário pode se ausentar sem perda da remuneração.
Consideramos, aleatoriamente, que durnate a vigência do nosso contrato, ocorrerão </t>
        </r>
        <r>
          <rPr>
            <b/>
            <sz val="10"/>
            <color indexed="81"/>
            <rFont val="Segoe UI"/>
            <family val="2"/>
          </rPr>
          <t>7 faltas justificadas por ano</t>
        </r>
        <r>
          <rPr>
            <sz val="10"/>
            <color indexed="81"/>
            <rFont val="Segoe UI"/>
            <family val="2"/>
          </rPr>
          <t>. Faz-se o cálculo do custo mensal desta despesa da seguinte maneira:
((7/30/12) x 100 = 1,94%
Sendo:
7 = Índice de ocorrência - Dados estatiticos. (variavel conforme realidade da empresa).
30 = Impacto sobre o mês
12 = Impacto diluído ao longo de 12 meses.</t>
        </r>
      </text>
    </comment>
    <comment ref="G137" authorId="0" shapeId="0">
      <text>
        <r>
          <rPr>
            <b/>
            <sz val="10"/>
            <color indexed="81"/>
            <rFont val="Segoe UI"/>
            <family val="2"/>
          </rPr>
          <t xml:space="preserve">Ausência por Acidente de Trabalho
</t>
        </r>
        <r>
          <rPr>
            <sz val="10"/>
            <color indexed="81"/>
            <rFont val="Segoe UI"/>
            <family val="2"/>
          </rPr>
          <t>((15/30/12) x 0,08 x 100 = 0,33%
Sendo:
15 dias de ausência cobertos pelo empregador, após 15 dias, INSS;
30 = impacto sobre o mês;
/12 = impacto diluído ao longo de 12 meses;
0,08 (8%) - Índice de ocorrência/ Estatística. (variavel conforme realidade da empresa).</t>
        </r>
      </text>
    </comment>
    <comment ref="G138" authorId="0" shapeId="0">
      <text>
        <r>
          <rPr>
            <b/>
            <sz val="10"/>
            <color indexed="81"/>
            <rFont val="Segoe UI"/>
            <family val="2"/>
          </rPr>
          <t xml:space="preserve">Licença Paternidade:
</t>
        </r>
        <r>
          <rPr>
            <sz val="10"/>
            <color indexed="81"/>
            <rFont val="Segoe UI"/>
            <family val="2"/>
          </rPr>
          <t xml:space="preserve">
Segundo a C.F., refere-se à ausência de </t>
        </r>
        <r>
          <rPr>
            <b/>
            <sz val="10"/>
            <color indexed="81"/>
            <rFont val="Segoe UI"/>
            <family val="2"/>
          </rPr>
          <t>5 (cinco) dias corridos</t>
        </r>
        <r>
          <rPr>
            <sz val="10"/>
            <color indexed="81"/>
            <rFont val="Segoe UI"/>
            <family val="2"/>
          </rPr>
          <t xml:space="preserve"> iniciados no dia do nascimento do filho.
De acordo com o Acórdão TCU 1904/07-Plenário, com base e, estudo do IBGE, a média de trabalhadores que são pais durante o ano é de </t>
        </r>
        <r>
          <rPr>
            <b/>
            <sz val="10"/>
            <color indexed="81"/>
            <rFont val="Segoe UI"/>
            <family val="2"/>
          </rPr>
          <t>1,5%</t>
        </r>
        <r>
          <rPr>
            <sz val="10"/>
            <color indexed="81"/>
            <rFont val="Segoe UI"/>
            <family val="2"/>
          </rPr>
          <t>.
Faz-se o cálculo do custo mensal dessa despesa da seguinte maneira:
((5/30/12) x 0,015 = 0,0280%
Sendo:
5 dias de ausência;
30 = Impacto sobre o mês;
12 = Impacto diluido ao longo de 12 meses;
0,015 ou 1,5% = Índice de ocorrência/estimativa. (variavel conforme realidade da empresa).</t>
        </r>
      </text>
    </comment>
    <comment ref="G139" authorId="0" shapeId="0">
      <text>
        <r>
          <rPr>
            <b/>
            <sz val="10"/>
            <color indexed="81"/>
            <rFont val="Segoe UI"/>
            <family val="2"/>
          </rPr>
          <t xml:space="preserve">Afastamento Maternidade
</t>
        </r>
        <r>
          <rPr>
            <sz val="10"/>
            <color indexed="81"/>
            <rFont val="Segoe UI"/>
            <family val="2"/>
          </rPr>
          <t>[(4/12)/12 x 0,02 x 100]=
4/12 = 4 meses martenidade por ano (120 dias);
12 = meses do ano;
/12 = impacto diluído ao longo de 12 meses;
0,02 ou 2% = Índice de ocorrência/ Estatística. (variavel conforme realidade da empresa);
100 = porcentagem.</t>
        </r>
      </text>
    </comment>
    <comment ref="G140" authorId="0" shapeId="0">
      <text>
        <r>
          <rPr>
            <b/>
            <sz val="10"/>
            <color indexed="81"/>
            <rFont val="Segoe UI"/>
            <family val="2"/>
          </rPr>
          <t xml:space="preserve">Auxílio Doença:
</t>
        </r>
        <r>
          <rPr>
            <sz val="10"/>
            <color indexed="81"/>
            <rFont val="Segoe UI"/>
            <family val="2"/>
          </rPr>
          <t xml:space="preserve">
((5/30/12) x 100 = 1,39%
5 = Índice de ocorrência - Dados estatiticos. (variavel conforme realidade da empresa).
30 = Impacto sobre o mês
12 = Impacto diluído ao longo de 12 meses.</t>
        </r>
      </text>
    </comment>
    <comment ref="G184" authorId="0" shapeId="0">
      <text>
        <r>
          <rPr>
            <b/>
            <sz val="10"/>
            <color indexed="81"/>
            <rFont val="Segoe UI"/>
            <family val="2"/>
          </rPr>
          <t>Custos Indiretos:</t>
        </r>
        <r>
          <rPr>
            <sz val="10"/>
            <color indexed="81"/>
            <rFont val="Segoe UI"/>
            <family val="2"/>
          </rPr>
          <t xml:space="preserve">
Variável conforme realidade da empresa</t>
        </r>
      </text>
    </comment>
    <comment ref="G185" authorId="0" shapeId="0">
      <text>
        <r>
          <rPr>
            <b/>
            <sz val="10"/>
            <color indexed="81"/>
            <rFont val="Segoe UI"/>
            <family val="2"/>
          </rPr>
          <t xml:space="preserve">Lucro:
</t>
        </r>
        <r>
          <rPr>
            <sz val="10"/>
            <color indexed="81"/>
            <rFont val="Segoe UI"/>
            <family val="2"/>
          </rPr>
          <t xml:space="preserve">Variável conforme realidade da empresa.
</t>
        </r>
      </text>
    </comment>
  </commentList>
</comments>
</file>

<file path=xl/comments2.xml><?xml version="1.0" encoding="utf-8"?>
<comments xmlns="http://schemas.openxmlformats.org/spreadsheetml/2006/main">
  <authors>
    <author>Carlos Magno Wonghan da Silva</author>
  </authors>
  <commentList>
    <comment ref="G115" authorId="0" shapeId="0">
      <text>
        <r>
          <rPr>
            <b/>
            <sz val="10"/>
            <color indexed="81"/>
            <rFont val="Segoe UI"/>
            <family val="2"/>
          </rPr>
          <t xml:space="preserve">Aviso Prévio Indenizado (API)
</t>
        </r>
        <r>
          <rPr>
            <sz val="10"/>
            <color indexed="81"/>
            <rFont val="Segoe UI"/>
            <family val="2"/>
          </rPr>
          <t xml:space="preserve">
Trata-se de valor devido ao empregado no caso de o empregador rescindir o contrato sem justo motivo e sem conceder aviso prévio, conforme disposto no §1° do art. 487 da CLT.
Devido à imprevisibilidade, esse é um montante que a empresa deverá provisionar. O provisionamento estimativo é feito, em geral, com base em índice de rotatividade anual.
De acordo com o levantamento efetuado em diversos contratos, cerca de 5% do pessoal é demitido pelo empregador, antes do término do contrato de tranalho.
</t>
        </r>
        <r>
          <rPr>
            <b/>
            <sz val="10"/>
            <color indexed="81"/>
            <rFont val="Segoe UI"/>
            <family val="2"/>
          </rPr>
          <t>Cálculo: (1/12) x 5% = 0,4167%,</t>
        </r>
        <r>
          <rPr>
            <sz val="10"/>
            <color indexed="81"/>
            <rFont val="Segoe UI"/>
            <family val="2"/>
          </rPr>
          <t xml:space="preserve"> ao mês aplicado sobre a remuneração.
Sendo:
1= O aviso prévio integral da remuneração, com desligamento imediato do empregado;
12= rateio da remuneração em 12 meses;
5% cumprem aviso prévio (variável)= dado estatítico. O valor pode variar conforme cada empresa.</t>
        </r>
      </text>
    </comment>
    <comment ref="G117" authorId="0" shapeId="0">
      <text>
        <r>
          <rPr>
            <b/>
            <sz val="10"/>
            <color indexed="81"/>
            <rFont val="Segoe UI"/>
            <family val="2"/>
          </rPr>
          <t xml:space="preserve">Multa do FGTS sobre Aviso Prévio Indenizado
</t>
        </r>
        <r>
          <rPr>
            <sz val="10"/>
            <color indexed="81"/>
            <rFont val="Segoe UI"/>
            <family val="2"/>
          </rPr>
          <t xml:space="preserve">Com a entrada em vigor da Lei nº 13.932, de 11 de dezembro de 2019, a partir de 1º de janeiro de 2020, fica extinto os 10% de contribuição social sobre o FGTS, o valor mensal a ser provisionado, passa a ser apenas de 40% sobre o valor mensal do FGTS, portanto, o percentual fica em 4%.
A SOMA da multa do </t>
        </r>
        <r>
          <rPr>
            <b/>
            <sz val="10"/>
            <color indexed="81"/>
            <rFont val="Segoe UI"/>
            <family val="2"/>
          </rPr>
          <t>APT + API = 2% + 2% = 4%</t>
        </r>
      </text>
    </comment>
    <comment ref="G118" authorId="0" shapeId="0">
      <text>
        <r>
          <rPr>
            <b/>
            <sz val="10"/>
            <color indexed="81"/>
            <rFont val="Segoe UI"/>
            <family val="2"/>
          </rPr>
          <t xml:space="preserve">Aviso Prévio Trabalhado
Cálculo:
</t>
        </r>
        <r>
          <rPr>
            <sz val="10"/>
            <color indexed="81"/>
            <rFont val="Segoe UI"/>
            <family val="2"/>
          </rPr>
          <t xml:space="preserve">1° ano de contrato (cheio): (((7/30)/12)*100 = 1,944% ao mês
7 dias em 30 rateado em 12 meses multiplicado pela estatística cheia, nesse caso, 100%.
Na Prorrogação será readequado.
Acórdão TCU 1586/2018 - Plenário:
Nas licitações para contratação de mão de obra terceirizada, a Administração deve estabelecer na minuta do contrato que a parcela mensal a título de </t>
        </r>
        <r>
          <rPr>
            <b/>
            <sz val="10"/>
            <color indexed="81"/>
            <rFont val="Segoe UI"/>
            <family val="2"/>
          </rPr>
          <t>aviso prévio trabalhado será no percentual máximo de 1,94% no primeiro ano e, em caso de prorrogação do contrato, o percentual máximo dessa parcela será de 0,194%</t>
        </r>
        <r>
          <rPr>
            <sz val="10"/>
            <color indexed="81"/>
            <rFont val="Segoe UI"/>
            <family val="2"/>
          </rPr>
          <t xml:space="preserve"> a cada ano de prorrogação, a ser incluído por ocasião da formulação do aditivo da prorrogação do contrato, conforme a Lei 12.506/2011.</t>
        </r>
      </text>
    </comment>
    <comment ref="G120" authorId="0" shapeId="0">
      <text>
        <r>
          <rPr>
            <b/>
            <sz val="10"/>
            <color indexed="81"/>
            <rFont val="Segoe UI"/>
            <family val="2"/>
          </rPr>
          <t xml:space="preserve">Multa do FGTS sobre Aviso Prévio Indenizado
</t>
        </r>
        <r>
          <rPr>
            <sz val="10"/>
            <color indexed="81"/>
            <rFont val="Segoe UI"/>
            <family val="2"/>
          </rPr>
          <t xml:space="preserve">
Com a entrada em vigor da Lei nº 13.932, de 11 de dezembro de 2019, a partir de 1º de janeiro de 2020, fica extinto os 10% de contribuição social sobre o FGTS, o valor mensal a ser provisionado, passa a ser apenas de 40% sobre o valor mensal do FGTS, portanto, o percentual fica em 4%.
A SOMA da multa do</t>
        </r>
        <r>
          <rPr>
            <b/>
            <sz val="10"/>
            <color indexed="81"/>
            <rFont val="Segoe UI"/>
            <family val="2"/>
          </rPr>
          <t xml:space="preserve"> APT + API = 2% + 2% = 4%</t>
        </r>
      </text>
    </comment>
    <comment ref="G136" authorId="0" shapeId="0">
      <text>
        <r>
          <rPr>
            <b/>
            <sz val="10"/>
            <color indexed="81"/>
            <rFont val="Segoe UI"/>
            <family val="2"/>
          </rPr>
          <t xml:space="preserve">Férias Substituto
</t>
        </r>
        <r>
          <rPr>
            <sz val="10"/>
            <color indexed="81"/>
            <rFont val="Segoe UI"/>
            <family val="2"/>
          </rPr>
          <t xml:space="preserve">(1+1/3)/12)/12 = 0,926%
1= remuneração
1/3= terço constitucional sobre o valor das férias
12 = rateio do provisionamento para 12 meses
/12 = corresponde a 1/12 de férias, pois, a contratada necessitou disponibilizar POR 1 MÊS um de seus empregados/folguitas para cobrir o titular, que está usufruindo de férias.
</t>
        </r>
      </text>
    </comment>
    <comment ref="G137" authorId="0" shapeId="0">
      <text>
        <r>
          <rPr>
            <b/>
            <sz val="10"/>
            <color indexed="81"/>
            <rFont val="Segoe UI"/>
            <family val="2"/>
          </rPr>
          <t xml:space="preserve">Ausências Legais
</t>
        </r>
        <r>
          <rPr>
            <sz val="10"/>
            <color indexed="81"/>
            <rFont val="Segoe UI"/>
            <family val="2"/>
          </rPr>
          <t xml:space="preserve">
Ausências previstas na legislação vigente que é composta por um conjunto de casos em que o funcionário pode se ausentar sem perda da remuneração.
Consideramos, aleatoriamente, que durnate a vigência do nosso contrato, ocorrerão </t>
        </r>
        <r>
          <rPr>
            <b/>
            <sz val="10"/>
            <color indexed="81"/>
            <rFont val="Segoe UI"/>
            <family val="2"/>
          </rPr>
          <t>7 faltas justificadas por ano</t>
        </r>
        <r>
          <rPr>
            <sz val="10"/>
            <color indexed="81"/>
            <rFont val="Segoe UI"/>
            <family val="2"/>
          </rPr>
          <t>. Faz-se o cálculo do custo mensal desta despesa da seguinte maneira:
((7/30/12) x 100 = 1,94%
Sendo:
7 = Índice de ocorrência - Dados estatiticos. (variavel conforme realidade da empresa).
30 = Impacto sobre o mês
12 = Impacto diluído ao longo de 12 meses.</t>
        </r>
      </text>
    </comment>
    <comment ref="G138" authorId="0" shapeId="0">
      <text>
        <r>
          <rPr>
            <b/>
            <sz val="10"/>
            <color indexed="81"/>
            <rFont val="Segoe UI"/>
            <family val="2"/>
          </rPr>
          <t xml:space="preserve">Ausência por Acidente de Trabalho
</t>
        </r>
        <r>
          <rPr>
            <sz val="10"/>
            <color indexed="81"/>
            <rFont val="Segoe UI"/>
            <family val="2"/>
          </rPr>
          <t>((15/30/12) x 0,08 x 100 = 0,33%
Sendo:
15 dias de ausência cobertos pelo empregador, após 15 dias, INSS;
30 = impacto sobre o mês;
/12 = impacto diluído ao longo de 12 meses;
0,08 (8%) - Índice de ocorrência/ Estatística. (variavel conforme realidade da empresa).</t>
        </r>
      </text>
    </comment>
    <comment ref="G139" authorId="0" shapeId="0">
      <text>
        <r>
          <rPr>
            <b/>
            <sz val="10"/>
            <color indexed="81"/>
            <rFont val="Segoe UI"/>
            <family val="2"/>
          </rPr>
          <t xml:space="preserve">Licença Paternidade:
</t>
        </r>
        <r>
          <rPr>
            <sz val="10"/>
            <color indexed="81"/>
            <rFont val="Segoe UI"/>
            <family val="2"/>
          </rPr>
          <t xml:space="preserve">
Segundo a C.F., refere-se à ausência de </t>
        </r>
        <r>
          <rPr>
            <b/>
            <sz val="10"/>
            <color indexed="81"/>
            <rFont val="Segoe UI"/>
            <family val="2"/>
          </rPr>
          <t>5 (cinco) dias corridos</t>
        </r>
        <r>
          <rPr>
            <sz val="10"/>
            <color indexed="81"/>
            <rFont val="Segoe UI"/>
            <family val="2"/>
          </rPr>
          <t xml:space="preserve"> iniciados no dia do nascimento do filho.
De acordo com o Acórdão TCU 1904/07-Plenário, com base e, estudo do IBGE, a média de trabalhadores que são pais durante o ano é de </t>
        </r>
        <r>
          <rPr>
            <b/>
            <sz val="10"/>
            <color indexed="81"/>
            <rFont val="Segoe UI"/>
            <family val="2"/>
          </rPr>
          <t>1,5%</t>
        </r>
        <r>
          <rPr>
            <sz val="10"/>
            <color indexed="81"/>
            <rFont val="Segoe UI"/>
            <family val="2"/>
          </rPr>
          <t>.
Faz-se o cálculo do custo mensal dessa despesa da seguinte maneira:
((5/30/12) x 0,015 = 0,0280%
Sendo:
5 dias de ausência;
30 = Impacto sobre o mês;
12 = Impacto diluido ao longo de 12 meses;
0,015 ou 1,5% = Índice de ocorrência/estimativa. (variavel conforme realidade da empresa).</t>
        </r>
      </text>
    </comment>
    <comment ref="G140" authorId="0" shapeId="0">
      <text>
        <r>
          <rPr>
            <b/>
            <sz val="10"/>
            <color indexed="81"/>
            <rFont val="Segoe UI"/>
            <family val="2"/>
          </rPr>
          <t xml:space="preserve">Afastamento Maternidade
</t>
        </r>
        <r>
          <rPr>
            <sz val="10"/>
            <color indexed="81"/>
            <rFont val="Segoe UI"/>
            <family val="2"/>
          </rPr>
          <t>[(4/12)/12 x 0,02 x 100]=
4/12 = 4 meses martenidade por ano (120 dias);
12 = meses do ano;
/12 = impacto diluído ao longo de 12 meses;
0,02 ou 2% = Índice de ocorrência/ Estatística. (variavel conforme realidade da empresa);
100 = porcentagem.</t>
        </r>
      </text>
    </comment>
    <comment ref="G141" authorId="0" shapeId="0">
      <text>
        <r>
          <rPr>
            <b/>
            <sz val="10"/>
            <color indexed="81"/>
            <rFont val="Segoe UI"/>
            <family val="2"/>
          </rPr>
          <t xml:space="preserve">Auxílio Doença:
</t>
        </r>
        <r>
          <rPr>
            <sz val="10"/>
            <color indexed="81"/>
            <rFont val="Segoe UI"/>
            <family val="2"/>
          </rPr>
          <t xml:space="preserve">
((5/30/12) x 100 = 1,39%
5 = Índice de ocorrência - Dados estatiticos. (variavel conforme realidade da empresa).
30 = Impacto sobre o mês
12 = Impacto diluído ao longo de 12 meses.</t>
        </r>
      </text>
    </comment>
    <comment ref="G185" authorId="0" shapeId="0">
      <text>
        <r>
          <rPr>
            <b/>
            <sz val="10"/>
            <color indexed="81"/>
            <rFont val="Segoe UI"/>
            <family val="2"/>
          </rPr>
          <t>Custos Indiretos:</t>
        </r>
        <r>
          <rPr>
            <sz val="10"/>
            <color indexed="81"/>
            <rFont val="Segoe UI"/>
            <family val="2"/>
          </rPr>
          <t xml:space="preserve">
Variável conforme realidade da empresa</t>
        </r>
      </text>
    </comment>
    <comment ref="G186" authorId="0" shapeId="0">
      <text>
        <r>
          <rPr>
            <b/>
            <sz val="10"/>
            <color indexed="81"/>
            <rFont val="Segoe UI"/>
            <family val="2"/>
          </rPr>
          <t xml:space="preserve">Lucro:
</t>
        </r>
        <r>
          <rPr>
            <sz val="10"/>
            <color indexed="81"/>
            <rFont val="Segoe UI"/>
            <family val="2"/>
          </rPr>
          <t xml:space="preserve">Variável conforme realidade da empresa.
</t>
        </r>
      </text>
    </comment>
  </commentList>
</comments>
</file>

<file path=xl/comments3.xml><?xml version="1.0" encoding="utf-8"?>
<comments xmlns="http://schemas.openxmlformats.org/spreadsheetml/2006/main">
  <authors>
    <author>Carlos Magno Wonghan da Silva</author>
  </authors>
  <commentList>
    <comment ref="G114" authorId="0" shapeId="0">
      <text>
        <r>
          <rPr>
            <b/>
            <sz val="10"/>
            <color indexed="81"/>
            <rFont val="Segoe UI"/>
            <family val="2"/>
          </rPr>
          <t xml:space="preserve">Aviso Prévio Indenizado (API)
</t>
        </r>
        <r>
          <rPr>
            <sz val="10"/>
            <color indexed="81"/>
            <rFont val="Segoe UI"/>
            <family val="2"/>
          </rPr>
          <t xml:space="preserve">
Trata-se de valor devido ao empregado no caso de o empregador rescindir o contrato sem justo motivo e sem conceder aviso prévio, conforme disposto no §1° do art. 487 da CLT.
Devido à imprevisibilidade, esse é um montante que a empresa deverá provisionar. O provisionamento estimativo é feito, em geral, com base em índice de rotatividade anual.
De acordo com o levantamento efetuado em diversos contratos, cerca de 5% do pessoal é demitido pelo empregador, antes do término do contrato de tranalho.
</t>
        </r>
        <r>
          <rPr>
            <b/>
            <sz val="10"/>
            <color indexed="81"/>
            <rFont val="Segoe UI"/>
            <family val="2"/>
          </rPr>
          <t>Cálculo: (1/12) x 5% = 0,4167%,</t>
        </r>
        <r>
          <rPr>
            <sz val="10"/>
            <color indexed="81"/>
            <rFont val="Segoe UI"/>
            <family val="2"/>
          </rPr>
          <t xml:space="preserve"> ao mês aplicado sobre a remuneração.
Sendo:
1= O aviso prévio integral da remuneração, com desligamento imediato do empregado;
12= rateio da remuneração em 12 meses;
5% cumprem aviso prévio (variável)= dado estatítico. O valor pode variar conforme cada empresa.</t>
        </r>
      </text>
    </comment>
    <comment ref="G116" authorId="0" shapeId="0">
      <text>
        <r>
          <rPr>
            <b/>
            <sz val="10"/>
            <color indexed="81"/>
            <rFont val="Segoe UI"/>
            <family val="2"/>
          </rPr>
          <t xml:space="preserve">Multa do FGTS sobre Aviso Prévio Indenizado
</t>
        </r>
        <r>
          <rPr>
            <sz val="10"/>
            <color indexed="81"/>
            <rFont val="Segoe UI"/>
            <family val="2"/>
          </rPr>
          <t xml:space="preserve">Com a entrada em vigor da Lei nº 13.932, de 11 de dezembro de 2019, a partir de 1º de janeiro de 2020, fica extinto os 10% de contribuição social sobre o FGTS, o valor mensal a ser provisionado, passa a ser apenas de 40% sobre o valor mensal do FGTS, portanto, o percentual fica em 4%.
A SOMA da multa do </t>
        </r>
        <r>
          <rPr>
            <b/>
            <sz val="10"/>
            <color indexed="81"/>
            <rFont val="Segoe UI"/>
            <family val="2"/>
          </rPr>
          <t>APT + API = 2% + 2% = 4%</t>
        </r>
      </text>
    </comment>
    <comment ref="G117" authorId="0" shapeId="0">
      <text>
        <r>
          <rPr>
            <b/>
            <sz val="10"/>
            <color indexed="81"/>
            <rFont val="Segoe UI"/>
            <family val="2"/>
          </rPr>
          <t xml:space="preserve">Aviso Prévio Trabalhado
Cálculo:
</t>
        </r>
        <r>
          <rPr>
            <sz val="10"/>
            <color indexed="81"/>
            <rFont val="Segoe UI"/>
            <family val="2"/>
          </rPr>
          <t xml:space="preserve">1° ano de contrato (cheio): (((7/30)/12)*100 = 1,944% ao mês
7 dias em 30 rateado em 12 meses multiplicado pela estatística cheia, nesse caso, 100%.
Na Prorrogação será readequado.
Acórdão TCU 1586/2018 - Plenário:
Nas licitações para contratação de mão de obra terceirizada, a Administração deve estabelecer na minuta do contrato que a parcela mensal a título de </t>
        </r>
        <r>
          <rPr>
            <b/>
            <sz val="10"/>
            <color indexed="81"/>
            <rFont val="Segoe UI"/>
            <family val="2"/>
          </rPr>
          <t>aviso prévio trabalhado será no percentual máximo de 1,94% no primeiro ano e, em caso de prorrogação do contrato, o percentual máximo dessa parcela será de 0,194%</t>
        </r>
        <r>
          <rPr>
            <sz val="10"/>
            <color indexed="81"/>
            <rFont val="Segoe UI"/>
            <family val="2"/>
          </rPr>
          <t xml:space="preserve"> a cada ano de prorrogação, a ser incluído por ocasião da formulação do aditivo da prorrogação do contrato, conforme a Lei 12.506/2011.</t>
        </r>
      </text>
    </comment>
    <comment ref="G119" authorId="0" shapeId="0">
      <text>
        <r>
          <rPr>
            <b/>
            <sz val="10"/>
            <color indexed="81"/>
            <rFont val="Segoe UI"/>
            <family val="2"/>
          </rPr>
          <t xml:space="preserve">Multa do FGTS sobre Aviso Prévio Indenizado
</t>
        </r>
        <r>
          <rPr>
            <sz val="10"/>
            <color indexed="81"/>
            <rFont val="Segoe UI"/>
            <family val="2"/>
          </rPr>
          <t xml:space="preserve">
Com a entrada em vigor da Lei nº 13.932, de 11 de dezembro de 2019, a partir de 1º de janeiro de 2020, fica extinto os 10% de contribuição social sobre o FGTS, o valor mensal a ser provisionado, passa a ser apenas de 40% sobre o valor mensal do FGTS, portanto, o percentual fica em 4%.
A SOMA da multa do</t>
        </r>
        <r>
          <rPr>
            <b/>
            <sz val="10"/>
            <color indexed="81"/>
            <rFont val="Segoe UI"/>
            <family val="2"/>
          </rPr>
          <t xml:space="preserve"> APT + API = 2% + 2% = 4%</t>
        </r>
      </text>
    </comment>
    <comment ref="G135" authorId="0" shapeId="0">
      <text>
        <r>
          <rPr>
            <b/>
            <sz val="10"/>
            <color indexed="81"/>
            <rFont val="Segoe UI"/>
            <family val="2"/>
          </rPr>
          <t xml:space="preserve">Férias Substituto
</t>
        </r>
        <r>
          <rPr>
            <sz val="10"/>
            <color indexed="81"/>
            <rFont val="Segoe UI"/>
            <family val="2"/>
          </rPr>
          <t xml:space="preserve">(1+1/3)/12)/12 = 0,926%
1= remuneração
1/3= terço constitucional sobre o valor das férias
12 = rateio do provisionamento para 12 meses
/12 = corresponde a 1/12 de férias, pois, a contratada necessitou disponibilizar POR 1 MÊS um de seus empregados/folguitas para cobrir o titular, que está usufruindo de férias.
</t>
        </r>
      </text>
    </comment>
    <comment ref="G136" authorId="0" shapeId="0">
      <text>
        <r>
          <rPr>
            <b/>
            <sz val="10"/>
            <color indexed="81"/>
            <rFont val="Segoe UI"/>
            <family val="2"/>
          </rPr>
          <t xml:space="preserve">Ausências Legais
</t>
        </r>
        <r>
          <rPr>
            <sz val="10"/>
            <color indexed="81"/>
            <rFont val="Segoe UI"/>
            <family val="2"/>
          </rPr>
          <t xml:space="preserve">
Ausências previstas na legislação vigente que é composta por um conjunto de casos em que o funcionário pode se ausentar sem perda da remuneração.
Consideramos, aleatoriamente, que durnate a vigência do nosso contrato, ocorrerão </t>
        </r>
        <r>
          <rPr>
            <b/>
            <sz val="10"/>
            <color indexed="81"/>
            <rFont val="Segoe UI"/>
            <family val="2"/>
          </rPr>
          <t>7 faltas justificadas por ano</t>
        </r>
        <r>
          <rPr>
            <sz val="10"/>
            <color indexed="81"/>
            <rFont val="Segoe UI"/>
            <family val="2"/>
          </rPr>
          <t>. Faz-se o cálculo do custo mensal desta despesa da seguinte maneira:
((7/30/12) x 100 = 1,94%
Sendo:
7 = Índice de ocorrência - Dados estatiticos. (variavel conforme realidade da empresa).
30 = Impacto sobre o mês
12 = Impacto diluído ao longo de 12 meses.</t>
        </r>
      </text>
    </comment>
    <comment ref="G137" authorId="0" shapeId="0">
      <text>
        <r>
          <rPr>
            <b/>
            <sz val="10"/>
            <color indexed="81"/>
            <rFont val="Segoe UI"/>
            <family val="2"/>
          </rPr>
          <t xml:space="preserve">Ausência por Acidente de Trabalho
</t>
        </r>
        <r>
          <rPr>
            <sz val="10"/>
            <color indexed="81"/>
            <rFont val="Segoe UI"/>
            <family val="2"/>
          </rPr>
          <t>((15/30/12) x 0,08 x 100 = 0,33%
Sendo:
15 dias de ausência cobertos pelo empregador, após 15 dias, INSS;
30 = impacto sobre o mês;
/12 = impacto diluído ao longo de 12 meses;
0,08 (8%) - Índice de ocorrência/ Estatística. (variavel conforme realidade da empresa).</t>
        </r>
      </text>
    </comment>
    <comment ref="G138" authorId="0" shapeId="0">
      <text>
        <r>
          <rPr>
            <b/>
            <sz val="10"/>
            <color indexed="81"/>
            <rFont val="Segoe UI"/>
            <family val="2"/>
          </rPr>
          <t xml:space="preserve">Licença Paternidade:
</t>
        </r>
        <r>
          <rPr>
            <sz val="10"/>
            <color indexed="81"/>
            <rFont val="Segoe UI"/>
            <family val="2"/>
          </rPr>
          <t xml:space="preserve">
Segundo a C.F., refere-se à ausência de </t>
        </r>
        <r>
          <rPr>
            <b/>
            <sz val="10"/>
            <color indexed="81"/>
            <rFont val="Segoe UI"/>
            <family val="2"/>
          </rPr>
          <t>5 (cinco) dias corridos</t>
        </r>
        <r>
          <rPr>
            <sz val="10"/>
            <color indexed="81"/>
            <rFont val="Segoe UI"/>
            <family val="2"/>
          </rPr>
          <t xml:space="preserve"> iniciados no dia do nascimento do filho.
De acordo com o Acórdão TCU 1904/07-Plenário, com base e, estudo do IBGE, a média de trabalhadores que são pais durante o ano é de </t>
        </r>
        <r>
          <rPr>
            <b/>
            <sz val="10"/>
            <color indexed="81"/>
            <rFont val="Segoe UI"/>
            <family val="2"/>
          </rPr>
          <t>1,5%</t>
        </r>
        <r>
          <rPr>
            <sz val="10"/>
            <color indexed="81"/>
            <rFont val="Segoe UI"/>
            <family val="2"/>
          </rPr>
          <t>.
Faz-se o cálculo do custo mensal dessa despesa da seguinte maneira:
((5/30/12) x 0,015 = 0,0280%
Sendo:
5 dias de ausência;
30 = Impacto sobre o mês;
12 = Impacto diluido ao longo de 12 meses;
0,015 ou 1,5% = Índice de ocorrência/estimativa. (variavel conforme realidade da empresa).</t>
        </r>
      </text>
    </comment>
    <comment ref="G139" authorId="0" shapeId="0">
      <text>
        <r>
          <rPr>
            <b/>
            <sz val="10"/>
            <color indexed="81"/>
            <rFont val="Segoe UI"/>
            <family val="2"/>
          </rPr>
          <t xml:space="preserve">Afastamento Maternidade
</t>
        </r>
        <r>
          <rPr>
            <sz val="10"/>
            <color indexed="81"/>
            <rFont val="Segoe UI"/>
            <family val="2"/>
          </rPr>
          <t>[(4/12)/12 x 0,02 x 100]=
4/12 = 4 meses martenidade por ano (120 dias);
12 = meses do ano;
/12 = impacto diluído ao longo de 12 meses;
0,02 ou 2% = Índice de ocorrência/ Estatística. (variavel conforme realidade da empresa);
100 = porcentagem.</t>
        </r>
      </text>
    </comment>
    <comment ref="G140" authorId="0" shapeId="0">
      <text>
        <r>
          <rPr>
            <b/>
            <sz val="10"/>
            <color indexed="81"/>
            <rFont val="Segoe UI"/>
            <family val="2"/>
          </rPr>
          <t xml:space="preserve">Auxílio Doença:
</t>
        </r>
        <r>
          <rPr>
            <sz val="10"/>
            <color indexed="81"/>
            <rFont val="Segoe UI"/>
            <family val="2"/>
          </rPr>
          <t xml:space="preserve">
((5/30/12) x 100 = 1,39%
5 = Índice de ocorrência - Dados estatiticos. (variavel conforme realidade da empresa).
30 = Impacto sobre o mês
12 = Impacto diluído ao longo de 12 meses.</t>
        </r>
      </text>
    </comment>
    <comment ref="G184" authorId="0" shapeId="0">
      <text>
        <r>
          <rPr>
            <b/>
            <sz val="10"/>
            <color indexed="81"/>
            <rFont val="Segoe UI"/>
            <family val="2"/>
          </rPr>
          <t>Custos Indiretos:</t>
        </r>
        <r>
          <rPr>
            <sz val="10"/>
            <color indexed="81"/>
            <rFont val="Segoe UI"/>
            <family val="2"/>
          </rPr>
          <t xml:space="preserve">
Variável conforme realidade da empresa</t>
        </r>
      </text>
    </comment>
    <comment ref="G185" authorId="0" shapeId="0">
      <text>
        <r>
          <rPr>
            <b/>
            <sz val="10"/>
            <color indexed="81"/>
            <rFont val="Segoe UI"/>
            <family val="2"/>
          </rPr>
          <t xml:space="preserve">Lucro:
</t>
        </r>
        <r>
          <rPr>
            <sz val="10"/>
            <color indexed="81"/>
            <rFont val="Segoe UI"/>
            <family val="2"/>
          </rPr>
          <t xml:space="preserve">Variável conforme realidade da empresa.
</t>
        </r>
      </text>
    </comment>
  </commentList>
</comments>
</file>

<file path=xl/comments4.xml><?xml version="1.0" encoding="utf-8"?>
<comments xmlns="http://schemas.openxmlformats.org/spreadsheetml/2006/main">
  <authors>
    <author>Carlos Magno Wonghan da Silva</author>
  </authors>
  <commentList>
    <comment ref="G114" authorId="0" shapeId="0">
      <text>
        <r>
          <rPr>
            <b/>
            <sz val="10"/>
            <color indexed="81"/>
            <rFont val="Segoe UI"/>
            <family val="2"/>
          </rPr>
          <t xml:space="preserve">Aviso Prévio Indenizado (API)
</t>
        </r>
        <r>
          <rPr>
            <sz val="10"/>
            <color indexed="81"/>
            <rFont val="Segoe UI"/>
            <family val="2"/>
          </rPr>
          <t xml:space="preserve">
Trata-se de valor devido ao empregado no caso de o empregador rescindir o contrato sem justo motivo e sem conceder aviso prévio, conforme disposto no §1° do art. 487 da CLT.
Devido à imprevisibilidade, esse é um montante que a empresa deverá provisionar. O provisionamento estimativo é feito, em geral, com base em índice de rotatividade anual.
De acordo com o levantamento efetuado em diversos contratos, cerca de 5% do pessoal é demitido pelo empregador, antes do término do contrato de tranalho.
</t>
        </r>
        <r>
          <rPr>
            <b/>
            <sz val="10"/>
            <color indexed="81"/>
            <rFont val="Segoe UI"/>
            <family val="2"/>
          </rPr>
          <t>Cálculo: (1/12) x 5% = 0,4167%,</t>
        </r>
        <r>
          <rPr>
            <sz val="10"/>
            <color indexed="81"/>
            <rFont val="Segoe UI"/>
            <family val="2"/>
          </rPr>
          <t xml:space="preserve"> ao mês aplicado sobre a remuneração.
Sendo:
1= O aviso prévio integral da remuneração, com desligamento imediato do empregado;
12= rateio da remuneração em 12 meses;
5% cumprem aviso prévio (variável)= dado estatítico. O valor pode variar conforme cada empresa.</t>
        </r>
      </text>
    </comment>
    <comment ref="G116" authorId="0" shapeId="0">
      <text>
        <r>
          <rPr>
            <b/>
            <sz val="10"/>
            <color indexed="81"/>
            <rFont val="Segoe UI"/>
            <family val="2"/>
          </rPr>
          <t xml:space="preserve">Multa do FGTS sobre Aviso Prévio Indenizado
</t>
        </r>
        <r>
          <rPr>
            <sz val="10"/>
            <color indexed="81"/>
            <rFont val="Segoe UI"/>
            <family val="2"/>
          </rPr>
          <t xml:space="preserve">Com a entrada em vigor da Lei nº 13.932, de 11 de dezembro de 2019, a partir de 1º de janeiro de 2020, fica extinto os 10% de contribuição social sobre o FGTS, o valor mensal a ser provisionado, passa a ser apenas de 40% sobre o valor mensal do FGTS, portanto, o percentual fica em 4%.
A SOMA da multa do </t>
        </r>
        <r>
          <rPr>
            <b/>
            <sz val="10"/>
            <color indexed="81"/>
            <rFont val="Segoe UI"/>
            <family val="2"/>
          </rPr>
          <t>APT + API = 2% + 2% = 4%</t>
        </r>
      </text>
    </comment>
    <comment ref="G117" authorId="0" shapeId="0">
      <text>
        <r>
          <rPr>
            <b/>
            <sz val="10"/>
            <color indexed="81"/>
            <rFont val="Segoe UI"/>
            <family val="2"/>
          </rPr>
          <t xml:space="preserve">Aviso Prévio Trabalhado
Cálculo:
</t>
        </r>
        <r>
          <rPr>
            <sz val="10"/>
            <color indexed="81"/>
            <rFont val="Segoe UI"/>
            <family val="2"/>
          </rPr>
          <t xml:space="preserve">1° ano de contrato (cheio): (((7/30)/12)*100 = 1,944% ao mês
7 dias em 30 rateado em 12 meses multiplicado pela estatística cheia, nesse caso, 100%.
Na Prorrogação será readequado.
Acórdão TCU 1586/2018 - Plenário:
Nas licitações para contratação de mão de obra terceirizada, a Administração deve estabelecer na minuta do contrato que a parcela mensal a título de </t>
        </r>
        <r>
          <rPr>
            <b/>
            <sz val="10"/>
            <color indexed="81"/>
            <rFont val="Segoe UI"/>
            <family val="2"/>
          </rPr>
          <t>aviso prévio trabalhado será no percentual máximo de 1,94% no primeiro ano e, em caso de prorrogação do contrato, o percentual máximo dessa parcela será de 0,194%</t>
        </r>
        <r>
          <rPr>
            <sz val="10"/>
            <color indexed="81"/>
            <rFont val="Segoe UI"/>
            <family val="2"/>
          </rPr>
          <t xml:space="preserve"> a cada ano de prorrogação, a ser incluído por ocasião da formulação do aditivo da prorrogação do contrato, conforme a Lei 12.506/2011.</t>
        </r>
      </text>
    </comment>
    <comment ref="G119" authorId="0" shapeId="0">
      <text>
        <r>
          <rPr>
            <b/>
            <sz val="10"/>
            <color indexed="81"/>
            <rFont val="Segoe UI"/>
            <family val="2"/>
          </rPr>
          <t xml:space="preserve">Multa do FGTS sobre Aviso Prévio Indenizado
</t>
        </r>
        <r>
          <rPr>
            <sz val="10"/>
            <color indexed="81"/>
            <rFont val="Segoe UI"/>
            <family val="2"/>
          </rPr>
          <t xml:space="preserve">
Com a entrada em vigor da Lei nº 13.932, de 11 de dezembro de 2019, a partir de 1º de janeiro de 2020, fica extinto os 10% de contribuição social sobre o FGTS, o valor mensal a ser provisionado, passa a ser apenas de 40% sobre o valor mensal do FGTS, portanto, o percentual fica em 4%.
A SOMA da multa do</t>
        </r>
        <r>
          <rPr>
            <b/>
            <sz val="10"/>
            <color indexed="81"/>
            <rFont val="Segoe UI"/>
            <family val="2"/>
          </rPr>
          <t xml:space="preserve"> APT + API = 2% + 2% = 4%</t>
        </r>
      </text>
    </comment>
    <comment ref="G135" authorId="0" shapeId="0">
      <text>
        <r>
          <rPr>
            <b/>
            <sz val="10"/>
            <color indexed="81"/>
            <rFont val="Segoe UI"/>
            <family val="2"/>
          </rPr>
          <t xml:space="preserve">Férias Substituto
</t>
        </r>
        <r>
          <rPr>
            <sz val="10"/>
            <color indexed="81"/>
            <rFont val="Segoe UI"/>
            <family val="2"/>
          </rPr>
          <t xml:space="preserve">(1+1/3)/12)/12 = 0,926%
1= remuneração
1/3= terço constitucional sobre o valor das férias
12 = rateio do provisionamento para 12 meses
/12 = corresponde a 1/12 de férias, pois, a contratada necessitou disponibilizar POR 1 MÊS um de seus empregados/folguitas para cobrir o titular, que está usufruindo de férias.
</t>
        </r>
      </text>
    </comment>
    <comment ref="G136" authorId="0" shapeId="0">
      <text>
        <r>
          <rPr>
            <b/>
            <sz val="10"/>
            <color indexed="81"/>
            <rFont val="Segoe UI"/>
            <family val="2"/>
          </rPr>
          <t xml:space="preserve">Ausências Legais
</t>
        </r>
        <r>
          <rPr>
            <sz val="10"/>
            <color indexed="81"/>
            <rFont val="Segoe UI"/>
            <family val="2"/>
          </rPr>
          <t xml:space="preserve">
Ausências previstas na legislação vigente que é composta por um conjunto de casos em que o funcionário pode se ausentar sem perda da remuneração.
Consideramos, aleatoriamente, que durnate a vigência do nosso contrato, ocorrerão </t>
        </r>
        <r>
          <rPr>
            <b/>
            <sz val="10"/>
            <color indexed="81"/>
            <rFont val="Segoe UI"/>
            <family val="2"/>
          </rPr>
          <t>7 faltas justificadas por ano</t>
        </r>
        <r>
          <rPr>
            <sz val="10"/>
            <color indexed="81"/>
            <rFont val="Segoe UI"/>
            <family val="2"/>
          </rPr>
          <t>. Faz-se o cálculo do custo mensal desta despesa da seguinte maneira:
((7/30/12) x 100 = 1,94%
Sendo:
7 = Índice de ocorrência - Dados estatiticos. (variavel conforme realidade da empresa).
30 = Impacto sobre o mês
12 = Impacto diluído ao longo de 12 meses.</t>
        </r>
      </text>
    </comment>
    <comment ref="G137" authorId="0" shapeId="0">
      <text>
        <r>
          <rPr>
            <b/>
            <sz val="10"/>
            <color indexed="81"/>
            <rFont val="Segoe UI"/>
            <family val="2"/>
          </rPr>
          <t xml:space="preserve">Ausência por Acidente de Trabalho
</t>
        </r>
        <r>
          <rPr>
            <sz val="10"/>
            <color indexed="81"/>
            <rFont val="Segoe UI"/>
            <family val="2"/>
          </rPr>
          <t>((15/30/12) x 0,08 x 100 = 0,33%
Sendo:
15 dias de ausência cobertos pelo empregador, após 15 dias, INSS;
30 = impacto sobre o mês;
/12 = impacto diluído ao longo de 12 meses;
0,08 (8%) - Índice de ocorrência/ Estatística. (variavel conforme realidade da empresa).</t>
        </r>
      </text>
    </comment>
    <comment ref="G138" authorId="0" shapeId="0">
      <text>
        <r>
          <rPr>
            <b/>
            <sz val="10"/>
            <color indexed="81"/>
            <rFont val="Segoe UI"/>
            <family val="2"/>
          </rPr>
          <t xml:space="preserve">Licença Paternidade:
</t>
        </r>
        <r>
          <rPr>
            <sz val="10"/>
            <color indexed="81"/>
            <rFont val="Segoe UI"/>
            <family val="2"/>
          </rPr>
          <t xml:space="preserve">
Segundo a C.F., refere-se à ausência de </t>
        </r>
        <r>
          <rPr>
            <b/>
            <sz val="10"/>
            <color indexed="81"/>
            <rFont val="Segoe UI"/>
            <family val="2"/>
          </rPr>
          <t>5 (cinco) dias corridos</t>
        </r>
        <r>
          <rPr>
            <sz val="10"/>
            <color indexed="81"/>
            <rFont val="Segoe UI"/>
            <family val="2"/>
          </rPr>
          <t xml:space="preserve"> iniciados no dia do nascimento do filho.
De acordo com o Acórdão TCU 1904/07-Plenário, com base e, estudo do IBGE, a média de trabalhadores que são pais durante o ano é de </t>
        </r>
        <r>
          <rPr>
            <b/>
            <sz val="10"/>
            <color indexed="81"/>
            <rFont val="Segoe UI"/>
            <family val="2"/>
          </rPr>
          <t>1,5%</t>
        </r>
        <r>
          <rPr>
            <sz val="10"/>
            <color indexed="81"/>
            <rFont val="Segoe UI"/>
            <family val="2"/>
          </rPr>
          <t>.
Faz-se o cálculo do custo mensal dessa despesa da seguinte maneira:
((5/30/12) x 0,015 = 0,0280%
Sendo:
5 dias de ausência;
30 = Impacto sobre o mês;
12 = Impacto diluido ao longo de 12 meses;
0,015 ou 1,5% = Índice de ocorrência/estimativa. (variavel conforme realidade da empresa).</t>
        </r>
      </text>
    </comment>
    <comment ref="G139" authorId="0" shapeId="0">
      <text>
        <r>
          <rPr>
            <b/>
            <sz val="10"/>
            <color indexed="81"/>
            <rFont val="Segoe UI"/>
            <family val="2"/>
          </rPr>
          <t xml:space="preserve">Afastamento Maternidade
</t>
        </r>
        <r>
          <rPr>
            <sz val="10"/>
            <color indexed="81"/>
            <rFont val="Segoe UI"/>
            <family val="2"/>
          </rPr>
          <t>[(4/12)/12 x 0,02 x 100]=
4/12 = 4 meses martenidade por ano (120 dias);
12 = meses do ano;
/12 = impacto diluído ao longo de 12 meses;
0,02 ou 2% = Índice de ocorrência/ Estatística. (variavel conforme realidade da empresa);
100 = porcentagem.</t>
        </r>
      </text>
    </comment>
    <comment ref="G140" authorId="0" shapeId="0">
      <text>
        <r>
          <rPr>
            <b/>
            <sz val="10"/>
            <color indexed="81"/>
            <rFont val="Segoe UI"/>
            <family val="2"/>
          </rPr>
          <t xml:space="preserve">Auxílio Doença:
</t>
        </r>
        <r>
          <rPr>
            <sz val="10"/>
            <color indexed="81"/>
            <rFont val="Segoe UI"/>
            <family val="2"/>
          </rPr>
          <t xml:space="preserve">
((5/30/12) x 100 = 1,39%
5 = Índice de ocorrência - Dados estatiticos. (variavel conforme realidade da empresa).
30 = Impacto sobre o mês
12 = Impacto diluído ao longo de 12 meses.</t>
        </r>
      </text>
    </comment>
    <comment ref="G184" authorId="0" shapeId="0">
      <text>
        <r>
          <rPr>
            <b/>
            <sz val="10"/>
            <color indexed="81"/>
            <rFont val="Segoe UI"/>
            <family val="2"/>
          </rPr>
          <t>Custos Indiretos:</t>
        </r>
        <r>
          <rPr>
            <sz val="10"/>
            <color indexed="81"/>
            <rFont val="Segoe UI"/>
            <family val="2"/>
          </rPr>
          <t xml:space="preserve">
Variável conforme realidade da empresa</t>
        </r>
      </text>
    </comment>
    <comment ref="G185" authorId="0" shapeId="0">
      <text>
        <r>
          <rPr>
            <b/>
            <sz val="10"/>
            <color indexed="81"/>
            <rFont val="Segoe UI"/>
            <family val="2"/>
          </rPr>
          <t xml:space="preserve">Lucro:
</t>
        </r>
        <r>
          <rPr>
            <sz val="10"/>
            <color indexed="81"/>
            <rFont val="Segoe UI"/>
            <family val="2"/>
          </rPr>
          <t xml:space="preserve">Variável conforme realidade da empresa.
</t>
        </r>
      </text>
    </comment>
  </commentList>
</comments>
</file>

<file path=xl/comments5.xml><?xml version="1.0" encoding="utf-8"?>
<comments xmlns="http://schemas.openxmlformats.org/spreadsheetml/2006/main">
  <authors>
    <author>Carlos Magno Wonghan da Silva</author>
  </authors>
  <commentList>
    <comment ref="G114" authorId="0" shapeId="0">
      <text>
        <r>
          <rPr>
            <b/>
            <sz val="10"/>
            <color indexed="81"/>
            <rFont val="Segoe UI"/>
            <family val="2"/>
          </rPr>
          <t xml:space="preserve">Aviso Prévio Indenizado (API)
</t>
        </r>
        <r>
          <rPr>
            <sz val="10"/>
            <color indexed="81"/>
            <rFont val="Segoe UI"/>
            <family val="2"/>
          </rPr>
          <t xml:space="preserve">
Trata-se de valor devido ao empregado no caso de o empregador rescindir o contrato sem justo motivo e sem conceder aviso prévio, conforme disposto no §1° do art. 487 da CLT.
Devido à imprevisibilidade, esse é um montante que a empresa deverá provisionar. O provisionamento estimativo é feito, em geral, com base em índice de rotatividade anual.
De acordo com o levantamento efetuado em diversos contratos, cerca de 5% do pessoal é demitido pelo empregador, antes do término do contrato de tranalho.
</t>
        </r>
        <r>
          <rPr>
            <b/>
            <sz val="10"/>
            <color indexed="81"/>
            <rFont val="Segoe UI"/>
            <family val="2"/>
          </rPr>
          <t>Cálculo: (1/12) x 5% = 0,4167%,</t>
        </r>
        <r>
          <rPr>
            <sz val="10"/>
            <color indexed="81"/>
            <rFont val="Segoe UI"/>
            <family val="2"/>
          </rPr>
          <t xml:space="preserve"> ao mês aplicado sobre a remuneração.
Sendo:
1= O aviso prévio integral da remuneração, com desligamento imediato do empregado;
12= rateio da remuneração em 12 meses;
5% cumprem aviso prévio (variável)= dado estatítico. O valor pode variar conforme cada empresa.</t>
        </r>
      </text>
    </comment>
    <comment ref="G116" authorId="0" shapeId="0">
      <text>
        <r>
          <rPr>
            <b/>
            <sz val="10"/>
            <color indexed="81"/>
            <rFont val="Segoe UI"/>
            <family val="2"/>
          </rPr>
          <t xml:space="preserve">Multa do FGTS sobre Aviso Prévio Indenizado
</t>
        </r>
        <r>
          <rPr>
            <sz val="10"/>
            <color indexed="81"/>
            <rFont val="Segoe UI"/>
            <family val="2"/>
          </rPr>
          <t xml:space="preserve">Com a entrada em vigor da Lei nº 13.932, de 11 de dezembro de 2019, a partir de 1º de janeiro de 2020, fica extinto os 10% de contribuição social sobre o FGTS, o valor mensal a ser provisionado, passa a ser apenas de 40% sobre o valor mensal do FGTS, portanto, o percentual fica em 4%.
A SOMA da multa do </t>
        </r>
        <r>
          <rPr>
            <b/>
            <sz val="10"/>
            <color indexed="81"/>
            <rFont val="Segoe UI"/>
            <family val="2"/>
          </rPr>
          <t>APT + API = 2% + 2% = 4%</t>
        </r>
      </text>
    </comment>
    <comment ref="G117" authorId="0" shapeId="0">
      <text>
        <r>
          <rPr>
            <b/>
            <sz val="10"/>
            <color indexed="81"/>
            <rFont val="Segoe UI"/>
            <family val="2"/>
          </rPr>
          <t xml:space="preserve">Aviso Prévio Trabalhado
Cálculo:
</t>
        </r>
        <r>
          <rPr>
            <sz val="10"/>
            <color indexed="81"/>
            <rFont val="Segoe UI"/>
            <family val="2"/>
          </rPr>
          <t xml:space="preserve">1° ano de contrato (cheio): (((7/30)/12)*100 = 1,944% ao mês
7 dias em 30 rateado em 12 meses multiplicado pela estatística cheia, nesse caso, 100%.
Na Prorrogação será readequado.
Acórdão TCU 1586/2018 - Plenário:
Nas licitações para contratação de mão de obra terceirizada, a Administração deve estabelecer na minuta do contrato que a parcela mensal a título de </t>
        </r>
        <r>
          <rPr>
            <b/>
            <sz val="10"/>
            <color indexed="81"/>
            <rFont val="Segoe UI"/>
            <family val="2"/>
          </rPr>
          <t>aviso prévio trabalhado será no percentual máximo de 1,94% no primeiro ano e, em caso de prorrogação do contrato, o percentual máximo dessa parcela será de 0,194%</t>
        </r>
        <r>
          <rPr>
            <sz val="10"/>
            <color indexed="81"/>
            <rFont val="Segoe UI"/>
            <family val="2"/>
          </rPr>
          <t xml:space="preserve"> a cada ano de prorrogação, a ser incluído por ocasião da formulação do aditivo da prorrogação do contrato, conforme a Lei 12.506/2011.</t>
        </r>
      </text>
    </comment>
    <comment ref="G119" authorId="0" shapeId="0">
      <text>
        <r>
          <rPr>
            <b/>
            <sz val="10"/>
            <color indexed="81"/>
            <rFont val="Segoe UI"/>
            <family val="2"/>
          </rPr>
          <t xml:space="preserve">Multa do FGTS sobre Aviso Prévio Indenizado
</t>
        </r>
        <r>
          <rPr>
            <sz val="10"/>
            <color indexed="81"/>
            <rFont val="Segoe UI"/>
            <family val="2"/>
          </rPr>
          <t xml:space="preserve">
Com a entrada em vigor da Lei nº 13.932, de 11 de dezembro de 2019, a partir de 1º de janeiro de 2020, fica extinto os 10% de contribuição social sobre o FGTS, o valor mensal a ser provisionado, passa a ser apenas de 40% sobre o valor mensal do FGTS, portanto, o percentual fica em 4%.
A SOMA da multa do</t>
        </r>
        <r>
          <rPr>
            <b/>
            <sz val="10"/>
            <color indexed="81"/>
            <rFont val="Segoe UI"/>
            <family val="2"/>
          </rPr>
          <t xml:space="preserve"> APT + API = 2% + 2% = 4%</t>
        </r>
      </text>
    </comment>
    <comment ref="G135" authorId="0" shapeId="0">
      <text>
        <r>
          <rPr>
            <b/>
            <sz val="10"/>
            <color indexed="81"/>
            <rFont val="Segoe UI"/>
            <family val="2"/>
          </rPr>
          <t xml:space="preserve">Férias Substituto
</t>
        </r>
        <r>
          <rPr>
            <sz val="10"/>
            <color indexed="81"/>
            <rFont val="Segoe UI"/>
            <family val="2"/>
          </rPr>
          <t xml:space="preserve">(1+1/3)/12)/12 = 0,926%
1= remuneração
1/3= terço constitucional sobre o valor das férias
12 = rateio do provisionamento para 12 meses
/12 = corresponde a 1/12 de férias, pois, a contratada necessitou disponibilizar POR 1 MÊS um de seus empregados/folguitas para cobrir o titular, que está usufruindo de férias.
</t>
        </r>
      </text>
    </comment>
    <comment ref="G136" authorId="0" shapeId="0">
      <text>
        <r>
          <rPr>
            <b/>
            <sz val="10"/>
            <color indexed="81"/>
            <rFont val="Segoe UI"/>
            <family val="2"/>
          </rPr>
          <t xml:space="preserve">Ausências Legais
</t>
        </r>
        <r>
          <rPr>
            <sz val="10"/>
            <color indexed="81"/>
            <rFont val="Segoe UI"/>
            <family val="2"/>
          </rPr>
          <t xml:space="preserve">
Ausências previstas na legislação vigente que é composta por um conjunto de casos em que o funcionário pode se ausentar sem perda da remuneração.
Consideramos, aleatoriamente, que durnate a vigência do nosso contrato, ocorrerão </t>
        </r>
        <r>
          <rPr>
            <b/>
            <sz val="10"/>
            <color indexed="81"/>
            <rFont val="Segoe UI"/>
            <family val="2"/>
          </rPr>
          <t>7 faltas justificadas por ano</t>
        </r>
        <r>
          <rPr>
            <sz val="10"/>
            <color indexed="81"/>
            <rFont val="Segoe UI"/>
            <family val="2"/>
          </rPr>
          <t>. Faz-se o cálculo do custo mensal desta despesa da seguinte maneira:
((7/30/12) x 100 = 1,94%
Sendo:
7 = Índice de ocorrência - Dados estatiticos. (variavel conforme realidade da empresa).
30 = Impacto sobre o mês
12 = Impacto diluído ao longo de 12 meses.</t>
        </r>
      </text>
    </comment>
    <comment ref="G137" authorId="0" shapeId="0">
      <text>
        <r>
          <rPr>
            <b/>
            <sz val="10"/>
            <color indexed="81"/>
            <rFont val="Segoe UI"/>
            <family val="2"/>
          </rPr>
          <t xml:space="preserve">Ausência por Acidente de Trabalho
</t>
        </r>
        <r>
          <rPr>
            <sz val="10"/>
            <color indexed="81"/>
            <rFont val="Segoe UI"/>
            <family val="2"/>
          </rPr>
          <t>((15/30/12) x 0,08 x 100 = 0,33%
Sendo:
15 dias de ausência cobertos pelo empregador, após 15 dias, INSS;
30 = impacto sobre o mês;
/12 = impacto diluído ao longo de 12 meses;
0,08 (8%) - Índice de ocorrência/ Estatística. (variavel conforme realidade da empresa).</t>
        </r>
      </text>
    </comment>
    <comment ref="G138" authorId="0" shapeId="0">
      <text>
        <r>
          <rPr>
            <b/>
            <sz val="10"/>
            <color indexed="81"/>
            <rFont val="Segoe UI"/>
            <family val="2"/>
          </rPr>
          <t xml:space="preserve">Licença Paternidade:
</t>
        </r>
        <r>
          <rPr>
            <sz val="10"/>
            <color indexed="81"/>
            <rFont val="Segoe UI"/>
            <family val="2"/>
          </rPr>
          <t xml:space="preserve">
Segundo a C.F., refere-se à ausência de </t>
        </r>
        <r>
          <rPr>
            <b/>
            <sz val="10"/>
            <color indexed="81"/>
            <rFont val="Segoe UI"/>
            <family val="2"/>
          </rPr>
          <t>5 (cinco) dias corridos</t>
        </r>
        <r>
          <rPr>
            <sz val="10"/>
            <color indexed="81"/>
            <rFont val="Segoe UI"/>
            <family val="2"/>
          </rPr>
          <t xml:space="preserve"> iniciados no dia do nascimento do filho.
De acordo com o Acórdão TCU 1904/07-Plenário, com base e, estudo do IBGE, a média de trabalhadores que são pais durante o ano é de </t>
        </r>
        <r>
          <rPr>
            <b/>
            <sz val="10"/>
            <color indexed="81"/>
            <rFont val="Segoe UI"/>
            <family val="2"/>
          </rPr>
          <t>1,5%</t>
        </r>
        <r>
          <rPr>
            <sz val="10"/>
            <color indexed="81"/>
            <rFont val="Segoe UI"/>
            <family val="2"/>
          </rPr>
          <t>.
Faz-se o cálculo do custo mensal dessa despesa da seguinte maneira:
((5/30/12) x 0,015 = 0,0280%
Sendo:
5 dias de ausência;
30 = Impacto sobre o mês;
12 = Impacto diluido ao longo de 12 meses;
0,015 ou 1,5% = Índice de ocorrência/estimativa. (variavel conforme realidade da empresa).</t>
        </r>
      </text>
    </comment>
    <comment ref="G139" authorId="0" shapeId="0">
      <text>
        <r>
          <rPr>
            <b/>
            <sz val="10"/>
            <color indexed="81"/>
            <rFont val="Segoe UI"/>
            <family val="2"/>
          </rPr>
          <t xml:space="preserve">Afastamento Maternidade
</t>
        </r>
        <r>
          <rPr>
            <sz val="10"/>
            <color indexed="81"/>
            <rFont val="Segoe UI"/>
            <family val="2"/>
          </rPr>
          <t>[(4/12)/12 x 0,02 x 100]=
4/12 = 4 meses martenidade por ano (120 dias);
12 = meses do ano;
/12 = impacto diluído ao longo de 12 meses;
0,02 ou 2% = Índice de ocorrência/ Estatística. (variavel conforme realidade da empresa);
100 = porcentagem.</t>
        </r>
      </text>
    </comment>
    <comment ref="G140" authorId="0" shapeId="0">
      <text>
        <r>
          <rPr>
            <b/>
            <sz val="10"/>
            <color indexed="81"/>
            <rFont val="Segoe UI"/>
            <family val="2"/>
          </rPr>
          <t xml:space="preserve">Auxílio Doença:
</t>
        </r>
        <r>
          <rPr>
            <sz val="10"/>
            <color indexed="81"/>
            <rFont val="Segoe UI"/>
            <family val="2"/>
          </rPr>
          <t xml:space="preserve">
((5/30/12) x 100 = 1,39%
5 = Índice de ocorrência - Dados estatiticos. (variavel conforme realidade da empresa).
30 = Impacto sobre o mês
12 = Impacto diluído ao longo de 12 meses.</t>
        </r>
      </text>
    </comment>
    <comment ref="G184" authorId="0" shapeId="0">
      <text>
        <r>
          <rPr>
            <b/>
            <sz val="10"/>
            <color indexed="81"/>
            <rFont val="Segoe UI"/>
            <family val="2"/>
          </rPr>
          <t>Custos Indiretos:</t>
        </r>
        <r>
          <rPr>
            <sz val="10"/>
            <color indexed="81"/>
            <rFont val="Segoe UI"/>
            <family val="2"/>
          </rPr>
          <t xml:space="preserve">
Variável conforme realidade da empresa</t>
        </r>
      </text>
    </comment>
    <comment ref="G185" authorId="0" shapeId="0">
      <text>
        <r>
          <rPr>
            <b/>
            <sz val="10"/>
            <color indexed="81"/>
            <rFont val="Segoe UI"/>
            <family val="2"/>
          </rPr>
          <t xml:space="preserve">Lucro:
</t>
        </r>
        <r>
          <rPr>
            <sz val="10"/>
            <color indexed="81"/>
            <rFont val="Segoe UI"/>
            <family val="2"/>
          </rPr>
          <t xml:space="preserve">Variável conforme realidade da empresa.
</t>
        </r>
      </text>
    </comment>
  </commentList>
</comments>
</file>

<file path=xl/sharedStrings.xml><?xml version="1.0" encoding="utf-8"?>
<sst xmlns="http://schemas.openxmlformats.org/spreadsheetml/2006/main" count="2336" uniqueCount="590">
  <si>
    <t>MINISTÉRIO DA AGRICULTURA E PECUÁRIA</t>
  </si>
  <si>
    <t>LABORATÓRIO FEDERAL DE DEFESA AGROPECUÁRIA NO PARÁ</t>
  </si>
  <si>
    <t xml:space="preserve">PLANILHA REFERENCIAL DE CUSTO E FORMAÇÃO DE PREÇO </t>
  </si>
  <si>
    <t>Pregão Eletrônico 12/2023</t>
  </si>
  <si>
    <t>PROCESSO Nº. :  21000.001352/2023-57</t>
  </si>
  <si>
    <t>ORIENTAÇÕES QUANTO AO CORRETO PREENCHIMENTO:</t>
  </si>
  <si>
    <t xml:space="preserve">1- Deverá ser preenchido pelo licitante apenas os campos em </t>
  </si>
  <si>
    <t>AMARELO</t>
  </si>
  <si>
    <t xml:space="preserve"> nas seguintes abas: </t>
  </si>
  <si>
    <t>RESUMO</t>
  </si>
  <si>
    <t>PRODUTIVIDADE</t>
  </si>
  <si>
    <t>UNIFORME</t>
  </si>
  <si>
    <t>MATERIAL DE LIMPEZA</t>
  </si>
  <si>
    <t>MATERIAL  LAVANDERIA</t>
  </si>
  <si>
    <t>EQUIPAMENTOS</t>
  </si>
  <si>
    <t>EPI'S E EPC'S</t>
  </si>
  <si>
    <t>SERVENTE</t>
  </si>
  <si>
    <t>SERVENTE INSALUBRIDADE (Após a finalização do Pregão)</t>
  </si>
  <si>
    <t>LAVANDERIA</t>
  </si>
  <si>
    <t>MOTORISTA B</t>
  </si>
  <si>
    <t>MOTORISTA D</t>
  </si>
  <si>
    <t>2 - Estes campos alimentarão automaticamente as demais planilhas (consolidadas de cada item)</t>
  </si>
  <si>
    <t xml:space="preserve">3 - É obrigatória a utilização e o preenchimente destas planilhas, conforme este arquivo em excel, sob pena de desclassificação da proposta, confome item 8.3        </t>
  </si>
  <si>
    <t>4 - Consta quadro de Observações (final de cada aba da planilha) em que o licitante pode utilizar para incluir informações que julgar pertinentes.</t>
  </si>
  <si>
    <t xml:space="preserve">5 - Eventual identificação de  erro de fórmula nas planilhas pelo licitante, deverá ser comunicado à Equipe do Pregão, via e-mail sad.lfda.pa@agro.gov.br, até 2 (dois) dias úteis antes da abertura do certame, para os devidos ajustes.        </t>
  </si>
  <si>
    <t>6 - Os cálculos foram baseados em estudos e levantamentos em várias fontes de consultas, entre elas:</t>
  </si>
  <si>
    <t>Lei 8666/1993 - Lei de Licitações e Contratos</t>
  </si>
  <si>
    <t xml:space="preserve">Decreto 10.024/2019 - Regulamenta a licitiação, modalidade pregão, na forma eletrônica   </t>
  </si>
  <si>
    <t>Convenção Coletiva de Trabalho de BELÉM/PARÁ - PA000192/2023</t>
  </si>
  <si>
    <t>Convenção Coletiva de Trabalho de BELÉM/PARÁ - PA000095/2023</t>
  </si>
  <si>
    <t>ANEXO I - TABELA DE PISO SALARIAL 2023 SEAC - SINELPA</t>
  </si>
  <si>
    <t>Estudo sobre Composição dos Custos dos Valores Limites - Serviços de Limpeza e Conservação - PARÁ -2019 - SEGES/PA-2019</t>
  </si>
  <si>
    <t>Caderno de logística - Prestação de Serviços de Transporte</t>
  </si>
  <si>
    <t>Instrução Normativa nº 05, de 26/05/2017</t>
  </si>
  <si>
    <t>Portaria SEGES/MP nº 213, de 25/07/2017</t>
  </si>
  <si>
    <t xml:space="preserve">Portaria MP nº 443, de 27/12/2018 - estabelece os serviços que serão preferencialmente objeto de execução indireta     </t>
  </si>
  <si>
    <t xml:space="preserve">Decreto 9.507/2018 - Dispõe sobre a execução indireta, mediante contratação   </t>
  </si>
  <si>
    <t>Levantamento de Pregões similares de outros entes Federais (como AGU/ Receita Federal / UNIFESP  e outros)</t>
  </si>
  <si>
    <t>Jurisprudências TRT  e Súmulas TST</t>
  </si>
  <si>
    <t>Lei n° 13467 de 13/07/2017 - reforma trabalhista</t>
  </si>
  <si>
    <t>Consultas SEGES e sites especializado em legislação e cálculos trabalhistas</t>
  </si>
  <si>
    <t>7 - Foi considerado para os cálculos deste processo, a prevalência da Convenção Coletiva, nos termos estabelecidos o art. 611-A da Lei 13.467 de 13/07/2017 (reforma trabalhista), sendo utilizado os valores para 2022/2023.</t>
  </si>
  <si>
    <r>
      <rPr>
        <b/>
        <sz val="11"/>
        <color theme="1"/>
        <rFont val="Calibri"/>
        <family val="2"/>
        <scheme val="minor"/>
      </rPr>
      <t>OBJETO:</t>
    </r>
    <r>
      <rPr>
        <sz val="11"/>
        <color theme="1"/>
        <rFont val="Calibri"/>
        <family val="2"/>
        <scheme val="minor"/>
      </rPr>
      <t xml:space="preserve"> Contratação de Empresa Especializada para prestação de serviços continuados de limpeza e conservação, higienização textil e serviço de condutores de veículos, com fornecimento de mão de obra, materiais, insumos e equipamentos necessários e adequados para a execução dos serviços nas dependências do LFDA/PA.</t>
    </r>
  </si>
  <si>
    <t>Nome da Empresa</t>
  </si>
  <si>
    <t>Data da Proposta</t>
  </si>
  <si>
    <t>CNPJ</t>
  </si>
  <si>
    <t>Nome Fantasia</t>
  </si>
  <si>
    <t>Validade da Proposta</t>
  </si>
  <si>
    <t>(60 dias)</t>
  </si>
  <si>
    <t>DISCRIMINAÇÃO DOS SERVIÇOS (DADOS REFERENTES À CONTRATAÇÃO)</t>
  </si>
  <si>
    <t>Município/UF:</t>
  </si>
  <si>
    <t>Belém-PA</t>
  </si>
  <si>
    <t>Pagamento de férias, 13° (décimo terceiro) salário e verbas rescisórias</t>
  </si>
  <si>
    <t>Via Conta-Depósito Vinculada</t>
  </si>
  <si>
    <t>Número de meses de execução contratual</t>
  </si>
  <si>
    <t>IDENTIFICAÇÃO DOS SERVIÇOS</t>
  </si>
  <si>
    <t>GRUPO</t>
  </si>
  <si>
    <t>ITEM</t>
  </si>
  <si>
    <t>Serviço</t>
  </si>
  <si>
    <t>Categoria</t>
  </si>
  <si>
    <t>Carga horária mensal</t>
  </si>
  <si>
    <t>CBO</t>
  </si>
  <si>
    <t>Salário Base</t>
  </si>
  <si>
    <t>CCT Vinculado</t>
  </si>
  <si>
    <t xml:space="preserve">Registro MTE </t>
  </si>
  <si>
    <t xml:space="preserve">Data base </t>
  </si>
  <si>
    <t>Salário base utilizado</t>
  </si>
  <si>
    <t>Forma de remuneção do serviço</t>
  </si>
  <si>
    <t>Limpeza e Conservação</t>
  </si>
  <si>
    <t>Servente</t>
  </si>
  <si>
    <t>Metragem</t>
  </si>
  <si>
    <t>Higienização Têxtil</t>
  </si>
  <si>
    <t>Lavadeira</t>
  </si>
  <si>
    <t>Por posto</t>
  </si>
  <si>
    <t>Condutor de Veículo</t>
  </si>
  <si>
    <t>Motorista</t>
  </si>
  <si>
    <t>CNH Categoria "B"</t>
  </si>
  <si>
    <t>CNH Categoria "D"</t>
  </si>
  <si>
    <t>Nota 1 - Salário Base considerando Anexo I Tabela de Piso Salarial 2023 SEAC - SINELPA da Convenção Coletiva de Trabalho 2023 - PA000095/2023.</t>
  </si>
  <si>
    <t>Nota 2 - Salário Base considerando  Piso Salarial 2022 SEAC - SINTROBEL da Convenção Coletiva de Trabalho 2023 - PA000192/2023.</t>
  </si>
  <si>
    <t>Nota 3 - A planilha será calculada considerando o valor mensal do empregado</t>
  </si>
  <si>
    <t>ÁREAS PARA EXECUÇÃO DOS SERVIÇOS</t>
  </si>
  <si>
    <t>ÁREAS INDIVIDUALIZADAS DO LFDA/PA EM M²</t>
  </si>
  <si>
    <t>DESCRIÇÃO (IN 5/2017)</t>
  </si>
  <si>
    <t>Portarias (Prot+Vig)</t>
  </si>
  <si>
    <t>Ruas, Acessos e passeios</t>
  </si>
  <si>
    <t>Áreas Verdes</t>
  </si>
  <si>
    <t>IQA Antigo
RES, REC</t>
  </si>
  <si>
    <t>IQA Novo
Térreo</t>
  </si>
  <si>
    <t>IQA Novo
2º Andar</t>
  </si>
  <si>
    <t>MIC</t>
  </si>
  <si>
    <t>DIA-SORO</t>
  </si>
  <si>
    <t>DIA-BIOMOL</t>
  </si>
  <si>
    <t>ADM
Térreo</t>
  </si>
  <si>
    <t>ADM
2º Andar</t>
  </si>
  <si>
    <t>ADM
2º Andar Anexo</t>
  </si>
  <si>
    <t>Arquivo Geral</t>
  </si>
  <si>
    <t>Refeitório</t>
  </si>
  <si>
    <t>Almoxarifado</t>
  </si>
  <si>
    <t>Infectório</t>
  </si>
  <si>
    <t>APRISCO</t>
  </si>
  <si>
    <t>Lavanderia</t>
  </si>
  <si>
    <t>Oficina</t>
  </si>
  <si>
    <t>Banheiro (fundos)</t>
  </si>
  <si>
    <t>Área Total (m2)</t>
  </si>
  <si>
    <t>Frequência para limpeza diária</t>
  </si>
  <si>
    <t xml:space="preserve">Área contratada (m2) </t>
  </si>
  <si>
    <t>1 - Áreas Internas</t>
  </si>
  <si>
    <t>a) Pisos Acarpetados</t>
  </si>
  <si>
    <t>-</t>
  </si>
  <si>
    <t>b) Pisos Frios</t>
  </si>
  <si>
    <t>c) Laboratórios</t>
  </si>
  <si>
    <t>d) Almoxarifados / Galpões</t>
  </si>
  <si>
    <t>e) Oficinas</t>
  </si>
  <si>
    <t>f) Áreas com espaços livres
Saguão, Hall e Salão (Corredor)</t>
  </si>
  <si>
    <t>g) Banheiros</t>
  </si>
  <si>
    <t>2 - Áreas Externas</t>
  </si>
  <si>
    <t>a) Pisos Pavimentados adjacentes/
contíguos às Edificações (Calçadas)</t>
  </si>
  <si>
    <t>b) Varrição de passeios e arruamentos</t>
  </si>
  <si>
    <t>c) Pátios e Áreas verdes</t>
  </si>
  <si>
    <t>d) Coleta de detritos em pátios e 
áreas verdes com frequência diária</t>
  </si>
  <si>
    <t>3 - Esquadrias externas</t>
  </si>
  <si>
    <t>a) De face externa com exposição 
a situação de risco</t>
  </si>
  <si>
    <t>b) De face externa sem exposição 
a situação de risco</t>
  </si>
  <si>
    <t>c) De face interna (dentro dos prédios)</t>
  </si>
  <si>
    <t>4 - Fachadas Envidraçadas</t>
  </si>
  <si>
    <t>a) Internas e Externas 
(portas de vidro e janelas)</t>
  </si>
  <si>
    <t>ÁREAS PARA EXECUÇÃO DOS SERVIÇOS E PRODUTIVIDADE</t>
  </si>
  <si>
    <t>Tipo de Área</t>
  </si>
  <si>
    <t>Descrição 
(IN 5/2017)</t>
  </si>
  <si>
    <t>Faixa de produtividade 
IN 05/2017 (em m²)</t>
  </si>
  <si>
    <t>Área Contratada (m²)</t>
  </si>
  <si>
    <t>Produtividade¹
(m2/8h)</t>
  </si>
  <si>
    <t>(1) 
Produtividade  (1/m²)</t>
  </si>
  <si>
    <t>(2)
Freq. no mês (horas)</t>
  </si>
  <si>
    <t>(3)
Jornada no mês (horas)</t>
  </si>
  <si>
    <t>Coeficiente 
K 
(1x2x3)</t>
  </si>
  <si>
    <t>Cálculo do número de profissionais estimados²</t>
  </si>
  <si>
    <t>POSTOS</t>
  </si>
  <si>
    <t>Qtde</t>
  </si>
  <si>
    <t>OBS</t>
  </si>
  <si>
    <t>Área Interna</t>
  </si>
  <si>
    <t>Pisos frios</t>
  </si>
  <si>
    <t>800 a 1200</t>
  </si>
  <si>
    <t>1/188,76</t>
  </si>
  <si>
    <t>Laboratório de Microbiologia (MIC)</t>
  </si>
  <si>
    <r>
      <rPr>
        <sz val="11"/>
        <color rgb="FFFF0000"/>
        <rFont val="Calibri"/>
        <family val="2"/>
        <scheme val="minor"/>
      </rPr>
      <t>COM</t>
    </r>
    <r>
      <rPr>
        <sz val="11"/>
        <color theme="1"/>
        <rFont val="Calibri"/>
        <family val="2"/>
        <scheme val="minor"/>
      </rPr>
      <t xml:space="preserve"> insalubridade</t>
    </r>
  </si>
  <si>
    <t>Laboratórios</t>
  </si>
  <si>
    <t>360 a 450</t>
  </si>
  <si>
    <t>Laboratório de Diagnóstico Animal, Biologia Molecular e Almoxarifado</t>
  </si>
  <si>
    <t>Almoxarifados/galpões</t>
  </si>
  <si>
    <t>1500 a 2500</t>
  </si>
  <si>
    <t>Laboratórios: ALA, IQA, FCS</t>
  </si>
  <si>
    <t>Oficinas</t>
  </si>
  <si>
    <t>1200 a 1800</t>
  </si>
  <si>
    <t>Laboratórios de Resíduos (RCA), Recepção de Amostras e Guaritas</t>
  </si>
  <si>
    <t>Áreas com espaços livres</t>
  </si>
  <si>
    <t>1000 a 1500</t>
  </si>
  <si>
    <t>Administração e demais áreas</t>
  </si>
  <si>
    <t>Banheiros</t>
  </si>
  <si>
    <t>200 a 300</t>
  </si>
  <si>
    <t>Área Externa</t>
  </si>
  <si>
    <t>Pisos pavimentados adjacentes/contíguos às edificações</t>
  </si>
  <si>
    <t>1800 a 2700</t>
  </si>
  <si>
    <t>TOTAL DE POSTOS</t>
  </si>
  <si>
    <t>Varrição de passeios e arruamentos</t>
  </si>
  <si>
    <t>6000 a 9000</t>
  </si>
  <si>
    <t>Pátios e áreas verdes</t>
  </si>
  <si>
    <t>Esquadria Externa</t>
  </si>
  <si>
    <r>
      <t xml:space="preserve">Face externa </t>
    </r>
    <r>
      <rPr>
        <b/>
        <sz val="11"/>
        <color theme="1"/>
        <rFont val="Calibri"/>
        <family val="2"/>
        <scheme val="minor"/>
      </rPr>
      <t>com</t>
    </r>
    <r>
      <rPr>
        <sz val="11"/>
        <color theme="1"/>
        <rFont val="Calibri"/>
        <family val="2"/>
        <scheme val="minor"/>
      </rPr>
      <t xml:space="preserve"> exposição a situação de risco</t>
    </r>
  </si>
  <si>
    <t>130 a 160</t>
  </si>
  <si>
    <r>
      <t xml:space="preserve">Face externa </t>
    </r>
    <r>
      <rPr>
        <b/>
        <sz val="11"/>
        <color theme="1"/>
        <rFont val="Calibri"/>
        <family val="2"/>
        <scheme val="minor"/>
      </rPr>
      <t>sem</t>
    </r>
    <r>
      <rPr>
        <sz val="11"/>
        <color theme="1"/>
        <rFont val="Calibri"/>
        <family val="2"/>
        <scheme val="minor"/>
      </rPr>
      <t xml:space="preserve"> exposição a situação de risco</t>
    </r>
  </si>
  <si>
    <t>300 a 380</t>
  </si>
  <si>
    <t>Face interna</t>
  </si>
  <si>
    <t>Fachadas Envidraçadas</t>
  </si>
  <si>
    <t xml:space="preserve"> Internas e Externas (portas de vidro e janelas)</t>
  </si>
  <si>
    <t>1/1.132,6</t>
  </si>
  <si>
    <t>Total Estimado</t>
  </si>
  <si>
    <t>Arredondamento para fins de estimativa de insumos</t>
  </si>
  <si>
    <t>Nota 1 - Produtividade considerada pela área requisitante com base no histórico/oportunidades dos serviços executados</t>
  </si>
  <si>
    <t>Nota 2 - Cálculo para  do número de profissionais estimados para as áreas Internas, externas, esquadrias e fachadas conforme IN nº 5/2017 e alterações da IN nº 07/2018</t>
  </si>
  <si>
    <r>
      <t>Nota3 - Considerada produtividade mínima</t>
    </r>
    <r>
      <rPr>
        <sz val="8"/>
        <color rgb="FF000000"/>
        <rFont val="Calibri"/>
        <family val="2"/>
        <scheme val="minor"/>
      </rPr>
      <t xml:space="preserve"> devido características do espaço a ser limpo, que apresenta muitas barreiras/móveis para a higienização e limpeza, possibilitando menor execução dentro da carga horária de prestação de serviços definida</t>
    </r>
  </si>
  <si>
    <t>CÁLCULO DO CUSTO DA METRAGEM (M²)</t>
  </si>
  <si>
    <t>EMPRESA LICITANTE:</t>
  </si>
  <si>
    <t>PREÇO MENSAL</t>
  </si>
  <si>
    <t>Produtividade¹
(m2/8h)
(P)</t>
  </si>
  <si>
    <t>Mão de obra</t>
  </si>
  <si>
    <t>UNITÁRIO DO HOMEM MÊS</t>
  </si>
  <si>
    <t>UNITÁRIO POR ÁREA
 (R$/m2)</t>
  </si>
  <si>
    <t>SUBTOTAL</t>
  </si>
  <si>
    <t>PREÇO MENSAL UNITÁRIO (R$/m²)</t>
  </si>
  <si>
    <t>ÁREA (m²)</t>
  </si>
  <si>
    <t>SUBTOTAL (R$)</t>
  </si>
  <si>
    <t>Face externa com exposição a situação de risco</t>
  </si>
  <si>
    <t>Face externa sem exposição a situação de risco</t>
  </si>
  <si>
    <t>TOTAL</t>
  </si>
  <si>
    <t>TABELAS DE APOIO - CUSTO DE UNIFORMES</t>
  </si>
  <si>
    <t>CNPJ:</t>
  </si>
  <si>
    <t>CUSTO ANUAL POR EMPREGADO</t>
  </si>
  <si>
    <t>DESCRIÇÃO</t>
  </si>
  <si>
    <t>Qtd</t>
  </si>
  <si>
    <t>Unid.</t>
  </si>
  <si>
    <t>Periodiciade substituição</t>
  </si>
  <si>
    <t>Servente
A. Externa</t>
  </si>
  <si>
    <t>Valor Unitário Médio</t>
  </si>
  <si>
    <t>Qtd Anual por profissional</t>
  </si>
  <si>
    <t>Servente
A. Interna</t>
  </si>
  <si>
    <t>Conjunto Brim Trabalho Pesado (camisa + calça com bolsos traseiros e laterais, cós com elástico)</t>
  </si>
  <si>
    <t>semestral</t>
  </si>
  <si>
    <t>X</t>
  </si>
  <si>
    <t>Camisa manga comprida UV</t>
  </si>
  <si>
    <t>Camisa de manga curta com abotoamento frontal, cor branca, tecido 100% algodão</t>
  </si>
  <si>
    <t>Calça modelo social com bolso, cor preta</t>
  </si>
  <si>
    <t>Meia esportiva (grossa)</t>
  </si>
  <si>
    <t>Par</t>
  </si>
  <si>
    <t>Meia social, cor preta</t>
  </si>
  <si>
    <t>Sapato social de couro, cor preta</t>
  </si>
  <si>
    <t>Crachá com foto e identificação</t>
  </si>
  <si>
    <t>anual</t>
  </si>
  <si>
    <t>CUSTO TOTAL ANUAL</t>
  </si>
  <si>
    <t>CUSTO MENSAL POR EMPREGADO</t>
  </si>
  <si>
    <t>OBSERVAÇÕES (Utilizar este campo para eventuais informações que o licitante achar pertinente).</t>
  </si>
  <si>
    <t>TABELAS DE APOIO - MATERIAIS E INSUMOS</t>
  </si>
  <si>
    <t xml:space="preserve">CNPJ:  </t>
  </si>
  <si>
    <t>CUSTO MATERIAL E INSUMOS</t>
  </si>
  <si>
    <t>Unidade</t>
  </si>
  <si>
    <t>Frequência de  fornecimento</t>
  </si>
  <si>
    <t>CUSTO TOTAL DE INSUMOS FORNECIDOS</t>
  </si>
  <si>
    <t>Qtd    Mensal</t>
  </si>
  <si>
    <t>Qtd Anual</t>
  </si>
  <si>
    <t xml:space="preserve">  Mensal</t>
  </si>
  <si>
    <t>Anual</t>
  </si>
  <si>
    <t>Ácido peracético, solução a 5 %, fungicida, viricida e bactericida. Concentrações: teor de ácido peracético mínima de 5 %, teor de peróxido de hidrogênio mínima de 18 %, teor de ácido acético mínima de 15 %. Teor de oxigênio disponível mínima de 9,5 %. O produto deve ter registro válido na Anvisa (registro para produtos saneantes/desinfetantes).</t>
  </si>
  <si>
    <t>Litro</t>
  </si>
  <si>
    <t>Água Sanitária</t>
  </si>
  <si>
    <t xml:space="preserve">Álcool liquido de 70° </t>
  </si>
  <si>
    <t>Aromatizante</t>
  </si>
  <si>
    <t>5 Litros</t>
  </si>
  <si>
    <t>Balde plástico com alça, capacidade 10 litros</t>
  </si>
  <si>
    <t>Balde plástico com alça, capacidade 20 litros</t>
  </si>
  <si>
    <t>Borrifador</t>
  </si>
  <si>
    <t xml:space="preserve">Carro coletor para lixo com rodinhas, com tampa, cap aprox 240 litros </t>
  </si>
  <si>
    <t>Carro coletor para lixo com tampa e rodinha, cap aprox 120 litros</t>
  </si>
  <si>
    <t>Coletores para coleta seletiva, c/ 4 cores</t>
  </si>
  <si>
    <t>Conj 50L</t>
  </si>
  <si>
    <t>Desentupidor bomba de pressão</t>
  </si>
  <si>
    <t>Desentupidor, tipo pegador com garras</t>
  </si>
  <si>
    <t>Desinfetante</t>
  </si>
  <si>
    <t>Desodorizador spray</t>
  </si>
  <si>
    <t>Frasco
360ml</t>
  </si>
  <si>
    <t xml:space="preserve">Detergente líquido, maça, concentrado, com tensoativo biodegradavel </t>
  </si>
  <si>
    <t>500ml</t>
  </si>
  <si>
    <t>Detergente líquido, neutro, concentrado, com tensoativo biodegradavel</t>
  </si>
  <si>
    <t>Enxadinha de jardim. Cabo 43 cm</t>
  </si>
  <si>
    <t>Espátula em aço de 3”</t>
  </si>
  <si>
    <t>Esponja dupla face</t>
  </si>
  <si>
    <t>Extensão elétrica, 100 metros de comprimento</t>
  </si>
  <si>
    <t>Extensão elétrica, 25 metros de comprimento</t>
  </si>
  <si>
    <t>Flanela 40x60, microfibra</t>
  </si>
  <si>
    <t>Flanela 40x60, 100% algodão</t>
  </si>
  <si>
    <t xml:space="preserve">Hipoclorito de sódio, NaClO, CAS  7681-52-9. Pureza (cloro ativo) entre 10 e 15 %. </t>
  </si>
  <si>
    <t>Inseticida líquido, eficaz contra o mosquito da dengue, combate pragas caseiras: moscas, mosquitos, pernilongos, muriçocas, carapanãs e baratas</t>
  </si>
  <si>
    <t>450ml</t>
  </si>
  <si>
    <t>Kit profissional para limpeza de vidros, composto por 1 lavador completo de 35cm; 1 luva refil; 4 guias removíveis, sendo 1 de 15cm, 1 de 25cm, 1 de 35cm e 1 de 45cm; 1 lâmina de borracha de 91cm; 1 cabo de fixação, 1 raspador de segurança com 10 lâminas refil, 1 raspador multiuso com 10 lâminas e 1 extensão telescópica de 2,50m.</t>
  </si>
  <si>
    <t>Lã de aço nº 00 (pacote)</t>
  </si>
  <si>
    <t>Pacote</t>
  </si>
  <si>
    <t>Limpa aluminio</t>
  </si>
  <si>
    <t>Limpa vidro</t>
  </si>
  <si>
    <t>Limpador multiuso </t>
  </si>
  <si>
    <t>Lixeira com pedal, capacidade 60 litros</t>
  </si>
  <si>
    <t>Lustra móveis</t>
  </si>
  <si>
    <t>200ml</t>
  </si>
  <si>
    <t>Luva multiuso (amarela)</t>
  </si>
  <si>
    <t>Mangueira para jardim (½) 20 metros</t>
  </si>
  <si>
    <t>Mangueira para jardim (½) 50 metros</t>
  </si>
  <si>
    <t>Óleo Lubrificante/desingripante em spray</t>
  </si>
  <si>
    <t>300ml</t>
  </si>
  <si>
    <t>Pá para recolhimento de lixo, cano longo</t>
  </si>
  <si>
    <t>Pano de chão alvejado</t>
  </si>
  <si>
    <t>Pano de prato alvejado</t>
  </si>
  <si>
    <t>Pedra sanitária</t>
  </si>
  <si>
    <t>Placas de Sinalização, tipo cavalete “Em Manutenção”</t>
  </si>
  <si>
    <t>Rodo para piso, com 02 borrachas, 40 cm</t>
  </si>
  <si>
    <t>Rodo para piso, com 02 borrachas, 60 cm</t>
  </si>
  <si>
    <t>Sabão em barra</t>
  </si>
  <si>
    <t>200g</t>
  </si>
  <si>
    <t>Sabão em pó</t>
  </si>
  <si>
    <t>1Kg</t>
  </si>
  <si>
    <t>Saco p/ lixo TAM. 100 lt</t>
  </si>
  <si>
    <t>100 unid</t>
  </si>
  <si>
    <t>Saco p/ lixo TAM. 200 lt</t>
  </si>
  <si>
    <t>Saco p/ lixo TAM. 50 lt</t>
  </si>
  <si>
    <t>50 unid</t>
  </si>
  <si>
    <t>Saco p/ lixo TAM. 30 lt</t>
  </si>
  <si>
    <t>Saco para lixo biológico 100 lt</t>
  </si>
  <si>
    <t>Sapólio em pó</t>
  </si>
  <si>
    <t>300g</t>
  </si>
  <si>
    <t>Saponáceo cremoso</t>
  </si>
  <si>
    <t>2 Litros</t>
  </si>
  <si>
    <t>Tesoura de poda</t>
  </si>
  <si>
    <t>Vassoura de jardim</t>
  </si>
  <si>
    <t>Vassoura de piaçava com cabo</t>
  </si>
  <si>
    <t>CUSTO ANUAL TOTAL</t>
  </si>
  <si>
    <t>CUSTO MENSAL TOTAL</t>
  </si>
  <si>
    <t>QTD ESTIMADA DE EMPREGADOS</t>
  </si>
  <si>
    <t>CUSTO MENSAL / EMPREGADO</t>
  </si>
  <si>
    <t>Nota 1 -  Quantidade estimado de profissionais com base na metragem de áreas do LFDA/PA e a produtividade estabelecida, conforme IN 5/2017</t>
  </si>
  <si>
    <t>* Para a primeira entrega estes itens, a quantidade a ser disponibilizada deve ser relativa ao anual (para os anuais) e de 1 mês (para os mensais). Para as demais entregas subsequêntes, seguir quantidade especificada no quadro acima.</t>
  </si>
  <si>
    <t>TABELAS DE APOIO - MATERIAIS E INSUMOS LAVANDERIA</t>
  </si>
  <si>
    <t>CUSTO MATERIAL E INSUMOS (LAVANDERIA)</t>
  </si>
  <si>
    <t>Água sanitária</t>
  </si>
  <si>
    <t>1 Litro</t>
  </si>
  <si>
    <t>1 Kg</t>
  </si>
  <si>
    <t>Sabão em Barra de coco</t>
  </si>
  <si>
    <t>Amaciante de roupas</t>
  </si>
  <si>
    <t>Hipoclorito</t>
  </si>
  <si>
    <t>Bicarbonato</t>
  </si>
  <si>
    <t>Pacote
100g</t>
  </si>
  <si>
    <t>Removedor de ferrugem p/ roupas</t>
  </si>
  <si>
    <t>frasco
50ml</t>
  </si>
  <si>
    <t>Nota 1 - Valor mensal por empregado</t>
  </si>
  <si>
    <t>TABELAS DE APOIO - EQUIPAMENTOS</t>
  </si>
  <si>
    <t>Quant.</t>
  </si>
  <si>
    <t>Investimento inicial (em R$)</t>
  </si>
  <si>
    <t>Vida útil 
(em meses)¹</t>
  </si>
  <si>
    <t>Aspirador de pó e água, potência 1400W, com acessórios. Similar a Marca Wap, Modelo GTW 10</t>
  </si>
  <si>
    <t>Cortador de Grama Elétrico, de empurrar, potência 1200W, com coletor de grama. Similar a Marca Marca Tramontina, Modelo CE35P</t>
  </si>
  <si>
    <t>Escada de alumínio, multifuncional, com 12 degraus, dobrável</t>
  </si>
  <si>
    <t>Escada de alumínio, com 05 degraus, dobrável</t>
  </si>
  <si>
    <t>Ferro de Passar à vapor, base cerâmica, 110v, potência 1500W. Similar a Marca Oster, Modelo GCSTSP6206-017</t>
  </si>
  <si>
    <t>Lava e Seca, inverter, 12kg, tampa frontal110v. Similar a Marca Midea, modelo Storm Wash</t>
  </si>
  <si>
    <t>Lavadora de alta pressão, potência 1400W. Similar a  Marca Wap, Modelo FW001535</t>
  </si>
  <si>
    <t>Vaporizador e Higienizador, potência 1200W. Similar a Marca Wap, modelo Wapore Clean Easy</t>
  </si>
  <si>
    <t>CUSTO MENSAL (Depreciação)</t>
  </si>
  <si>
    <t>QTD ESTIMADO DE EMPREGADOS²</t>
  </si>
  <si>
    <t>TOTAL DO INVESTIMENTO INICIAL</t>
  </si>
  <si>
    <r>
      <t xml:space="preserve">Nota 1 - Para o cálculo da depreciação de equipamentos, será adotado a vida útil de 5 (cinco) anos e valor residual de 20% (vinte por cento), mediante a aplicação da seguinte fórmula: </t>
    </r>
    <r>
      <rPr>
        <b/>
        <sz val="12"/>
        <color theme="1"/>
        <rFont val="Calibri"/>
        <family val="2"/>
        <scheme val="minor"/>
      </rPr>
      <t>Depreciação Mensal = (Valor total dos equipamentos x (1,00 - 0,20)) / (12 x 5)</t>
    </r>
  </si>
  <si>
    <r>
      <t xml:space="preserve">Nota 2 -  Quantidade estimada de profissionais com base na metragem de áreas </t>
    </r>
    <r>
      <rPr>
        <sz val="12"/>
        <rFont val="Calibri"/>
        <family val="2"/>
        <scheme val="minor"/>
      </rPr>
      <t>do LFDA/PA</t>
    </r>
    <r>
      <rPr>
        <sz val="12"/>
        <color theme="1"/>
        <rFont val="Calibri"/>
        <family val="2"/>
        <scheme val="minor"/>
      </rPr>
      <t xml:space="preserve"> e a produtividade estabelecida, em atendimento a IN 5/2017 e conforme memória de cálculo constante na Aba "Areas e Produtividade".</t>
    </r>
  </si>
  <si>
    <t>TABELAS DE APOIO - EPI's E EPC's</t>
  </si>
  <si>
    <t>CUSTO EPI e EPC</t>
  </si>
  <si>
    <t>CUSTO ANUAL POR PROFISSIONAL</t>
  </si>
  <si>
    <t>Botas de pvc (cano longo na cor branca, com solado antiderrapante e palmilha em poliéster)</t>
  </si>
  <si>
    <t xml:space="preserve">Botas de segurança, de couro com biqueira de pvc (em couro macio, fechamento em elástico, forração em tecido não tecido transpirável, palmilha de montagem em E.V.A fixada/costurada junto ao cabedal, solado em PU Bidensidade bicolor com sistema de absorção de impacto, injetado diretamente ao cabedal) </t>
  </si>
  <si>
    <t>Boné touca árabe</t>
  </si>
  <si>
    <t>Óculos de proteção incolor, policarbonato</t>
  </si>
  <si>
    <t>Luva Látex, borracha grossa, punho cano longo para  limpeza pesada</t>
  </si>
  <si>
    <t>Luva de algodão  pigmentada, para serviços pesados</t>
  </si>
  <si>
    <t>Protetor de braços UV</t>
  </si>
  <si>
    <t xml:space="preserve">Macacão de chuva (em pvc) </t>
  </si>
  <si>
    <r>
      <rPr>
        <b/>
        <sz val="11"/>
        <color indexed="8"/>
        <rFont val="Calibri"/>
        <family val="2"/>
        <scheme val="minor"/>
      </rPr>
      <t>Máscara para vapor</t>
    </r>
    <r>
      <rPr>
        <sz val="11"/>
        <color indexed="8"/>
        <rFont val="Calibri"/>
        <family val="2"/>
        <scheme val="minor"/>
      </rPr>
      <t xml:space="preserve"> de produtos químicos
Respirador semifacial descartável, classe PFF2 (s), modelo dobrável, com válvula de exalação, formado por filtro com tratamento eletrostático, TNT na parte interna, clip nasal interno em metal revestido de plástico que facilita a vedação e elásticos de látex com regulador. Oferece proteção contra poeiras, névoas não oleosas e fumos</t>
    </r>
  </si>
  <si>
    <t>Máscara descartável</t>
  </si>
  <si>
    <t>Caixa
50 unid</t>
  </si>
  <si>
    <t>Touca descartável</t>
  </si>
  <si>
    <t>Caixa
100 unid</t>
  </si>
  <si>
    <t>Capa de chuva impermeável, mangas longas e capuz</t>
  </si>
  <si>
    <t xml:space="preserve">Avental impermeável (pvc) </t>
  </si>
  <si>
    <t>Tela Mosqueteiro para proteção
Nylon verde</t>
  </si>
  <si>
    <t>Metro</t>
  </si>
  <si>
    <t>CUSTO MENSAL DE UNIFORME</t>
  </si>
  <si>
    <t>TOTAL DE EPI + EPC</t>
  </si>
  <si>
    <t xml:space="preserve">TOTAL ANUAL </t>
  </si>
  <si>
    <t xml:space="preserve">
</t>
  </si>
  <si>
    <t>Com ajustes após publicação da Lei n° 13.467, de 2017; IN 5/17 e IN7/18</t>
  </si>
  <si>
    <r>
      <t>AVISO</t>
    </r>
    <r>
      <rPr>
        <sz val="11"/>
        <color theme="1"/>
        <rFont val="Calibri"/>
        <family val="2"/>
        <scheme val="minor"/>
      </rPr>
      <t xml:space="preserve">: Esta planilha de custos visa facilitar e agilizar a elaboração das propostas de preços dos licitantes. </t>
    </r>
    <r>
      <rPr>
        <b/>
        <sz val="11"/>
        <color theme="1"/>
        <rFont val="Calibri"/>
        <family val="2"/>
        <scheme val="minor"/>
      </rPr>
      <t>O seu uso é obrigatório neste Pregão Eletrônico</t>
    </r>
    <r>
      <rPr>
        <sz val="11"/>
        <color theme="1"/>
        <rFont val="Calibri"/>
        <family val="2"/>
        <scheme val="minor"/>
      </rPr>
      <t>, vez que está devidamente atualizada nos termos da IN SEGES/MPDG nº 05/2017 e 07/2018.</t>
    </r>
  </si>
  <si>
    <t>Dados para composição dos custos referentes a mão de obra</t>
  </si>
  <si>
    <t>Classificação Brasileira de Ocupações (CBO)</t>
  </si>
  <si>
    <t>Salário Normativo da Categoria Profissional</t>
  </si>
  <si>
    <t>Categoria Profissional (vinculada à execução contratual)</t>
  </si>
  <si>
    <t>Data-Base da Categoria (dia/mês)</t>
  </si>
  <si>
    <t>Número de registro da CCT no MTE</t>
  </si>
  <si>
    <t>Data de apresentação desta proposta de preços</t>
  </si>
  <si>
    <t>Local da prestação dos serviços</t>
  </si>
  <si>
    <t>Notas explicativas:</t>
  </si>
  <si>
    <t>a) Deverá ser elaborado um quadro para cada tipo de serviço;</t>
  </si>
  <si>
    <r>
      <t xml:space="preserve">b) A planilha será calculada considerando o </t>
    </r>
    <r>
      <rPr>
        <b/>
        <sz val="11"/>
        <color rgb="FFFF0000"/>
        <rFont val="Calibri"/>
        <family val="2"/>
        <scheme val="minor"/>
      </rPr>
      <t>valor mensal</t>
    </r>
    <r>
      <rPr>
        <sz val="11"/>
        <color rgb="FFFF0000"/>
        <rFont val="Calibri"/>
        <family val="2"/>
        <scheme val="minor"/>
      </rPr>
      <t xml:space="preserve"> do empregado;</t>
    </r>
  </si>
  <si>
    <t>c) Deverá ser utilizado o salário normativo da Categoria Profissional vigente;</t>
  </si>
  <si>
    <t>d) Para o cálculo dos valores remunerátório foi adotada a Convenção Coletiva de Trabalho MTE nº PA000095/2023</t>
  </si>
  <si>
    <t>e) A CCT adotada tem vigência até 31 de dezembro de 2024 e abrangência territorial nos municípios de prestação dos serviços</t>
  </si>
  <si>
    <t>MÓDULO 1 - COMPOSIÇÃO DA REMUNERAÇÃO</t>
  </si>
  <si>
    <t>COMPOSIÇÃO DA REMUNERAÇÃO</t>
  </si>
  <si>
    <t>Referência</t>
  </si>
  <si>
    <t>Valor (R$)</t>
  </si>
  <si>
    <t>A</t>
  </si>
  <si>
    <t>Salário-Base</t>
  </si>
  <si>
    <t>2023</t>
  </si>
  <si>
    <t>B</t>
  </si>
  <si>
    <t>Adicional de Periculosidade</t>
  </si>
  <si>
    <t>C</t>
  </si>
  <si>
    <t>Adicional de Insalubridade</t>
  </si>
  <si>
    <t>D</t>
  </si>
  <si>
    <t>Adicional Noturno</t>
  </si>
  <si>
    <t>E</t>
  </si>
  <si>
    <t>Adicional de Hora noturna Reduzida</t>
  </si>
  <si>
    <t>F</t>
  </si>
  <si>
    <t>outros (especificar)</t>
  </si>
  <si>
    <t xml:space="preserve">TOTAL MÓDULO 1 -  REMUNERAÇÃO </t>
  </si>
  <si>
    <r>
      <t xml:space="preserve">a) O Módulo 1 refere-se ao </t>
    </r>
    <r>
      <rPr>
        <b/>
        <sz val="11"/>
        <color rgb="FFFF0000"/>
        <rFont val="Calibri"/>
        <family val="2"/>
        <scheme val="minor"/>
      </rPr>
      <t>valor mensal devido ao empregado</t>
    </r>
    <r>
      <rPr>
        <sz val="11"/>
        <color rgb="FFFF0000"/>
        <rFont val="Calibri"/>
        <family val="2"/>
        <scheme val="minor"/>
      </rPr>
      <t xml:space="preserve"> pela prestação do serviço;</t>
    </r>
  </si>
  <si>
    <t>b) O Salário Base foi reajustado em janeiro/2023 (Cláusula 3ª CCT)</t>
  </si>
  <si>
    <t xml:space="preserve">MÓDULO 2 - ENCARGOS E BENEFÍCIOS ANUAIS, MENSAIS E DIÁRIOS </t>
  </si>
  <si>
    <t>a) Como a planilha de custos e formação de preços é calculada mensalmente, provisiona-se proporcionalmente 1/12 (um doze avos) dos valores referentes a gratificação natalina, férias e adicional de férias.</t>
  </si>
  <si>
    <t>b) O adicional de férias contido no Submódulo 2.1 corresponde a 1/3 (um terço) da remuneração que por sua vez é divido por 12 (doze).</t>
  </si>
  <si>
    <t>Submódulo 2.1 - 13º (décimo terceiro) Salário e Adicional de Férias</t>
  </si>
  <si>
    <t>2.1</t>
  </si>
  <si>
    <t>Composição</t>
  </si>
  <si>
    <t>Percentual (%)</t>
  </si>
  <si>
    <t>13º (Décimo Terceiro) Salário</t>
  </si>
  <si>
    <t>Férias e Adicional de Férias</t>
  </si>
  <si>
    <t>Total Submódulo 2.1</t>
  </si>
  <si>
    <t>a) Percentual de ≅ 12,10% (1/11+1/3/11) de férias e adicional de férias, de acordo com a IN 05/2017 em seu anexo XVII, que prevê a retenção desse percentual em conta vinculada.</t>
  </si>
  <si>
    <t>b) 1/12meses = 0,0833=8,33%; Cotação de 8,33% sobre o valor do Módulo 1 - Composição da remuneração, conforme Anexo XII da IN 5/17.</t>
  </si>
  <si>
    <t>Submódulo 2.2 - Encargos Previdenciários (GPS), Fundo de Garantia por Tempo de Serviço (FGTS) e outras contribuições.</t>
  </si>
  <si>
    <r>
      <t xml:space="preserve">Base de cálculo deste submódulo </t>
    </r>
    <r>
      <rPr>
        <b/>
        <sz val="11"/>
        <color rgb="FFFF0000"/>
        <rFont val="Calibri"/>
        <family val="2"/>
        <scheme val="minor"/>
      </rPr>
      <t>(M1+M2.1)</t>
    </r>
    <r>
      <rPr>
        <b/>
        <sz val="11"/>
        <color rgb="FF000000"/>
        <rFont val="Calibri"/>
        <family val="2"/>
        <scheme val="minor"/>
      </rPr>
      <t>:</t>
    </r>
  </si>
  <si>
    <t>2.2</t>
  </si>
  <si>
    <t>INSS - empregador</t>
  </si>
  <si>
    <t>Salário-Educação</t>
  </si>
  <si>
    <t>SAT- GIL/RAT</t>
  </si>
  <si>
    <t>SESI / SESC</t>
  </si>
  <si>
    <t>SENAI / SENAC</t>
  </si>
  <si>
    <t>SEBRAE</t>
  </si>
  <si>
    <t>G</t>
  </si>
  <si>
    <t>INCRA</t>
  </si>
  <si>
    <t>H</t>
  </si>
  <si>
    <t>FGTS</t>
  </si>
  <si>
    <t>Total Submódulo 2.2</t>
  </si>
  <si>
    <t>Total</t>
  </si>
  <si>
    <t>a) Os percentuais dos encargos previdenciários, do FGTS e demais contribuições são aqueles estabelecidos pela legislação vigente.</t>
  </si>
  <si>
    <t>b) RAT - Riscos Ambientais do Trabalho previsto no art. 22, II, da Lei nº 8212/1991, percentual de 1% para risco leve, 2% para risco médio e 3% para risco grave de acordo com o CNAE, conforme Anexo V, do Decreto nº 6.957/2009 e art. 72, §1º, IN RFB 971/2009.</t>
  </si>
  <si>
    <t>c) FAT - Fator Acidentário de Prevenção (art. 10, da Lei 10.666/2003) pode reduzir o valor da alíquota do RAT em até 50% ou aumentá-lo em até 100% (multiplicador variável de 0,50 a 2,00).</t>
  </si>
  <si>
    <t>d) SAT (Seguro de Acidentes de Trabalho) - GIIL/RAT (Grau de Incidência de incapacidade Laborativa) = (RATxFAP).</t>
  </si>
  <si>
    <t>e) O percentual máximo SAT-GIIL/RAT é de 6% (3% RAT x 2 FAT), contudo, para efeito de cálculo, foi considerado o percentual de 3%. Cada empresa deve preencher de acordo com o valor máximo referente a sua realidade.</t>
  </si>
  <si>
    <t>f) A empresa deverá enviar o FAP WEB caso solicitado pelo Pregoeiro.</t>
  </si>
  <si>
    <t>g) Esses percentuais incidem sobre o Módulo 1, o Submódulo 2.1.</t>
  </si>
  <si>
    <t>h) Os índices (RAT e FAT) deverão ser comprovados quando da contratação pelo apresentação da GFIP.</t>
  </si>
  <si>
    <t>i) O cálculo dos tributos leva em consideração as alíquotas ordinárias dos tributos, não adentrando os regimes especiais de tributação e/ou desoneração de folha de pagamento.</t>
  </si>
  <si>
    <t>Submódulo 2.3 - Benefícios Mensais e Diários.</t>
  </si>
  <si>
    <t>Alimentação</t>
  </si>
  <si>
    <t>Valor do ticket (seg a sex =R$25,00; sábado = R$12,50)</t>
  </si>
  <si>
    <t>2.3</t>
  </si>
  <si>
    <t>Base de Cálculo</t>
  </si>
  <si>
    <t>Qde. Ticket/mês (seg a sex=22; sábados=4)</t>
  </si>
  <si>
    <t xml:space="preserve">Vale Transporte </t>
  </si>
  <si>
    <t>Valor Total</t>
  </si>
  <si>
    <t>Vale Refeição</t>
  </si>
  <si>
    <t>Participação do empregado (10% do valor ticket)</t>
  </si>
  <si>
    <t xml:space="preserve">Cesta básica </t>
  </si>
  <si>
    <t>Participação da empresa</t>
  </si>
  <si>
    <t>Seguro de Vida</t>
  </si>
  <si>
    <t>Plano de Assistência e cuidado Pessoal</t>
  </si>
  <si>
    <t>Transporte</t>
  </si>
  <si>
    <t>Outros</t>
  </si>
  <si>
    <t>Valor da passagem</t>
  </si>
  <si>
    <t xml:space="preserve">TOTAL </t>
  </si>
  <si>
    <t>N° passagens/ dia</t>
  </si>
  <si>
    <t>N° de dias trabalhados/mês</t>
  </si>
  <si>
    <t>a) O valor informado deverá ser o custo real do benefício (descontado o valor eventualmente pago pelo empregado).</t>
  </si>
  <si>
    <t>Valor total das passagens</t>
  </si>
  <si>
    <t>b) Vale Transporte - deduzida cota parte do trabalhador (6% do salário-base), conforme Lei 7.418/1985 e Lei 7.619/87, regulamentada pelo Decreto nº 95.247/1987</t>
  </si>
  <si>
    <t>Participação do empregado (6% sobre Salário-Base)</t>
  </si>
  <si>
    <t>c) Foi utilizado o valor da passagem do transporte coletivo em Belém/PA (R$ 4,00)</t>
  </si>
  <si>
    <t>Quadro-Resumo do Módulo 2 - Encargos e Benefícios anuais, mensais e diários</t>
  </si>
  <si>
    <t xml:space="preserve">Valor - R$ </t>
  </si>
  <si>
    <t>13º (décimo terceiro) Salário, Férias e Adicional de Férias</t>
  </si>
  <si>
    <t>Encargos Previdenciários (GPS), Fundo de Garantia por Tempo de Serviço (FGTS) e outras contribuições.</t>
  </si>
  <si>
    <t>Benefícios Mensais e Diários.</t>
  </si>
  <si>
    <t>TOTAL MÓDULO 2 - ENCARGOS E BENEFÍCIOS</t>
  </si>
  <si>
    <t>MÓDULO 3 - PROVISÃO DE RESCISÃO</t>
  </si>
  <si>
    <r>
      <t>Base de cálculo do AP Indenizado</t>
    </r>
    <r>
      <rPr>
        <b/>
        <sz val="11"/>
        <color rgb="FFFF0000"/>
        <rFont val="Calibri"/>
        <family val="2"/>
        <scheme val="minor"/>
      </rPr>
      <t xml:space="preserve"> ((M1+M2)-(Letras A+B+C+D+E+F+G do SM2.2))</t>
    </r>
    <r>
      <rPr>
        <b/>
        <sz val="11"/>
        <color theme="1"/>
        <rFont val="Calibri"/>
        <family val="2"/>
        <scheme val="minor"/>
      </rPr>
      <t>:</t>
    </r>
  </si>
  <si>
    <r>
      <t xml:space="preserve">Base de cálculo do AP Trabalho </t>
    </r>
    <r>
      <rPr>
        <b/>
        <sz val="11"/>
        <color rgb="FFFF0000"/>
        <rFont val="Calibri"/>
        <family val="2"/>
        <scheme val="minor"/>
      </rPr>
      <t>(M1+M2)</t>
    </r>
    <r>
      <rPr>
        <b/>
        <sz val="11"/>
        <color theme="1"/>
        <rFont val="Calibri"/>
        <family val="2"/>
        <scheme val="minor"/>
      </rPr>
      <t>:</t>
    </r>
  </si>
  <si>
    <t>%</t>
  </si>
  <si>
    <t>R$</t>
  </si>
  <si>
    <t>Aviso Prévio Indenizado</t>
  </si>
  <si>
    <t>Incidência do FGTS sobre Aviso Prévio Indenizado</t>
  </si>
  <si>
    <t>Multa do FGTS sobre o Aviso Prévio Indenizado</t>
  </si>
  <si>
    <t xml:space="preserve">Aviso Prévio Trabalhado </t>
  </si>
  <si>
    <t>Incidência do Sub-Módulo 2.2 - Sobre o Aviso Previo Trabalhado</t>
  </si>
  <si>
    <t>Multa do FGTS sobre o Aviso Prévio Trabalhado</t>
  </si>
  <si>
    <t>a) Cerca de 5% do pessoal é demitido pelo empregador, antes do término do contrato de trabalho (Acordão TCU 6771/2009 - Primeira Câmara).</t>
  </si>
  <si>
    <t>b) Índice do aviso prévio indenizado é de 0,42%, conforme Acordão TCU 6771/2009 e 1507/2018, ambos da Primeira Câmara. No caso de renovação contratual, utilizar o percentual de 0,042% referente aos 3 dias de aviso acrescidos por ano (Lei 12.506/2011).</t>
  </si>
  <si>
    <t>c) Utilizou-se a retenção de 4% (com ponderação de 50%) a título de multa sobre o FGTS sobre o aviso prévio indenizado e sobre o aviso prévio trabalhado, conforme orientação da SEGES/MPDG.</t>
  </si>
  <si>
    <t>MÓDULO 4 - CUSTO DE REPOSIÇÃO DO PROFISSIONAL AUSENTE</t>
  </si>
  <si>
    <t>a) Os itens que contemplam o módulo 4 se referem ao custo dos dias trabalhados pelo repositor/substituto, quando o empregado alocado na prestação de serviço estiver ausente, conforme as previsões estabelecidas na legislação.</t>
  </si>
  <si>
    <t>Submódulo 4.1 - Ausências Legais</t>
  </si>
  <si>
    <r>
      <t xml:space="preserve">Base de cálculo das Ausências Legais </t>
    </r>
    <r>
      <rPr>
        <b/>
        <sz val="11"/>
        <color rgb="FFFF0000"/>
        <rFont val="Calibri"/>
        <family val="2"/>
        <scheme val="minor"/>
      </rPr>
      <t>(M1+M2+M3)</t>
    </r>
    <r>
      <rPr>
        <b/>
        <sz val="11"/>
        <color rgb="FF000000"/>
        <rFont val="Calibri"/>
        <family val="2"/>
        <scheme val="minor"/>
      </rPr>
      <t>:</t>
    </r>
  </si>
  <si>
    <t>4.1</t>
  </si>
  <si>
    <t>Férias</t>
  </si>
  <si>
    <t xml:space="preserve">AusênciasLegais </t>
  </si>
  <si>
    <t>Ausência por acidente do trabalho</t>
  </si>
  <si>
    <t>Licença Paternidade</t>
  </si>
  <si>
    <t>Afastamento Maternidade</t>
  </si>
  <si>
    <t>Auxílio Doença</t>
  </si>
  <si>
    <t>Outros (especificar)</t>
  </si>
  <si>
    <t>Total Submódulo 4.1</t>
  </si>
  <si>
    <t>a) Férias - previstas no art. 7º, XVII, da Constituição Federal e no art. 129 da CLT;</t>
  </si>
  <si>
    <t>b) Ausência Legal - prevista no art. 473 CLT (2 dias consecutivos - falecimento de cônjuge, ascendente, descendente, irmão ou pessoa economicamente dependente; 3 dias consecutivos - casamento; 1 dia a cada 12 meses de trabalho - doação de sangue; os dias que comparecer em juízo; até 2 dias - acompanhamento de consultas médicas e exames complementares durante a gravidez da esposa/companheira; 1 dia - acompanhamento do filho de até 6 anos em consulta médica);</t>
  </si>
  <si>
    <t>d) Acidente de Trabalho - prevista no §2º, do art. 43, da Lei 8.213/1991 (durante os primeiros quinze dias de afastamento da atividade por motivo de invalidez, caberá à empresa pagar ao segurado empregado o salário);</t>
  </si>
  <si>
    <t>f) Afastamento Paternidade - previsto no inciso II, do art. 1º, da Lei nº 11770/2008 (prorroga a duração da licença-paternidade por mais 15 dias, além dos 5 dias estabelecidos no §1º do art. 10, do ADCT);</t>
  </si>
  <si>
    <t>h) Afastamento Maternidade - previsto no inciso I do art. 1º, da Lei nº 11.770/2008 (prorroga por 60 dias a duração da licença-maternidade prevista no inciso XVIII, do art. 7º, da Constituição Federal).</t>
  </si>
  <si>
    <t>Submódulo 4.2 - Intrajornada</t>
  </si>
  <si>
    <t>4.2</t>
  </si>
  <si>
    <t xml:space="preserve">Intrajornada </t>
  </si>
  <si>
    <t>Total Submódulo 4.2</t>
  </si>
  <si>
    <t>Quadro-Resumo do Módulo 4 - Custo de Reposição do Profissional Ausente</t>
  </si>
  <si>
    <t>Ausências Legais</t>
  </si>
  <si>
    <t>TOTAL MÓDULO 4 - CUSTO DE REPOSIÇÃO DO PROFISSIONAL AUSENTE</t>
  </si>
  <si>
    <t>MÓDULO 5 - INSUMOS DE MÃO DE OBRA (Uniformes, Materiais, Equipamentos e Outros)</t>
  </si>
  <si>
    <t xml:space="preserve">Uniformes </t>
  </si>
  <si>
    <t>Materiais e insumos</t>
  </si>
  <si>
    <t>Equipamentos</t>
  </si>
  <si>
    <t>EPI's e EPC's</t>
  </si>
  <si>
    <t>Outros (Especificar)</t>
  </si>
  <si>
    <t>TOTAL MÓDULO 5 - INSUMOS DIVERSOS</t>
  </si>
  <si>
    <t>a) Para formação dos preços foram utilizados os parâmetros descritos nos incisos I e III, do art. 2º da IN MPDG nº 05/2014 - Relatório de Painel de Preços e Pesquisa em Mídia Especializada (sites de domínio amplo ou especializado)</t>
  </si>
  <si>
    <t>b) As empresas fornecerão fardamentos, de acordo com as exigências legais.</t>
  </si>
  <si>
    <t>c) A metodologia utilizada foi a média com a exclusão das propostas inexequíveis ou excessivamente elevadas por meio do método do desvio padrão.</t>
  </si>
  <si>
    <t>MÓDULO 6 - CUSTOS INDIRETOS, TRIBUTOS E LUCRO</t>
  </si>
  <si>
    <r>
      <t xml:space="preserve">Base de cálculo dos custos indiretos </t>
    </r>
    <r>
      <rPr>
        <sz val="11"/>
        <color rgb="FFFF0000"/>
        <rFont val="Calibri"/>
        <family val="2"/>
        <scheme val="minor"/>
      </rPr>
      <t>(BCCI = M1+M2+M3+M4+M5)</t>
    </r>
  </si>
  <si>
    <r>
      <t xml:space="preserve">Base de cálculo do lucro </t>
    </r>
    <r>
      <rPr>
        <sz val="11"/>
        <color rgb="FFFF0000"/>
        <rFont val="Calibri"/>
        <family val="2"/>
        <scheme val="minor"/>
      </rPr>
      <t>(BCL = BCCI+Custos Indiretos)</t>
    </r>
  </si>
  <si>
    <r>
      <t xml:space="preserve">Base de cálculo dos tributos </t>
    </r>
    <r>
      <rPr>
        <sz val="11"/>
        <color rgb="FFFF0000"/>
        <rFont val="Calibri"/>
        <family val="2"/>
        <scheme val="minor"/>
      </rPr>
      <t>(BCT = (BCL+Lucro)/((1-(Somatório da % de tributos)))</t>
    </r>
  </si>
  <si>
    <t>Custos Indiretos</t>
  </si>
  <si>
    <t>Lucro</t>
  </si>
  <si>
    <t>Tributos</t>
  </si>
  <si>
    <t>Sub-Itens</t>
  </si>
  <si>
    <t xml:space="preserve">C.1 : Tributos Federais </t>
  </si>
  <si>
    <t xml:space="preserve">C.1.1 : PIS </t>
  </si>
  <si>
    <t>C.1.2: COFINS</t>
  </si>
  <si>
    <t xml:space="preserve">C.2 : Tributos Estaduais (Especificar) </t>
  </si>
  <si>
    <t>C.3 : Tributos Municipais (ISS)</t>
  </si>
  <si>
    <t xml:space="preserve">C.4 : Outros Tributos (Especificar) </t>
  </si>
  <si>
    <t>TOTAL MÓDULO CITL</t>
  </si>
  <si>
    <t>a) O Imposto Sobre Serviço de Qualquer Natureza (ISSQN) é um imposto devido anualmente sobre a prestação dos serviços constantes de lista específica (Art. 21 da Lei 7.056/77), ainda que tais serviços não se constituam como atividade preponderante do prestador. A alíquota do ISS utilizada em Belém é de 5%.</t>
  </si>
  <si>
    <t>b) O valor referente a tributos é obtido aplicando-se o percentual sobre o valor do faturamento.</t>
  </si>
  <si>
    <t>2. QUADRO-RESUMO DO CUSTO POR EMPREGADO</t>
  </si>
  <si>
    <t>Mão de obra vinculada à execução contratual (valor por empregado)</t>
  </si>
  <si>
    <t>Módulo 1 - Composição da Remuneração</t>
  </si>
  <si>
    <t>Módulo 2 - Encargos e Benefícios Anuais, Mensais e Diários</t>
  </si>
  <si>
    <t>Módulo 3 - Provisão para Rescisão</t>
  </si>
  <si>
    <t>Módulo 4 - Custo de Reposição do Profissional Ausente</t>
  </si>
  <si>
    <t>Módulo 5 - Insumos Diversos</t>
  </si>
  <si>
    <t>Subtotal ( A + B + C + D + E )</t>
  </si>
  <si>
    <t>Módulo 6 – Custos Indiretos, Tributos e Lucro</t>
  </si>
  <si>
    <t>Valor Total por Empregado</t>
  </si>
  <si>
    <t>Quantidade de empregados previstos na licitação</t>
  </si>
  <si>
    <t>Valor mensal</t>
  </si>
  <si>
    <t>Valor Anual</t>
  </si>
  <si>
    <t>0%</t>
  </si>
  <si>
    <t>C) O valor do adicional de insalubridade e/ou periculosidade será incorporados no contrato, por meio de aditivo, caso seja determinado no Laudo Técno. É obrigação da Contratada a elaboração do Laudo Técnico das Condições Ambientais no Trabalho – LTCAT, Programa de Prevenção De Riscos Ambientais – PPRA e Elaboração, Coordenação e Assessoria do Programa de Controle Médico da Saúde Ocupacional – PCMSO, conforme Normas Regulamentadoras – NR15, NR 9, NR-7 e/ou outras vigentes, com base no risco que a atividade desenvolvida possa provocar à saúde dos seus empregados.</t>
  </si>
  <si>
    <t>Adicional de Férias</t>
  </si>
  <si>
    <t>Substituto na cobertura de Intervalo para repouso ou alimentação</t>
  </si>
  <si>
    <t>Substituto nas Ausências Legais</t>
  </si>
  <si>
    <t xml:space="preserve">Substituto na Intrajornada </t>
  </si>
  <si>
    <t>d) Para o cálculo dos valores remunerátório foi adotada a Convenção Coletiva de Trabalho MTE nº PA000192/2023</t>
  </si>
  <si>
    <t>Valor do ticket (seg a sex =R$25,00)</t>
  </si>
  <si>
    <t>Qde. Ticket/mês (seg a sex=22)</t>
  </si>
  <si>
    <t>RESUMO - VALOR TOTAL DOS GRUPOS</t>
  </si>
  <si>
    <t>Validade da
Proposta</t>
  </si>
  <si>
    <t>TIPO DE SERVIÇO (por metragem)</t>
  </si>
  <si>
    <t>Quantidade
(A)</t>
  </si>
  <si>
    <t>Valor Unitário
(B)</t>
  </si>
  <si>
    <t>Valor Mensal
(A x B)</t>
  </si>
  <si>
    <t>Valor Anual
(V.Mensal x 12)</t>
  </si>
  <si>
    <t>Área Interna - Pisos frios</t>
  </si>
  <si>
    <t>m2</t>
  </si>
  <si>
    <t>Área Interna - Laboratórios</t>
  </si>
  <si>
    <t>Área Interna - Almoxarifados/galpões</t>
  </si>
  <si>
    <t>Área Interna - Oficinas</t>
  </si>
  <si>
    <t>Área Interna - Áreas com espaços livres</t>
  </si>
  <si>
    <t>Área Interna - Banheiros</t>
  </si>
  <si>
    <t>Área Externa - Pisos pavimentados adjacentes/contíguos às edificações</t>
  </si>
  <si>
    <t>Área Externa - Varrição de passeios e arruamentos</t>
  </si>
  <si>
    <t>Área Externa - Pátios e áreas verdes</t>
  </si>
  <si>
    <t>Esquadria Externa - Face externa com exposição a situação de risco</t>
  </si>
  <si>
    <t>Esquadria Externa - Face externa sem exposição a situação de risco</t>
  </si>
  <si>
    <t>Esquadria Externa - Face interna</t>
  </si>
  <si>
    <t>Fachadas Envidraçadas -  Internas e Externas (portas de vidro e janelas)</t>
  </si>
  <si>
    <t>Serviço de Higienização Têxtil - Lavadeira</t>
  </si>
  <si>
    <t>Posto</t>
  </si>
  <si>
    <t>Serviço de Condução de Veículos - 
Condutor Carteira B</t>
  </si>
  <si>
    <t>Serviço de Condução de Veículos - 
Condutor Carteira D</t>
  </si>
  <si>
    <t>TOTAL DOS GRUPOS (R$)</t>
  </si>
  <si>
    <t xml:space="preserve">RESUMO </t>
  </si>
  <si>
    <t xml:space="preserve">ITEM </t>
  </si>
  <si>
    <t>DESCRITIVO</t>
  </si>
  <si>
    <t>Valor Mensal</t>
  </si>
  <si>
    <t>Serviços de limpeza e conservação de áreas prediais, internas e adjacentes, áreas externas, esquadrias externas (faces internas  e externas, com e sem exposição ao risco) - Por Metragem</t>
  </si>
  <si>
    <t>Serviço de Higienização Textil - Por Posto</t>
  </si>
  <si>
    <t>TOTAL GRUPO 1 (R$)</t>
  </si>
  <si>
    <t>Serviço de Condução de Veículos - Motorista Carteira B - Por posto</t>
  </si>
  <si>
    <t>Serviço de Condução de Veículos - Motorista Carteira D - Por posto</t>
  </si>
  <si>
    <t>TOTAL GRUPO 2 (R$)</t>
  </si>
  <si>
    <t>00/00/0000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</si>
</sst>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8" formatCode="&quot;R$&quot;\ #,##0.00;[Red]\-&quot;R$&quot;\ #,##0.00"/>
    <numFmt numFmtId="44" formatCode="_-&quot;R$&quot;\ * #,##0.00_-;\-&quot;R$&quot;\ * #,##0.00_-;_-&quot;R$&quot;\ * &quot;-&quot;??_-;_-@_-"/>
    <numFmt numFmtId="43" formatCode="_-* #,##0.00_-;\-* #,##0.00_-;_-* &quot;-&quot;??_-;_-@_-"/>
    <numFmt numFmtId="164" formatCode="_(&quot;R$ &quot;* #,##0.00_);_(&quot;R$ &quot;* \(#,##0.00\);_(&quot;R$ &quot;* &quot;-&quot;??_);_(@_)"/>
    <numFmt numFmtId="165" formatCode="_(* #,##0.00_);_(* \(#,##0.00\);_(* &quot;-&quot;??_);_(@_)"/>
    <numFmt numFmtId="166" formatCode="_-* #,##0.0000_-;\-* #,##0.0000_-;_-* &quot;-&quot;??_-;_-@_-"/>
    <numFmt numFmtId="167" formatCode="&quot; R$ &quot;#,##0.00\ ;&quot; R$ (&quot;#,##0.00\);&quot; R$ -&quot;#\ ;@\ "/>
    <numFmt numFmtId="168" formatCode="0.0000"/>
    <numFmt numFmtId="169" formatCode="#,##0.000000000"/>
    <numFmt numFmtId="170" formatCode="0.000000000"/>
    <numFmt numFmtId="171" formatCode="_-* #,##0.00_-;\-* #,##0.00_-;_-* &quot;-&quot;?????????_-;_-@_-"/>
    <numFmt numFmtId="172" formatCode="&quot;R$&quot;\ #,##0.00"/>
    <numFmt numFmtId="173" formatCode="[$-416]0%"/>
    <numFmt numFmtId="174" formatCode="0.000%"/>
    <numFmt numFmtId="175" formatCode="#,##0.00000000"/>
    <numFmt numFmtId="176" formatCode="0.0%"/>
    <numFmt numFmtId="177" formatCode="#,##0.00_ ;\-#,##0.00;&quot;-&quot;"/>
  </numFmts>
  <fonts count="51" x14ac:knownFonts="1">
    <font>
      <sz val="11"/>
      <color theme="1"/>
      <name val="Calibri"/>
      <family val="2"/>
      <scheme val="minor"/>
    </font>
    <font>
      <sz val="11"/>
      <color indexed="8"/>
      <name val="Calibri"/>
      <family val="2"/>
    </font>
    <font>
      <sz val="10"/>
      <name val="Arial"/>
      <family val="2"/>
    </font>
    <font>
      <sz val="11"/>
      <color theme="1"/>
      <name val="Calibri"/>
      <family val="2"/>
      <scheme val="minor"/>
    </font>
    <font>
      <b/>
      <sz val="10"/>
      <color theme="1"/>
      <name val="Arial"/>
      <family val="2"/>
    </font>
    <font>
      <sz val="10"/>
      <color theme="1"/>
      <name val="Arial"/>
      <family val="2"/>
    </font>
    <font>
      <b/>
      <sz val="12"/>
      <color theme="1"/>
      <name val="Calibri"/>
      <family val="2"/>
      <scheme val="minor"/>
    </font>
    <font>
      <b/>
      <sz val="11"/>
      <color theme="1"/>
      <name val="Calibri"/>
      <family val="2"/>
      <scheme val="minor"/>
    </font>
    <font>
      <b/>
      <sz val="11"/>
      <color theme="0"/>
      <name val="Calibri"/>
      <family val="2"/>
      <scheme val="minor"/>
    </font>
    <font>
      <sz val="11"/>
      <color theme="0"/>
      <name val="Calibri"/>
      <family val="2"/>
      <scheme val="minor"/>
    </font>
    <font>
      <b/>
      <sz val="14"/>
      <color theme="1"/>
      <name val="Calibri"/>
      <family val="2"/>
      <scheme val="minor"/>
    </font>
    <font>
      <b/>
      <sz val="11"/>
      <name val="Calibri"/>
      <family val="2"/>
      <scheme val="minor"/>
    </font>
    <font>
      <sz val="11"/>
      <name val="Calibri"/>
      <family val="2"/>
      <scheme val="minor"/>
    </font>
    <font>
      <sz val="10"/>
      <color rgb="FF000000"/>
      <name val="Arial"/>
      <family val="2"/>
      <charset val="1"/>
    </font>
    <font>
      <b/>
      <sz val="10"/>
      <color theme="1"/>
      <name val="Calibri"/>
      <family val="2"/>
      <scheme val="minor"/>
    </font>
    <font>
      <sz val="11"/>
      <color rgb="FFFF0000"/>
      <name val="Calibri"/>
      <family val="2"/>
      <scheme val="minor"/>
    </font>
    <font>
      <sz val="10"/>
      <name val="Calibri"/>
      <family val="2"/>
      <scheme val="minor"/>
    </font>
    <font>
      <b/>
      <sz val="14"/>
      <color indexed="8"/>
      <name val="Calibri"/>
      <family val="2"/>
      <scheme val="minor"/>
    </font>
    <font>
      <b/>
      <sz val="11"/>
      <color indexed="8"/>
      <name val="Calibri"/>
      <family val="2"/>
      <scheme val="minor"/>
    </font>
    <font>
      <b/>
      <sz val="12"/>
      <color indexed="8"/>
      <name val="Calibri"/>
      <family val="2"/>
      <scheme val="minor"/>
    </font>
    <font>
      <sz val="11"/>
      <color indexed="8"/>
      <name val="Calibri"/>
      <family val="2"/>
      <scheme val="minor"/>
    </font>
    <font>
      <b/>
      <sz val="12"/>
      <color theme="0"/>
      <name val="Calibri"/>
      <family val="2"/>
      <scheme val="minor"/>
    </font>
    <font>
      <b/>
      <sz val="11"/>
      <color theme="0"/>
      <name val="Arial"/>
      <family val="2"/>
    </font>
    <font>
      <sz val="11"/>
      <color rgb="FF000000"/>
      <name val="Calibri"/>
      <family val="2"/>
    </font>
    <font>
      <b/>
      <sz val="12"/>
      <name val="Calibri"/>
      <family val="2"/>
      <scheme val="minor"/>
    </font>
    <font>
      <sz val="12"/>
      <color theme="1"/>
      <name val="Calibri"/>
      <family val="2"/>
      <scheme val="minor"/>
    </font>
    <font>
      <sz val="10"/>
      <color theme="1"/>
      <name val="Calibri"/>
      <family val="2"/>
      <scheme val="minor"/>
    </font>
    <font>
      <sz val="10"/>
      <color theme="0"/>
      <name val="Calibri"/>
      <family val="2"/>
      <scheme val="minor"/>
    </font>
    <font>
      <sz val="12"/>
      <color theme="0"/>
      <name val="Calibri"/>
      <family val="2"/>
      <scheme val="minor"/>
    </font>
    <font>
      <sz val="8"/>
      <color theme="1"/>
      <name val="Calibri"/>
      <family val="2"/>
      <scheme val="minor"/>
    </font>
    <font>
      <sz val="11"/>
      <color rgb="FF404040"/>
      <name val="Calibri"/>
      <family val="2"/>
      <scheme val="minor"/>
    </font>
    <font>
      <sz val="11"/>
      <color rgb="FF000000"/>
      <name val="Calibri"/>
      <family val="2"/>
      <scheme val="minor"/>
    </font>
    <font>
      <b/>
      <sz val="11"/>
      <color rgb="FF000000"/>
      <name val="Calibri"/>
      <family val="2"/>
      <scheme val="minor"/>
    </font>
    <font>
      <sz val="12"/>
      <name val="Calibri"/>
      <family val="2"/>
      <scheme val="minor"/>
    </font>
    <font>
      <b/>
      <sz val="12"/>
      <color rgb="FFFF0000"/>
      <name val="Calibri"/>
      <family val="2"/>
      <scheme val="minor"/>
    </font>
    <font>
      <b/>
      <sz val="11"/>
      <color rgb="FFFF0000"/>
      <name val="Calibri"/>
      <family val="2"/>
      <scheme val="minor"/>
    </font>
    <font>
      <b/>
      <sz val="10"/>
      <color indexed="81"/>
      <name val="Segoe UI"/>
      <family val="2"/>
    </font>
    <font>
      <sz val="10"/>
      <color indexed="81"/>
      <name val="Segoe UI"/>
      <family val="2"/>
    </font>
    <font>
      <sz val="10"/>
      <color indexed="8"/>
      <name val="Calibri"/>
      <family val="2"/>
      <scheme val="minor"/>
    </font>
    <font>
      <b/>
      <sz val="10"/>
      <color indexed="8"/>
      <name val="Calibri"/>
      <family val="2"/>
      <scheme val="minor"/>
    </font>
    <font>
      <sz val="12"/>
      <color indexed="8"/>
      <name val="Calibri"/>
      <family val="2"/>
      <scheme val="minor"/>
    </font>
    <font>
      <b/>
      <sz val="16"/>
      <color theme="1"/>
      <name val="Calibri"/>
      <family val="2"/>
      <scheme val="minor"/>
    </font>
    <font>
      <b/>
      <sz val="10"/>
      <color theme="0"/>
      <name val="Calibri"/>
      <family val="2"/>
      <scheme val="minor"/>
    </font>
    <font>
      <b/>
      <sz val="12"/>
      <color rgb="FF003300"/>
      <name val="Calibri"/>
      <family val="2"/>
      <scheme val="minor"/>
    </font>
    <font>
      <sz val="9"/>
      <color rgb="FFFF0000"/>
      <name val="Arial"/>
      <family val="2"/>
    </font>
    <font>
      <b/>
      <sz val="14"/>
      <name val="Calibri"/>
      <family val="2"/>
      <scheme val="minor"/>
    </font>
    <font>
      <b/>
      <sz val="16"/>
      <name val="Calibri"/>
      <family val="2"/>
      <scheme val="minor"/>
    </font>
    <font>
      <b/>
      <sz val="10"/>
      <name val="Calibri"/>
      <family val="2"/>
      <scheme val="minor"/>
    </font>
    <font>
      <b/>
      <sz val="11"/>
      <color rgb="FFFFFFFF"/>
      <name val="Calibri"/>
      <family val="2"/>
      <scheme val="minor"/>
    </font>
    <font>
      <sz val="8"/>
      <color rgb="FF000000"/>
      <name val="Calibri"/>
      <family val="2"/>
      <scheme val="minor"/>
    </font>
    <font>
      <u/>
      <sz val="8"/>
      <color rgb="FF000000"/>
      <name val="Calibri"/>
      <family val="2"/>
      <scheme val="minor"/>
    </font>
  </fonts>
  <fills count="22">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rgb="FFFFFF00"/>
        <bgColor indexed="64"/>
      </patternFill>
    </fill>
    <fill>
      <patternFill patternType="solid">
        <fgColor theme="6" tint="-0.249977111117893"/>
        <bgColor indexed="64"/>
      </patternFill>
    </fill>
    <fill>
      <patternFill patternType="solid">
        <fgColor theme="6" tint="0.39997558519241921"/>
        <bgColor indexed="64"/>
      </patternFill>
    </fill>
    <fill>
      <patternFill patternType="solid">
        <fgColor theme="6" tint="-0.499984740745262"/>
        <bgColor indexed="64"/>
      </patternFill>
    </fill>
    <fill>
      <patternFill patternType="solid">
        <fgColor rgb="FF92D050"/>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003300"/>
        <bgColor indexed="64"/>
      </patternFill>
    </fill>
    <fill>
      <patternFill patternType="solid">
        <fgColor rgb="FF003300"/>
        <bgColor rgb="FFE7E6E6"/>
      </patternFill>
    </fill>
    <fill>
      <patternFill patternType="solid">
        <fgColor rgb="FFF4F7ED"/>
        <bgColor indexed="64"/>
      </patternFill>
    </fill>
    <fill>
      <patternFill patternType="solid">
        <fgColor rgb="FFFFFFFF"/>
        <bgColor indexed="64"/>
      </patternFill>
    </fill>
    <fill>
      <patternFill patternType="solid">
        <fgColor rgb="FFEAF1DD"/>
        <bgColor indexed="64"/>
      </patternFill>
    </fill>
    <fill>
      <patternFill patternType="solid">
        <fgColor rgb="FFEDF2E2"/>
        <bgColor indexed="64"/>
      </patternFill>
    </fill>
    <fill>
      <patternFill patternType="solid">
        <fgColor rgb="FF003300"/>
        <bgColor rgb="FF000000"/>
      </patternFill>
    </fill>
    <fill>
      <patternFill patternType="solid">
        <fgColor rgb="FFEBF1DE"/>
        <bgColor rgb="FF000000"/>
      </patternFill>
    </fill>
    <fill>
      <patternFill patternType="solid">
        <fgColor rgb="FFFFFF00"/>
        <bgColor rgb="FF000000"/>
      </patternFill>
    </fill>
    <fill>
      <patternFill patternType="solid">
        <fgColor rgb="FFFFFFFF"/>
        <bgColor rgb="FF000000"/>
      </patternFill>
    </fill>
  </fills>
  <borders count="68">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right/>
      <top style="medium">
        <color indexed="64"/>
      </top>
      <bottom style="medium">
        <color indexed="64"/>
      </bottom>
      <diagonal/>
    </border>
    <border>
      <left/>
      <right/>
      <top style="medium">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auto="1"/>
      </left>
      <right style="thin">
        <color auto="1"/>
      </right>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medium">
        <color rgb="FFCCCCCC"/>
      </left>
      <right/>
      <top/>
      <bottom/>
      <diagonal/>
    </border>
    <border>
      <left/>
      <right/>
      <top/>
      <bottom style="thin">
        <color rgb="FF000000"/>
      </bottom>
      <diagonal/>
    </border>
    <border>
      <left/>
      <right/>
      <top/>
      <bottom style="thin">
        <color theme="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Dashed">
        <color rgb="FF3333FF"/>
      </left>
      <right/>
      <top style="mediumDashed">
        <color rgb="FF3333FF"/>
      </top>
      <bottom style="mediumDashed">
        <color rgb="FF3333FF"/>
      </bottom>
      <diagonal/>
    </border>
    <border>
      <left/>
      <right/>
      <top style="mediumDashed">
        <color rgb="FF3333FF"/>
      </top>
      <bottom style="mediumDashed">
        <color rgb="FF3333FF"/>
      </bottom>
      <diagonal/>
    </border>
    <border>
      <left/>
      <right style="mediumDashed">
        <color rgb="FF3333FF"/>
      </right>
      <top style="mediumDashed">
        <color rgb="FF3333FF"/>
      </top>
      <bottom style="mediumDashed">
        <color rgb="FF3333FF"/>
      </bottom>
      <diagonal/>
    </border>
    <border>
      <left/>
      <right style="thin">
        <color indexed="64"/>
      </right>
      <top style="thin">
        <color indexed="64"/>
      </top>
      <bottom/>
      <diagonal/>
    </border>
    <border>
      <left/>
      <right style="thin">
        <color indexed="64"/>
      </right>
      <top/>
      <bottom style="thin">
        <color indexed="64"/>
      </bottom>
      <diagonal/>
    </border>
  </borders>
  <cellStyleXfs count="17">
    <xf numFmtId="0" fontId="0" fillId="0" borderId="0"/>
    <xf numFmtId="164" fontId="1" fillId="0" borderId="0" applyFont="0" applyFill="0" applyBorder="0" applyAlignment="0" applyProtection="0"/>
    <xf numFmtId="43" fontId="1" fillId="0" borderId="0" applyFont="0" applyFill="0" applyBorder="0" applyAlignment="0" applyProtection="0"/>
    <xf numFmtId="0" fontId="2" fillId="0" borderId="0"/>
    <xf numFmtId="165" fontId="2" fillId="0" borderId="0" applyFont="0" applyFill="0" applyBorder="0" applyAlignment="0" applyProtection="0"/>
    <xf numFmtId="44" fontId="3" fillId="0" borderId="0" applyFont="0" applyFill="0" applyBorder="0" applyAlignment="0" applyProtection="0"/>
    <xf numFmtId="43" fontId="3" fillId="0" borderId="0" applyFont="0" applyFill="0" applyBorder="0" applyAlignment="0" applyProtection="0"/>
    <xf numFmtId="9" fontId="3" fillId="0" borderId="0" applyFont="0" applyFill="0" applyBorder="0" applyAlignment="0" applyProtection="0"/>
    <xf numFmtId="167" fontId="2" fillId="0" borderId="0" applyBorder="0" applyAlignment="0" applyProtection="0"/>
    <xf numFmtId="43" fontId="1" fillId="0" borderId="0" applyFont="0" applyFill="0" applyBorder="0" applyAlignment="0" applyProtection="0"/>
    <xf numFmtId="43" fontId="2" fillId="0" borderId="0" applyFont="0" applyFill="0" applyBorder="0" applyAlignment="0" applyProtection="0"/>
    <xf numFmtId="44" fontId="3" fillId="0" borderId="0" applyFont="0" applyFill="0" applyBorder="0" applyAlignment="0" applyProtection="0"/>
    <xf numFmtId="43" fontId="3" fillId="0" borderId="0" applyFont="0" applyFill="0" applyBorder="0" applyAlignment="0" applyProtection="0"/>
    <xf numFmtId="0" fontId="13" fillId="0" borderId="0"/>
    <xf numFmtId="167" fontId="13" fillId="0" borderId="0" applyBorder="0" applyProtection="0"/>
    <xf numFmtId="173" fontId="23" fillId="0" borderId="0" applyFont="0" applyBorder="0" applyProtection="0"/>
    <xf numFmtId="43" fontId="1" fillId="0" borderId="0" applyFont="0" applyFill="0" applyBorder="0" applyAlignment="0" applyProtection="0"/>
  </cellStyleXfs>
  <cellXfs count="826">
    <xf numFmtId="0" fontId="0" fillId="0" borderId="0" xfId="0"/>
    <xf numFmtId="0" fontId="7" fillId="0" borderId="0" xfId="0" applyFont="1" applyAlignment="1">
      <alignment horizontal="right"/>
    </xf>
    <xf numFmtId="0" fontId="10" fillId="0" borderId="0" xfId="0" applyFont="1"/>
    <xf numFmtId="0" fontId="3" fillId="0" borderId="0" xfId="0" applyFont="1"/>
    <xf numFmtId="0" fontId="3" fillId="0" borderId="0" xfId="0" applyFont="1" applyAlignment="1">
      <alignment horizontal="center"/>
    </xf>
    <xf numFmtId="4" fontId="18" fillId="0" borderId="11" xfId="0" applyNumberFormat="1" applyFont="1" applyBorder="1" applyAlignment="1">
      <alignment horizontal="center"/>
    </xf>
    <xf numFmtId="0" fontId="3" fillId="0" borderId="11" xfId="0" applyFont="1" applyBorder="1" applyAlignment="1">
      <alignment horizontal="center"/>
    </xf>
    <xf numFmtId="164" fontId="20" fillId="0" borderId="11" xfId="1" applyFont="1" applyBorder="1"/>
    <xf numFmtId="49" fontId="20" fillId="0" borderId="11" xfId="2" applyNumberFormat="1" applyFont="1" applyBorder="1" applyAlignment="1">
      <alignment horizontal="center"/>
    </xf>
    <xf numFmtId="164" fontId="3" fillId="0" borderId="11" xfId="1" applyFont="1" applyBorder="1" applyAlignment="1">
      <alignment horizontal="center" vertical="center"/>
    </xf>
    <xf numFmtId="0" fontId="3" fillId="0" borderId="11" xfId="0" applyFont="1" applyBorder="1" applyAlignment="1">
      <alignment horizontal="center" vertical="center"/>
    </xf>
    <xf numFmtId="164" fontId="3" fillId="0" borderId="11" xfId="1" applyFont="1" applyBorder="1"/>
    <xf numFmtId="0" fontId="9" fillId="2" borderId="0" xfId="0" applyFont="1" applyFill="1"/>
    <xf numFmtId="4" fontId="3" fillId="0" borderId="0" xfId="0" applyNumberFormat="1" applyFont="1"/>
    <xf numFmtId="0" fontId="8" fillId="2" borderId="0" xfId="0" applyFont="1" applyFill="1" applyAlignment="1">
      <alignment horizontal="center"/>
    </xf>
    <xf numFmtId="43" fontId="3" fillId="0" borderId="0" xfId="0" applyNumberFormat="1" applyFont="1"/>
    <xf numFmtId="10" fontId="3" fillId="0" borderId="11" xfId="0" applyNumberFormat="1" applyFont="1" applyBorder="1" applyAlignment="1">
      <alignment horizontal="center"/>
    </xf>
    <xf numFmtId="0" fontId="3" fillId="2" borderId="11" xfId="0" applyFont="1" applyFill="1" applyBorder="1" applyAlignment="1">
      <alignment horizontal="center"/>
    </xf>
    <xf numFmtId="4" fontId="7" fillId="0" borderId="11" xfId="0" applyNumberFormat="1" applyFont="1" applyBorder="1" applyAlignment="1">
      <alignment horizontal="center"/>
    </xf>
    <xf numFmtId="0" fontId="19" fillId="0" borderId="0" xfId="0" applyFont="1" applyAlignment="1">
      <alignment horizontal="center"/>
    </xf>
    <xf numFmtId="10" fontId="7" fillId="3" borderId="11" xfId="0" applyNumberFormat="1" applyFont="1" applyFill="1" applyBorder="1" applyAlignment="1">
      <alignment horizontal="center"/>
    </xf>
    <xf numFmtId="164" fontId="3" fillId="0" borderId="11" xfId="1" applyFont="1" applyFill="1" applyBorder="1"/>
    <xf numFmtId="164" fontId="7" fillId="0" borderId="0" xfId="1" applyFont="1"/>
    <xf numFmtId="164" fontId="3" fillId="0" borderId="0" xfId="0" applyNumberFormat="1" applyFont="1"/>
    <xf numFmtId="0" fontId="15" fillId="0" borderId="0" xfId="0" applyFont="1"/>
    <xf numFmtId="10" fontId="11" fillId="0" borderId="11" xfId="0" applyNumberFormat="1" applyFont="1" applyBorder="1" applyAlignment="1">
      <alignment horizontal="center"/>
    </xf>
    <xf numFmtId="164" fontId="12" fillId="0" borderId="11" xfId="1" applyFont="1" applyBorder="1" applyAlignment="1">
      <alignment horizontal="center"/>
    </xf>
    <xf numFmtId="0" fontId="11" fillId="0" borderId="11" xfId="0" applyFont="1" applyBorder="1" applyAlignment="1">
      <alignment horizontal="center" vertical="center"/>
    </xf>
    <xf numFmtId="164" fontId="12" fillId="0" borderId="11" xfId="1" applyFont="1" applyBorder="1"/>
    <xf numFmtId="166" fontId="3" fillId="0" borderId="0" xfId="0" applyNumberFormat="1" applyFont="1"/>
    <xf numFmtId="49" fontId="12" fillId="0" borderId="11" xfId="2" applyNumberFormat="1" applyFont="1" applyBorder="1" applyAlignment="1">
      <alignment horizontal="center"/>
    </xf>
    <xf numFmtId="164" fontId="18" fillId="9" borderId="11" xfId="1" applyFont="1" applyFill="1" applyBorder="1"/>
    <xf numFmtId="164" fontId="7" fillId="3" borderId="11" xfId="1" applyFont="1" applyFill="1" applyBorder="1"/>
    <xf numFmtId="164" fontId="7" fillId="9" borderId="11" xfId="1" applyFont="1" applyFill="1" applyBorder="1"/>
    <xf numFmtId="10" fontId="18" fillId="3" borderId="11" xfId="2" applyNumberFormat="1" applyFont="1" applyFill="1" applyBorder="1" applyAlignment="1">
      <alignment horizontal="center"/>
    </xf>
    <xf numFmtId="0" fontId="7" fillId="0" borderId="0" xfId="0" applyFont="1" applyAlignment="1">
      <alignment horizontal="center"/>
    </xf>
    <xf numFmtId="0" fontId="16" fillId="0" borderId="0" xfId="3" applyFont="1" applyAlignment="1">
      <alignment horizontal="center"/>
    </xf>
    <xf numFmtId="0" fontId="18" fillId="0" borderId="0" xfId="0" applyFont="1" applyAlignment="1">
      <alignment horizontal="center"/>
    </xf>
    <xf numFmtId="0" fontId="7" fillId="0" borderId="11" xfId="0" applyFont="1" applyBorder="1" applyAlignment="1">
      <alignment horizontal="center"/>
    </xf>
    <xf numFmtId="0" fontId="12" fillId="0" borderId="11" xfId="0" applyFont="1" applyBorder="1" applyAlignment="1">
      <alignment horizontal="left"/>
    </xf>
    <xf numFmtId="0" fontId="11" fillId="0" borderId="11" xfId="0" applyFont="1" applyBorder="1" applyAlignment="1">
      <alignment horizontal="center"/>
    </xf>
    <xf numFmtId="49" fontId="0" fillId="0" borderId="11" xfId="0" applyNumberFormat="1" applyBorder="1" applyAlignment="1" applyProtection="1">
      <alignment horizontal="center"/>
      <protection locked="0"/>
    </xf>
    <xf numFmtId="164" fontId="3" fillId="0" borderId="11" xfId="1" applyFont="1" applyBorder="1" applyAlignment="1" applyProtection="1">
      <alignment horizontal="center" vertical="center"/>
      <protection locked="0"/>
    </xf>
    <xf numFmtId="0" fontId="0" fillId="0" borderId="11" xfId="0" applyBorder="1" applyAlignment="1">
      <alignment horizontal="center"/>
    </xf>
    <xf numFmtId="0" fontId="7" fillId="3" borderId="11" xfId="0" applyFont="1" applyFill="1" applyBorder="1" applyAlignment="1">
      <alignment horizontal="center"/>
    </xf>
    <xf numFmtId="0" fontId="0" fillId="0" borderId="0" xfId="0" applyAlignment="1">
      <alignment horizontal="center"/>
    </xf>
    <xf numFmtId="0" fontId="6" fillId="0" borderId="0" xfId="0" applyFont="1" applyAlignment="1">
      <alignment horizontal="left" vertical="center" wrapText="1"/>
    </xf>
    <xf numFmtId="0" fontId="25" fillId="0" borderId="0" xfId="0" applyFont="1"/>
    <xf numFmtId="0" fontId="25" fillId="0" borderId="0" xfId="0" applyFont="1" applyAlignment="1">
      <alignment horizontal="right" vertical="center"/>
    </xf>
    <xf numFmtId="0" fontId="7" fillId="0" borderId="0" xfId="0" applyFont="1" applyAlignment="1">
      <alignment horizontal="center" vertical="center"/>
    </xf>
    <xf numFmtId="0" fontId="12" fillId="0" borderId="11" xfId="0" applyFont="1" applyBorder="1" applyAlignment="1">
      <alignment horizontal="center" vertical="center"/>
    </xf>
    <xf numFmtId="0" fontId="0" fillId="0" borderId="11" xfId="0" applyBorder="1" applyAlignment="1">
      <alignment vertical="center" wrapText="1"/>
    </xf>
    <xf numFmtId="43" fontId="0" fillId="0" borderId="11" xfId="2" applyFont="1" applyBorder="1" applyAlignment="1">
      <alignment horizontal="center" vertical="center"/>
    </xf>
    <xf numFmtId="0" fontId="0" fillId="0" borderId="11" xfId="0" applyBorder="1" applyAlignment="1">
      <alignment horizontal="center" vertical="center"/>
    </xf>
    <xf numFmtId="0" fontId="12" fillId="0" borderId="11" xfId="0" applyFont="1" applyBorder="1" applyAlignment="1">
      <alignment horizontal="center" vertical="center" wrapText="1"/>
    </xf>
    <xf numFmtId="0" fontId="0" fillId="0" borderId="11" xfId="0" applyBorder="1" applyAlignment="1">
      <alignment vertical="center"/>
    </xf>
    <xf numFmtId="0" fontId="0" fillId="0" borderId="0" xfId="0" applyAlignment="1">
      <alignment horizontal="center" vertical="center"/>
    </xf>
    <xf numFmtId="43" fontId="0" fillId="0" borderId="0" xfId="2" applyFont="1" applyAlignment="1">
      <alignment horizontal="center"/>
    </xf>
    <xf numFmtId="43" fontId="0" fillId="0" borderId="0" xfId="2" applyFont="1" applyAlignment="1">
      <alignment horizontal="center" vertical="center"/>
    </xf>
    <xf numFmtId="0" fontId="10" fillId="0" borderId="0" xfId="0" applyFont="1" applyAlignment="1">
      <alignment vertical="center"/>
    </xf>
    <xf numFmtId="0" fontId="10" fillId="0" borderId="0" xfId="0" applyFont="1" applyAlignment="1">
      <alignment horizontal="center" vertical="center"/>
    </xf>
    <xf numFmtId="0" fontId="26" fillId="0" borderId="0" xfId="0" applyFont="1"/>
    <xf numFmtId="0" fontId="6" fillId="11" borderId="11" xfId="0" applyFont="1" applyFill="1" applyBorder="1" applyAlignment="1">
      <alignment vertical="center"/>
    </xf>
    <xf numFmtId="4" fontId="14" fillId="11" borderId="12" xfId="0" applyNumberFormat="1" applyFont="1" applyFill="1" applyBorder="1" applyAlignment="1">
      <alignment vertical="center"/>
    </xf>
    <xf numFmtId="4" fontId="14" fillId="11" borderId="14" xfId="0" applyNumberFormat="1" applyFont="1" applyFill="1" applyBorder="1" applyAlignment="1">
      <alignment vertical="center"/>
    </xf>
    <xf numFmtId="4" fontId="14" fillId="11" borderId="18" xfId="0" applyNumberFormat="1" applyFont="1" applyFill="1" applyBorder="1" applyAlignment="1">
      <alignment vertical="center"/>
    </xf>
    <xf numFmtId="0" fontId="25" fillId="0" borderId="11" xfId="0" applyFont="1" applyBorder="1"/>
    <xf numFmtId="4" fontId="26" fillId="0" borderId="11" xfId="0" applyNumberFormat="1" applyFont="1" applyBorder="1" applyAlignment="1">
      <alignment horizontal="center" vertical="center"/>
    </xf>
    <xf numFmtId="4" fontId="14" fillId="6" borderId="11" xfId="0" applyNumberFormat="1" applyFont="1" applyFill="1" applyBorder="1" applyAlignment="1">
      <alignment horizontal="center" vertical="center"/>
    </xf>
    <xf numFmtId="4" fontId="16" fillId="0" borderId="11" xfId="0" applyNumberFormat="1" applyFont="1" applyBorder="1" applyAlignment="1">
      <alignment horizontal="center" vertical="center"/>
    </xf>
    <xf numFmtId="0" fontId="25" fillId="0" borderId="11" xfId="0" applyFont="1" applyBorder="1" applyAlignment="1">
      <alignment wrapText="1"/>
    </xf>
    <xf numFmtId="0" fontId="24" fillId="0" borderId="0" xfId="0" applyFont="1" applyAlignment="1">
      <alignment horizontal="right"/>
    </xf>
    <xf numFmtId="43" fontId="26" fillId="0" borderId="0" xfId="2" applyFont="1" applyAlignment="1">
      <alignment vertical="center"/>
    </xf>
    <xf numFmtId="3" fontId="26" fillId="0" borderId="11" xfId="0" applyNumberFormat="1" applyFont="1" applyBorder="1" applyAlignment="1">
      <alignment horizontal="center" vertical="center"/>
    </xf>
    <xf numFmtId="0" fontId="24" fillId="6" borderId="11" xfId="0" applyFont="1" applyFill="1" applyBorder="1" applyAlignment="1">
      <alignment horizontal="center" vertical="center"/>
    </xf>
    <xf numFmtId="0" fontId="6" fillId="0" borderId="0" xfId="0" applyFont="1"/>
    <xf numFmtId="0" fontId="7" fillId="0" borderId="0" xfId="0" applyFont="1"/>
    <xf numFmtId="0" fontId="6" fillId="0" borderId="0" xfId="0" applyFont="1" applyAlignment="1">
      <alignment vertical="center" wrapText="1"/>
    </xf>
    <xf numFmtId="0" fontId="6" fillId="0" borderId="0" xfId="0" applyFont="1" applyAlignment="1">
      <alignment horizontal="center" vertical="center"/>
    </xf>
    <xf numFmtId="168" fontId="0" fillId="0" borderId="11" xfId="0" applyNumberFormat="1" applyBorder="1" applyAlignment="1">
      <alignment horizontal="center" vertical="center"/>
    </xf>
    <xf numFmtId="168" fontId="0" fillId="0" borderId="0" xfId="0" applyNumberFormat="1"/>
    <xf numFmtId="1" fontId="0" fillId="0" borderId="0" xfId="0" applyNumberFormat="1" applyAlignment="1">
      <alignment horizontal="center"/>
    </xf>
    <xf numFmtId="43" fontId="0" fillId="2" borderId="11" xfId="2" applyFont="1" applyFill="1" applyBorder="1" applyAlignment="1">
      <alignment horizontal="center" vertical="center"/>
    </xf>
    <xf numFmtId="170" fontId="0" fillId="0" borderId="11" xfId="0" applyNumberFormat="1" applyBorder="1" applyAlignment="1">
      <alignment horizontal="center" vertical="center"/>
    </xf>
    <xf numFmtId="0" fontId="0" fillId="0" borderId="0" xfId="0" applyAlignment="1">
      <alignment vertical="center"/>
    </xf>
    <xf numFmtId="0" fontId="7" fillId="0" borderId="11" xfId="0" applyFont="1" applyBorder="1" applyAlignment="1">
      <alignment horizontal="center" vertical="center"/>
    </xf>
    <xf numFmtId="0" fontId="0" fillId="0" borderId="0" xfId="0" applyAlignment="1">
      <alignment wrapText="1"/>
    </xf>
    <xf numFmtId="0" fontId="29" fillId="0" borderId="0" xfId="0" applyFont="1"/>
    <xf numFmtId="0" fontId="29" fillId="0" borderId="0" xfId="0" applyFont="1" applyAlignment="1">
      <alignment horizontal="center"/>
    </xf>
    <xf numFmtId="2" fontId="6" fillId="0" borderId="11" xfId="0" applyNumberFormat="1" applyFont="1" applyBorder="1" applyAlignment="1">
      <alignment horizontal="center" vertical="center"/>
    </xf>
    <xf numFmtId="2" fontId="0" fillId="0" borderId="11" xfId="0" applyNumberFormat="1" applyBorder="1" applyAlignment="1">
      <alignment horizontal="center" vertical="center"/>
    </xf>
    <xf numFmtId="2" fontId="7" fillId="0" borderId="11" xfId="0" applyNumberFormat="1" applyFont="1" applyBorder="1" applyAlignment="1">
      <alignment horizontal="center" vertical="center"/>
    </xf>
    <xf numFmtId="0" fontId="22" fillId="12" borderId="33" xfId="0" applyFont="1" applyFill="1" applyBorder="1" applyAlignment="1">
      <alignment horizontal="center" vertical="center" wrapText="1"/>
    </xf>
    <xf numFmtId="0" fontId="22" fillId="12" borderId="11" xfId="0" applyFont="1" applyFill="1" applyBorder="1" applyAlignment="1">
      <alignment horizontal="center" vertical="center" wrapText="1"/>
    </xf>
    <xf numFmtId="0" fontId="0" fillId="0" borderId="11" xfId="0" applyBorder="1" applyAlignment="1">
      <alignment horizontal="center" vertical="center" wrapText="1"/>
    </xf>
    <xf numFmtId="0" fontId="25" fillId="0" borderId="0" xfId="0" applyFont="1" applyAlignment="1">
      <alignment horizontal="center"/>
    </xf>
    <xf numFmtId="0" fontId="0" fillId="0" borderId="11" xfId="0" quotePrefix="1" applyBorder="1" applyAlignment="1">
      <alignment horizontal="center" vertical="center"/>
    </xf>
    <xf numFmtId="0" fontId="0" fillId="2" borderId="11" xfId="0" applyFill="1" applyBorder="1" applyAlignment="1">
      <alignment vertical="center" wrapText="1"/>
    </xf>
    <xf numFmtId="0" fontId="0" fillId="0" borderId="11" xfId="0" applyBorder="1" applyAlignment="1">
      <alignment horizontal="left" vertical="center" wrapText="1"/>
    </xf>
    <xf numFmtId="0" fontId="6" fillId="0" borderId="0" xfId="0" applyFont="1" applyAlignment="1">
      <alignment vertical="center"/>
    </xf>
    <xf numFmtId="0" fontId="21" fillId="12" borderId="33" xfId="0" applyFont="1" applyFill="1" applyBorder="1" applyAlignment="1">
      <alignment horizontal="center" vertical="center" wrapText="1"/>
    </xf>
    <xf numFmtId="0" fontId="25" fillId="0" borderId="11" xfId="0" applyFont="1" applyBorder="1" applyAlignment="1">
      <alignment vertical="center"/>
    </xf>
    <xf numFmtId="4" fontId="25" fillId="0" borderId="11" xfId="2" applyNumberFormat="1" applyFont="1" applyBorder="1" applyAlignment="1">
      <alignment horizontal="center" vertical="center"/>
    </xf>
    <xf numFmtId="3" fontId="25" fillId="0" borderId="11" xfId="0" applyNumberFormat="1" applyFont="1" applyBorder="1" applyAlignment="1">
      <alignment horizontal="center" vertical="center"/>
    </xf>
    <xf numFmtId="169" fontId="25" fillId="0" borderId="11" xfId="0" quotePrefix="1" applyNumberFormat="1" applyFont="1" applyBorder="1" applyAlignment="1">
      <alignment horizontal="center" vertical="center"/>
    </xf>
    <xf numFmtId="2" fontId="25" fillId="0" borderId="11" xfId="0" applyNumberFormat="1" applyFont="1" applyBorder="1" applyAlignment="1">
      <alignment horizontal="center" vertical="center"/>
    </xf>
    <xf numFmtId="0" fontId="25" fillId="0" borderId="11" xfId="0" quotePrefix="1" applyFont="1" applyBorder="1" applyAlignment="1">
      <alignment horizontal="center" vertical="center"/>
    </xf>
    <xf numFmtId="170" fontId="25" fillId="0" borderId="11" xfId="0" applyNumberFormat="1" applyFont="1" applyBorder="1" applyAlignment="1">
      <alignment horizontal="center" vertical="center"/>
    </xf>
    <xf numFmtId="43" fontId="6" fillId="9" borderId="11" xfId="0" applyNumberFormat="1" applyFont="1" applyFill="1" applyBorder="1" applyAlignment="1">
      <alignment vertical="center"/>
    </xf>
    <xf numFmtId="0" fontId="25" fillId="2" borderId="11" xfId="0" applyFont="1" applyFill="1" applyBorder="1" applyAlignment="1">
      <alignment vertical="center" wrapText="1"/>
    </xf>
    <xf numFmtId="0" fontId="25" fillId="0" borderId="11" xfId="0" applyFont="1" applyBorder="1" applyAlignment="1">
      <alignment horizontal="left" vertical="center" wrapText="1"/>
    </xf>
    <xf numFmtId="43" fontId="25" fillId="0" borderId="11" xfId="2" applyFont="1" applyBorder="1" applyAlignment="1">
      <alignment horizontal="center" vertical="center"/>
    </xf>
    <xf numFmtId="171" fontId="6" fillId="9" borderId="11" xfId="0" applyNumberFormat="1" applyFont="1" applyFill="1" applyBorder="1" applyAlignment="1">
      <alignment vertical="center"/>
    </xf>
    <xf numFmtId="0" fontId="25" fillId="0" borderId="0" xfId="0" applyFont="1" applyAlignment="1">
      <alignment vertical="center"/>
    </xf>
    <xf numFmtId="0" fontId="25" fillId="0" borderId="11" xfId="0" applyFont="1" applyBorder="1" applyAlignment="1">
      <alignment horizontal="left" vertical="center"/>
    </xf>
    <xf numFmtId="175" fontId="0" fillId="0" borderId="11" xfId="0" applyNumberFormat="1" applyBorder="1" applyAlignment="1">
      <alignment horizontal="center" vertical="center"/>
    </xf>
    <xf numFmtId="43" fontId="0" fillId="0" borderId="11" xfId="2" applyFont="1" applyBorder="1" applyAlignment="1">
      <alignment horizontal="center"/>
    </xf>
    <xf numFmtId="0" fontId="0" fillId="0" borderId="0" xfId="0" applyAlignment="1">
      <alignment vertical="center" wrapText="1"/>
    </xf>
    <xf numFmtId="0" fontId="7" fillId="3" borderId="11" xfId="0" applyFont="1" applyFill="1" applyBorder="1" applyAlignment="1">
      <alignment horizontal="center" vertical="center"/>
    </xf>
    <xf numFmtId="0" fontId="6" fillId="3" borderId="11" xfId="0" applyFont="1" applyFill="1" applyBorder="1" applyAlignment="1">
      <alignment horizontal="center" vertical="center"/>
    </xf>
    <xf numFmtId="1" fontId="6" fillId="8" borderId="3" xfId="0" applyNumberFormat="1" applyFont="1" applyFill="1" applyBorder="1" applyAlignment="1">
      <alignment horizontal="center" vertical="center"/>
    </xf>
    <xf numFmtId="0" fontId="0" fillId="3" borderId="11" xfId="0" applyFill="1" applyBorder="1" applyAlignment="1">
      <alignment horizontal="center" vertical="center"/>
    </xf>
    <xf numFmtId="0" fontId="27" fillId="12" borderId="4" xfId="0" applyFont="1" applyFill="1" applyBorder="1" applyAlignment="1">
      <alignment vertical="center"/>
    </xf>
    <xf numFmtId="0" fontId="6" fillId="6" borderId="11" xfId="0" applyFont="1" applyFill="1" applyBorder="1" applyAlignment="1">
      <alignment horizontal="center" vertical="center" wrapText="1"/>
    </xf>
    <xf numFmtId="0" fontId="24" fillId="6" borderId="11" xfId="0" applyFont="1" applyFill="1" applyBorder="1" applyAlignment="1">
      <alignment horizontal="center" vertical="center" wrapText="1"/>
    </xf>
    <xf numFmtId="3" fontId="25" fillId="0" borderId="11" xfId="0" applyNumberFormat="1" applyFont="1" applyBorder="1" applyAlignment="1">
      <alignment horizontal="center" vertical="center" wrapText="1"/>
    </xf>
    <xf numFmtId="43" fontId="25" fillId="0" borderId="11" xfId="0" applyNumberFormat="1" applyFont="1" applyBorder="1" applyAlignment="1">
      <alignment horizontal="center" vertical="center"/>
    </xf>
    <xf numFmtId="43" fontId="25" fillId="0" borderId="0" xfId="2" applyFont="1"/>
    <xf numFmtId="1" fontId="21" fillId="13" borderId="33" xfId="0" applyNumberFormat="1" applyFont="1" applyFill="1" applyBorder="1" applyAlignment="1" applyProtection="1">
      <alignment horizontal="center" vertical="center" wrapText="1"/>
      <protection locked="0"/>
    </xf>
    <xf numFmtId="0" fontId="25" fillId="0" borderId="20" xfId="0" applyFont="1" applyBorder="1" applyAlignment="1">
      <alignment vertical="center"/>
    </xf>
    <xf numFmtId="4" fontId="25" fillId="0" borderId="20" xfId="2" applyNumberFormat="1" applyFont="1" applyBorder="1" applyAlignment="1">
      <alignment horizontal="center" vertical="center"/>
    </xf>
    <xf numFmtId="3" fontId="25" fillId="0" borderId="20" xfId="0" applyNumberFormat="1" applyFont="1" applyBorder="1" applyAlignment="1">
      <alignment horizontal="center" vertical="center"/>
    </xf>
    <xf numFmtId="3" fontId="25" fillId="0" borderId="20" xfId="0" applyNumberFormat="1" applyFont="1" applyBorder="1" applyAlignment="1">
      <alignment horizontal="center" vertical="center" wrapText="1"/>
    </xf>
    <xf numFmtId="169" fontId="25" fillId="0" borderId="20" xfId="0" quotePrefix="1" applyNumberFormat="1" applyFont="1" applyBorder="1" applyAlignment="1">
      <alignment horizontal="center" vertical="center"/>
    </xf>
    <xf numFmtId="2" fontId="25" fillId="0" borderId="20" xfId="0" applyNumberFormat="1" applyFont="1" applyBorder="1" applyAlignment="1">
      <alignment horizontal="center" vertical="center"/>
    </xf>
    <xf numFmtId="0" fontId="25" fillId="0" borderId="20" xfId="0" quotePrefix="1" applyFont="1" applyBorder="1" applyAlignment="1">
      <alignment horizontal="center" vertical="center"/>
    </xf>
    <xf numFmtId="170" fontId="25" fillId="0" borderId="20" xfId="0" applyNumberFormat="1" applyFont="1" applyBorder="1" applyAlignment="1">
      <alignment horizontal="center" vertical="center"/>
    </xf>
    <xf numFmtId="43" fontId="25" fillId="0" borderId="20" xfId="0" applyNumberFormat="1" applyFont="1" applyBorder="1" applyAlignment="1">
      <alignment horizontal="center" vertical="center"/>
    </xf>
    <xf numFmtId="43" fontId="6" fillId="9" borderId="20" xfId="0" applyNumberFormat="1" applyFont="1" applyFill="1" applyBorder="1" applyAlignment="1">
      <alignment vertical="center"/>
    </xf>
    <xf numFmtId="0" fontId="25" fillId="0" borderId="22" xfId="0" applyFont="1" applyBorder="1" applyAlignment="1">
      <alignment vertical="center"/>
    </xf>
    <xf numFmtId="4" fontId="25" fillId="0" borderId="22" xfId="2" applyNumberFormat="1" applyFont="1" applyBorder="1" applyAlignment="1">
      <alignment horizontal="center" vertical="center"/>
    </xf>
    <xf numFmtId="3" fontId="25" fillId="0" borderId="22" xfId="0" applyNumberFormat="1" applyFont="1" applyBorder="1" applyAlignment="1">
      <alignment horizontal="center" vertical="center"/>
    </xf>
    <xf numFmtId="3" fontId="25" fillId="0" borderId="22" xfId="0" applyNumberFormat="1" applyFont="1" applyBorder="1" applyAlignment="1">
      <alignment horizontal="center" vertical="center" wrapText="1"/>
    </xf>
    <xf numFmtId="169" fontId="25" fillId="0" borderId="22" xfId="0" quotePrefix="1" applyNumberFormat="1" applyFont="1" applyBorder="1" applyAlignment="1">
      <alignment horizontal="center" vertical="center"/>
    </xf>
    <xf numFmtId="0" fontId="25" fillId="0" borderId="22" xfId="0" quotePrefix="1" applyFont="1" applyBorder="1" applyAlignment="1">
      <alignment horizontal="center" vertical="center"/>
    </xf>
    <xf numFmtId="170" fontId="25" fillId="0" borderId="22" xfId="0" applyNumberFormat="1" applyFont="1" applyBorder="1" applyAlignment="1">
      <alignment horizontal="center" vertical="center"/>
    </xf>
    <xf numFmtId="43" fontId="25" fillId="0" borderId="22" xfId="0" applyNumberFormat="1" applyFont="1" applyBorder="1" applyAlignment="1">
      <alignment horizontal="center" vertical="center"/>
    </xf>
    <xf numFmtId="43" fontId="6" fillId="9" borderId="22" xfId="0" applyNumberFormat="1" applyFont="1" applyFill="1" applyBorder="1" applyAlignment="1">
      <alignment vertical="center"/>
    </xf>
    <xf numFmtId="0" fontId="25" fillId="2" borderId="20" xfId="0" applyFont="1" applyFill="1" applyBorder="1" applyAlignment="1">
      <alignment vertical="center" wrapText="1"/>
    </xf>
    <xf numFmtId="0" fontId="25" fillId="0" borderId="20" xfId="0" applyFont="1" applyBorder="1" applyAlignment="1">
      <alignment horizontal="left" vertical="center" wrapText="1"/>
    </xf>
    <xf numFmtId="171" fontId="6" fillId="9" borderId="20" xfId="0" applyNumberFormat="1" applyFont="1" applyFill="1" applyBorder="1" applyAlignment="1">
      <alignment vertical="center"/>
    </xf>
    <xf numFmtId="0" fontId="25" fillId="0" borderId="22" xfId="0" applyFont="1" applyBorder="1" applyAlignment="1">
      <alignment horizontal="left" vertical="center"/>
    </xf>
    <xf numFmtId="43" fontId="25" fillId="0" borderId="22" xfId="2" applyFont="1" applyBorder="1" applyAlignment="1">
      <alignment horizontal="center" vertical="center"/>
    </xf>
    <xf numFmtId="171" fontId="6" fillId="9" borderId="22" xfId="0" applyNumberFormat="1" applyFont="1" applyFill="1" applyBorder="1" applyAlignment="1">
      <alignment vertical="center"/>
    </xf>
    <xf numFmtId="0" fontId="25" fillId="0" borderId="28" xfId="0" applyFont="1" applyBorder="1" applyAlignment="1">
      <alignment horizontal="center" vertical="center" wrapText="1"/>
    </xf>
    <xf numFmtId="0" fontId="25" fillId="0" borderId="29" xfId="0" applyFont="1" applyBorder="1" applyAlignment="1">
      <alignment horizontal="left" vertical="center" wrapText="1"/>
    </xf>
    <xf numFmtId="3" fontId="25" fillId="0" borderId="29" xfId="0" applyNumberFormat="1" applyFont="1" applyBorder="1" applyAlignment="1">
      <alignment horizontal="center" vertical="center"/>
    </xf>
    <xf numFmtId="169" fontId="25" fillId="0" borderId="29" xfId="0" quotePrefix="1" applyNumberFormat="1" applyFont="1" applyBorder="1" applyAlignment="1">
      <alignment horizontal="center" vertical="center"/>
    </xf>
    <xf numFmtId="0" fontId="25" fillId="0" borderId="29" xfId="0" quotePrefix="1" applyFont="1" applyBorder="1" applyAlignment="1">
      <alignment horizontal="center" vertical="center"/>
    </xf>
    <xf numFmtId="170" fontId="25" fillId="0" borderId="29" xfId="0" applyNumberFormat="1" applyFont="1" applyBorder="1" applyAlignment="1">
      <alignment horizontal="center" vertical="center"/>
    </xf>
    <xf numFmtId="43" fontId="25" fillId="0" borderId="29" xfId="2" applyFont="1" applyBorder="1" applyAlignment="1">
      <alignment horizontal="center" vertical="center"/>
    </xf>
    <xf numFmtId="171" fontId="6" fillId="9" borderId="29" xfId="0" applyNumberFormat="1" applyFont="1" applyFill="1" applyBorder="1" applyAlignment="1">
      <alignment vertical="center"/>
    </xf>
    <xf numFmtId="43" fontId="6" fillId="0" borderId="21" xfId="0" applyNumberFormat="1" applyFont="1" applyBorder="1" applyAlignment="1">
      <alignment horizontal="center" vertical="center"/>
    </xf>
    <xf numFmtId="43" fontId="6" fillId="0" borderId="9" xfId="0" applyNumberFormat="1" applyFont="1" applyBorder="1" applyAlignment="1">
      <alignment horizontal="center" vertical="center"/>
    </xf>
    <xf numFmtId="43" fontId="6" fillId="0" borderId="23" xfId="0" applyNumberFormat="1" applyFont="1" applyBorder="1" applyAlignment="1">
      <alignment horizontal="center" vertical="center"/>
    </xf>
    <xf numFmtId="43" fontId="6" fillId="0" borderId="21" xfId="2" applyFont="1" applyBorder="1" applyAlignment="1">
      <alignment horizontal="center" vertical="center"/>
    </xf>
    <xf numFmtId="43" fontId="6" fillId="0" borderId="9" xfId="2" applyFont="1" applyBorder="1" applyAlignment="1">
      <alignment horizontal="center" vertical="center"/>
    </xf>
    <xf numFmtId="43" fontId="6" fillId="0" borderId="23" xfId="2" applyFont="1" applyBorder="1" applyAlignment="1">
      <alignment horizontal="center" vertical="center"/>
    </xf>
    <xf numFmtId="43" fontId="6" fillId="0" borderId="55" xfId="2" applyFont="1" applyBorder="1" applyAlignment="1">
      <alignment horizontal="center" vertical="center"/>
    </xf>
    <xf numFmtId="0" fontId="25" fillId="0" borderId="33" xfId="0" applyFont="1" applyBorder="1" applyAlignment="1">
      <alignment horizontal="center" vertical="center" wrapText="1"/>
    </xf>
    <xf numFmtId="0" fontId="25" fillId="0" borderId="33" xfId="0" applyFont="1" applyBorder="1" applyAlignment="1">
      <alignment horizontal="left" vertical="center" wrapText="1"/>
    </xf>
    <xf numFmtId="2" fontId="25" fillId="0" borderId="33" xfId="0" applyNumberFormat="1" applyFont="1" applyBorder="1" applyAlignment="1">
      <alignment horizontal="center" vertical="center"/>
    </xf>
    <xf numFmtId="4" fontId="25" fillId="0" borderId="33" xfId="0" applyNumberFormat="1" applyFont="1" applyBorder="1" applyAlignment="1">
      <alignment horizontal="center" vertical="center"/>
    </xf>
    <xf numFmtId="43" fontId="10" fillId="0" borderId="3" xfId="0" applyNumberFormat="1" applyFont="1" applyBorder="1" applyAlignment="1">
      <alignment vertical="center"/>
    </xf>
    <xf numFmtId="43" fontId="10" fillId="0" borderId="3" xfId="0" applyNumberFormat="1" applyFont="1" applyBorder="1" applyAlignment="1">
      <alignment horizontal="center" vertical="center"/>
    </xf>
    <xf numFmtId="43" fontId="6" fillId="0" borderId="33" xfId="0" applyNumberFormat="1" applyFont="1" applyBorder="1" applyAlignment="1">
      <alignment horizontal="center" vertical="center"/>
    </xf>
    <xf numFmtId="0" fontId="7" fillId="0" borderId="0" xfId="0" applyFont="1" applyAlignment="1">
      <alignment horizontal="left"/>
    </xf>
    <xf numFmtId="4" fontId="0" fillId="0" borderId="11" xfId="2" applyNumberFormat="1" applyFont="1" applyFill="1" applyBorder="1" applyAlignment="1">
      <alignment horizontal="center" vertical="center"/>
    </xf>
    <xf numFmtId="4" fontId="0" fillId="0" borderId="11" xfId="0" applyNumberFormat="1" applyBorder="1" applyAlignment="1">
      <alignment horizontal="center" vertical="center"/>
    </xf>
    <xf numFmtId="0" fontId="21" fillId="0" borderId="0" xfId="0" applyFont="1" applyAlignment="1">
      <alignment horizontal="center"/>
    </xf>
    <xf numFmtId="164" fontId="7" fillId="0" borderId="0" xfId="1" applyFont="1" applyFill="1" applyBorder="1"/>
    <xf numFmtId="0" fontId="7" fillId="0" borderId="4" xfId="0" applyFont="1" applyBorder="1" applyAlignment="1">
      <alignment horizontal="left" vertical="center" wrapText="1"/>
    </xf>
    <xf numFmtId="0" fontId="7" fillId="0" borderId="0" xfId="0" applyFont="1" applyAlignment="1">
      <alignment horizontal="left" vertical="center" wrapText="1"/>
    </xf>
    <xf numFmtId="4" fontId="18" fillId="3" borderId="11" xfId="0" applyNumberFormat="1" applyFont="1" applyFill="1" applyBorder="1" applyAlignment="1">
      <alignment horizontal="center"/>
    </xf>
    <xf numFmtId="164" fontId="7" fillId="0" borderId="4" xfId="1" applyFont="1" applyFill="1" applyBorder="1" applyAlignment="1">
      <alignment horizontal="left" wrapText="1"/>
    </xf>
    <xf numFmtId="10" fontId="18" fillId="0" borderId="0" xfId="2" applyNumberFormat="1" applyFont="1" applyFill="1" applyBorder="1" applyAlignment="1">
      <alignment horizontal="center"/>
    </xf>
    <xf numFmtId="0" fontId="7" fillId="0" borderId="14" xfId="0" applyFont="1" applyBorder="1" applyAlignment="1">
      <alignment horizontal="left" vertical="center" wrapText="1"/>
    </xf>
    <xf numFmtId="0" fontId="0" fillId="15" borderId="11" xfId="0" applyFill="1" applyBorder="1" applyAlignment="1">
      <alignment wrapText="1"/>
    </xf>
    <xf numFmtId="43" fontId="5" fillId="15" borderId="11" xfId="2" applyFont="1" applyFill="1" applyBorder="1" applyAlignment="1">
      <alignment horizontal="right" wrapText="1"/>
    </xf>
    <xf numFmtId="0" fontId="4" fillId="15" borderId="11" xfId="0" applyFont="1" applyFill="1" applyBorder="1" applyAlignment="1">
      <alignment wrapText="1"/>
    </xf>
    <xf numFmtId="43" fontId="4" fillId="15" borderId="11" xfId="2" applyFont="1" applyFill="1" applyBorder="1" applyAlignment="1">
      <alignment horizontal="right" wrapText="1"/>
    </xf>
    <xf numFmtId="0" fontId="0" fillId="0" borderId="14" xfId="0" applyBorder="1" applyAlignment="1">
      <alignment wrapText="1"/>
    </xf>
    <xf numFmtId="43" fontId="4" fillId="15" borderId="11" xfId="0" applyNumberFormat="1" applyFont="1" applyFill="1" applyBorder="1" applyAlignment="1">
      <alignment horizontal="right" wrapText="1"/>
    </xf>
    <xf numFmtId="43" fontId="3" fillId="0" borderId="0" xfId="2" applyFont="1"/>
    <xf numFmtId="10" fontId="7" fillId="9" borderId="11" xfId="0" applyNumberFormat="1" applyFont="1" applyFill="1" applyBorder="1" applyAlignment="1">
      <alignment horizontal="center"/>
    </xf>
    <xf numFmtId="0" fontId="7" fillId="17" borderId="11" xfId="0" applyFont="1" applyFill="1" applyBorder="1" applyAlignment="1">
      <alignment horizontal="center"/>
    </xf>
    <xf numFmtId="0" fontId="7" fillId="17" borderId="11" xfId="0" applyFont="1" applyFill="1" applyBorder="1" applyAlignment="1">
      <alignment horizontal="center" vertical="center" wrapText="1"/>
    </xf>
    <xf numFmtId="4" fontId="18" fillId="17" borderId="11" xfId="0" applyNumberFormat="1" applyFont="1" applyFill="1" applyBorder="1" applyAlignment="1">
      <alignment horizontal="center"/>
    </xf>
    <xf numFmtId="0" fontId="7" fillId="17" borderId="30" xfId="0" applyFont="1" applyFill="1" applyBorder="1" applyAlignment="1">
      <alignment horizontal="center"/>
    </xf>
    <xf numFmtId="4" fontId="18" fillId="17" borderId="30" xfId="0" applyNumberFormat="1" applyFont="1" applyFill="1" applyBorder="1" applyAlignment="1">
      <alignment horizontal="center"/>
    </xf>
    <xf numFmtId="10" fontId="7" fillId="17" borderId="11" xfId="0" applyNumberFormat="1" applyFont="1" applyFill="1" applyBorder="1" applyAlignment="1">
      <alignment horizontal="center"/>
    </xf>
    <xf numFmtId="4" fontId="7" fillId="17" borderId="30" xfId="0" applyNumberFormat="1" applyFont="1" applyFill="1" applyBorder="1" applyAlignment="1">
      <alignment horizontal="center"/>
    </xf>
    <xf numFmtId="8" fontId="7" fillId="15" borderId="0" xfId="0" applyNumberFormat="1" applyFont="1" applyFill="1" applyAlignment="1">
      <alignment horizontal="right" vertical="center" wrapText="1"/>
    </xf>
    <xf numFmtId="8" fontId="7" fillId="15" borderId="57" xfId="0" applyNumberFormat="1" applyFont="1" applyFill="1" applyBorder="1" applyAlignment="1">
      <alignment horizontal="right" vertical="center" wrapText="1"/>
    </xf>
    <xf numFmtId="0" fontId="32" fillId="0" borderId="0" xfId="0" applyFont="1" applyAlignment="1">
      <alignment horizontal="right"/>
    </xf>
    <xf numFmtId="8" fontId="7" fillId="15" borderId="4" xfId="0" applyNumberFormat="1" applyFont="1" applyFill="1" applyBorder="1" applyAlignment="1">
      <alignment horizontal="center" vertical="center" wrapText="1"/>
    </xf>
    <xf numFmtId="0" fontId="0" fillId="15" borderId="56" xfId="0" applyFill="1" applyBorder="1" applyAlignment="1">
      <alignment vertical="center" wrapText="1"/>
    </xf>
    <xf numFmtId="0" fontId="0" fillId="15" borderId="0" xfId="0" applyFill="1" applyAlignment="1">
      <alignment vertical="center" wrapText="1"/>
    </xf>
    <xf numFmtId="176" fontId="3" fillId="0" borderId="0" xfId="7" applyNumberFormat="1" applyFont="1"/>
    <xf numFmtId="10" fontId="3" fillId="0" borderId="0" xfId="7" applyNumberFormat="1" applyFont="1"/>
    <xf numFmtId="174" fontId="3" fillId="0" borderId="0" xfId="7" applyNumberFormat="1" applyFont="1"/>
    <xf numFmtId="4" fontId="11" fillId="0" borderId="30" xfId="0" applyNumberFormat="1" applyFont="1" applyBorder="1" applyAlignment="1">
      <alignment horizontal="center"/>
    </xf>
    <xf numFmtId="0" fontId="6" fillId="15" borderId="59" xfId="0" applyFont="1" applyFill="1" applyBorder="1" applyAlignment="1">
      <alignment horizontal="center" vertical="center" wrapText="1"/>
    </xf>
    <xf numFmtId="164" fontId="3" fillId="15" borderId="0" xfId="1" applyFont="1" applyFill="1" applyBorder="1" applyAlignment="1">
      <alignment horizontal="center" vertical="center" wrapText="1"/>
    </xf>
    <xf numFmtId="164" fontId="3" fillId="15" borderId="58" xfId="1" applyFont="1" applyFill="1" applyBorder="1" applyAlignment="1">
      <alignment horizontal="center" vertical="center" wrapText="1"/>
    </xf>
    <xf numFmtId="0" fontId="25" fillId="16" borderId="59" xfId="0" applyFont="1" applyFill="1" applyBorder="1" applyAlignment="1">
      <alignment vertical="center" wrapText="1"/>
    </xf>
    <xf numFmtId="0" fontId="25" fillId="16" borderId="59" xfId="0" applyFont="1" applyFill="1" applyBorder="1" applyAlignment="1">
      <alignment horizontal="center" vertical="center" wrapText="1"/>
    </xf>
    <xf numFmtId="164" fontId="25" fillId="15" borderId="59" xfId="1" applyFont="1" applyFill="1" applyBorder="1" applyAlignment="1">
      <alignment horizontal="center" vertical="center" wrapText="1"/>
    </xf>
    <xf numFmtId="164" fontId="6" fillId="15" borderId="59" xfId="1" applyFont="1" applyFill="1" applyBorder="1" applyAlignment="1">
      <alignment horizontal="center" vertical="center" wrapText="1"/>
    </xf>
    <xf numFmtId="164" fontId="6" fillId="16" borderId="59" xfId="1" applyFont="1" applyFill="1" applyBorder="1" applyAlignment="1">
      <alignment horizontal="center" vertical="center" wrapText="1"/>
    </xf>
    <xf numFmtId="1" fontId="34" fillId="15" borderId="59" xfId="1" applyNumberFormat="1" applyFont="1" applyFill="1" applyBorder="1" applyAlignment="1">
      <alignment horizontal="center" vertical="center" wrapText="1"/>
    </xf>
    <xf numFmtId="164" fontId="15" fillId="0" borderId="11" xfId="1" applyFont="1" applyBorder="1" applyAlignment="1">
      <alignment horizontal="center"/>
    </xf>
    <xf numFmtId="49" fontId="0" fillId="0" borderId="11" xfId="0" applyNumberFormat="1" applyBorder="1" applyAlignment="1">
      <alignment horizontal="center"/>
    </xf>
    <xf numFmtId="0" fontId="6" fillId="0" borderId="0" xfId="0" applyFont="1" applyAlignment="1">
      <alignment horizontal="left" vertical="center"/>
    </xf>
    <xf numFmtId="0" fontId="25" fillId="0" borderId="0" xfId="0" applyFont="1" applyAlignment="1">
      <alignment horizontal="center" vertical="center"/>
    </xf>
    <xf numFmtId="0" fontId="20" fillId="0" borderId="43" xfId="0" applyFont="1" applyBorder="1" applyAlignment="1">
      <alignment horizontal="center" vertical="center" wrapText="1"/>
    </xf>
    <xf numFmtId="0" fontId="20" fillId="0" borderId="47" xfId="0" applyFont="1" applyBorder="1" applyAlignment="1">
      <alignment horizontal="center" vertical="center" wrapText="1"/>
    </xf>
    <xf numFmtId="0" fontId="19" fillId="0" borderId="0" xfId="0" applyFont="1" applyAlignment="1">
      <alignment horizontal="center" vertical="center"/>
    </xf>
    <xf numFmtId="0" fontId="19" fillId="0" borderId="19" xfId="0" applyFont="1" applyBorder="1" applyAlignment="1">
      <alignment horizontal="center" vertical="center" wrapText="1"/>
    </xf>
    <xf numFmtId="0" fontId="19" fillId="0" borderId="20" xfId="0" applyFont="1" applyBorder="1" applyAlignment="1">
      <alignment horizontal="center" vertical="center" wrapText="1"/>
    </xf>
    <xf numFmtId="0" fontId="19" fillId="0" borderId="31"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40" xfId="0" applyFont="1" applyBorder="1" applyAlignment="1">
      <alignment horizontal="center" vertical="center" wrapText="1"/>
    </xf>
    <xf numFmtId="43" fontId="25" fillId="0" borderId="0" xfId="2" applyFont="1" applyAlignment="1">
      <alignment horizontal="left" vertical="center"/>
    </xf>
    <xf numFmtId="0" fontId="21" fillId="12" borderId="20" xfId="0" applyFont="1" applyFill="1" applyBorder="1" applyAlignment="1">
      <alignment horizontal="center" vertical="center" textRotation="90" wrapText="1"/>
    </xf>
    <xf numFmtId="0" fontId="21" fillId="12" borderId="21" xfId="0" applyFont="1" applyFill="1" applyBorder="1" applyAlignment="1">
      <alignment horizontal="center" vertical="center" textRotation="90" wrapText="1"/>
    </xf>
    <xf numFmtId="164" fontId="24" fillId="0" borderId="39" xfId="0" applyNumberFormat="1" applyFont="1" applyBorder="1" applyAlignment="1">
      <alignment horizontal="center" vertical="center"/>
    </xf>
    <xf numFmtId="0" fontId="33" fillId="0" borderId="0" xfId="0" applyFont="1" applyAlignment="1">
      <alignment horizontal="right" vertical="center"/>
    </xf>
    <xf numFmtId="0" fontId="33" fillId="0" borderId="0" xfId="0" applyFont="1" applyAlignment="1">
      <alignment horizontal="center" vertical="center"/>
    </xf>
    <xf numFmtId="0" fontId="24" fillId="0" borderId="6" xfId="0" applyFont="1" applyBorder="1" applyAlignment="1">
      <alignment horizontal="center" vertical="center"/>
    </xf>
    <xf numFmtId="1" fontId="24" fillId="0" borderId="6" xfId="0" applyNumberFormat="1" applyFont="1" applyBorder="1" applyAlignment="1">
      <alignment horizontal="center" vertical="center"/>
    </xf>
    <xf numFmtId="0" fontId="33" fillId="0" borderId="0" xfId="0" applyFont="1" applyAlignment="1">
      <alignment horizontal="left" vertical="center"/>
    </xf>
    <xf numFmtId="0" fontId="33" fillId="0" borderId="15" xfId="0" applyFont="1" applyBorder="1" applyAlignment="1">
      <alignment horizontal="center" vertical="center"/>
    </xf>
    <xf numFmtId="164" fontId="24" fillId="0" borderId="6" xfId="0" applyNumberFormat="1" applyFont="1" applyBorder="1" applyAlignment="1">
      <alignment horizontal="center" vertical="center"/>
    </xf>
    <xf numFmtId="164" fontId="21" fillId="12" borderId="3" xfId="0" applyNumberFormat="1" applyFont="1" applyFill="1" applyBorder="1" applyAlignment="1">
      <alignment horizontal="center" vertical="center"/>
    </xf>
    <xf numFmtId="164" fontId="21" fillId="12" borderId="6" xfId="0" applyNumberFormat="1" applyFont="1" applyFill="1" applyBorder="1" applyAlignment="1">
      <alignment horizontal="center" vertical="center"/>
    </xf>
    <xf numFmtId="0" fontId="24" fillId="0" borderId="10" xfId="0" applyFont="1" applyBorder="1" applyAlignment="1">
      <alignment horizontal="left" vertical="center"/>
    </xf>
    <xf numFmtId="0" fontId="6" fillId="0" borderId="0" xfId="0" applyFont="1" applyAlignment="1">
      <alignment horizontal="center" vertical="center" wrapText="1"/>
    </xf>
    <xf numFmtId="0" fontId="6" fillId="0" borderId="0" xfId="0" applyFont="1" applyAlignment="1">
      <alignment horizontal="right"/>
    </xf>
    <xf numFmtId="0" fontId="6" fillId="0" borderId="0" xfId="0" applyFont="1" applyAlignment="1">
      <alignment horizontal="center"/>
    </xf>
    <xf numFmtId="0" fontId="20" fillId="0" borderId="8" xfId="0" applyFont="1" applyBorder="1" applyAlignment="1">
      <alignment horizontal="center" vertical="center"/>
    </xf>
    <xf numFmtId="0" fontId="20" fillId="0" borderId="46" xfId="0" applyFont="1" applyBorder="1" applyAlignment="1">
      <alignment horizontal="center" vertical="center"/>
    </xf>
    <xf numFmtId="0" fontId="18" fillId="0" borderId="0" xfId="0" applyFont="1" applyAlignment="1">
      <alignment vertical="center"/>
    </xf>
    <xf numFmtId="164" fontId="21" fillId="12" borderId="6" xfId="0" applyNumberFormat="1" applyFont="1" applyFill="1" applyBorder="1" applyAlignment="1">
      <alignment vertical="center"/>
    </xf>
    <xf numFmtId="0" fontId="21" fillId="0" borderId="0" xfId="0" applyFont="1"/>
    <xf numFmtId="0" fontId="19" fillId="6" borderId="11" xfId="0" applyFont="1" applyFill="1" applyBorder="1" applyAlignment="1">
      <alignment horizontal="center" vertical="center" wrapText="1"/>
    </xf>
    <xf numFmtId="0" fontId="19" fillId="6" borderId="12" xfId="0" applyFont="1" applyFill="1" applyBorder="1" applyAlignment="1">
      <alignment horizontal="center" vertical="center" wrapText="1"/>
    </xf>
    <xf numFmtId="0" fontId="19" fillId="6" borderId="8"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0" borderId="0" xfId="0" applyFont="1" applyAlignment="1">
      <alignment vertical="center"/>
    </xf>
    <xf numFmtId="0" fontId="24" fillId="0" borderId="50" xfId="0" applyFont="1" applyBorder="1" applyAlignment="1">
      <alignment horizontal="left" vertical="center"/>
    </xf>
    <xf numFmtId="0" fontId="24" fillId="0" borderId="39" xfId="0" applyFont="1" applyBorder="1" applyAlignment="1">
      <alignment horizontal="left" vertical="center"/>
    </xf>
    <xf numFmtId="164" fontId="24" fillId="0" borderId="51" xfId="1" applyFont="1" applyFill="1" applyBorder="1" applyAlignment="1">
      <alignment horizontal="center" vertical="center"/>
    </xf>
    <xf numFmtId="0" fontId="33" fillId="0" borderId="0" xfId="0" applyFont="1"/>
    <xf numFmtId="43" fontId="33" fillId="0" borderId="0" xfId="0" applyNumberFormat="1" applyFont="1"/>
    <xf numFmtId="0" fontId="24" fillId="0" borderId="10" xfId="0" applyFont="1" applyBorder="1" applyAlignment="1">
      <alignment vertical="center"/>
    </xf>
    <xf numFmtId="0" fontId="24" fillId="0" borderId="6" xfId="0" applyFont="1" applyBorder="1" applyAlignment="1">
      <alignment vertical="center"/>
    </xf>
    <xf numFmtId="164" fontId="24" fillId="0" borderId="6" xfId="0" applyNumberFormat="1" applyFont="1" applyBorder="1" applyAlignment="1">
      <alignment vertical="center"/>
    </xf>
    <xf numFmtId="0" fontId="24" fillId="0" borderId="15" xfId="0" applyFont="1" applyBorder="1" applyAlignment="1">
      <alignment vertical="center"/>
    </xf>
    <xf numFmtId="164" fontId="24" fillId="0" borderId="3" xfId="0" applyNumberFormat="1" applyFont="1" applyBorder="1" applyAlignment="1">
      <alignment vertical="center"/>
    </xf>
    <xf numFmtId="1" fontId="24" fillId="0" borderId="3" xfId="2" applyNumberFormat="1" applyFont="1" applyFill="1" applyBorder="1" applyAlignment="1">
      <alignment horizontal="center" vertical="center"/>
    </xf>
    <xf numFmtId="0" fontId="21" fillId="12" borderId="10" xfId="0" applyFont="1" applyFill="1" applyBorder="1" applyAlignment="1">
      <alignment vertical="center"/>
    </xf>
    <xf numFmtId="0" fontId="21" fillId="12" borderId="15" xfId="0" applyFont="1" applyFill="1" applyBorder="1" applyAlignment="1">
      <alignment vertical="center"/>
    </xf>
    <xf numFmtId="0" fontId="6" fillId="0" borderId="0" xfId="0" applyFont="1" applyAlignment="1">
      <alignment horizontal="left"/>
    </xf>
    <xf numFmtId="0" fontId="41" fillId="0" borderId="0" xfId="0" applyFont="1"/>
    <xf numFmtId="0" fontId="6" fillId="0" borderId="0" xfId="0" applyFont="1" applyAlignment="1">
      <alignment horizontal="right" vertical="center"/>
    </xf>
    <xf numFmtId="0" fontId="18" fillId="0" borderId="0" xfId="0" applyFont="1" applyAlignment="1">
      <alignment horizontal="left" vertical="top" wrapText="1"/>
    </xf>
    <xf numFmtId="0" fontId="18" fillId="6" borderId="19" xfId="0" applyFont="1" applyFill="1" applyBorder="1" applyAlignment="1">
      <alignment horizontal="center" vertical="center" wrapText="1"/>
    </xf>
    <xf numFmtId="0" fontId="18" fillId="6" borderId="20" xfId="0" applyFont="1" applyFill="1" applyBorder="1" applyAlignment="1">
      <alignment horizontal="center" vertical="center" wrapText="1"/>
    </xf>
    <xf numFmtId="0" fontId="18" fillId="6" borderId="21" xfId="0" applyFont="1" applyFill="1" applyBorder="1" applyAlignment="1">
      <alignment horizontal="center" vertical="center" wrapText="1"/>
    </xf>
    <xf numFmtId="0" fontId="11" fillId="6" borderId="21" xfId="0" applyFont="1" applyFill="1" applyBorder="1" applyAlignment="1">
      <alignment horizontal="center" vertical="center" wrapText="1"/>
    </xf>
    <xf numFmtId="0" fontId="39" fillId="0" borderId="0" xfId="0" applyFont="1" applyAlignment="1">
      <alignment vertical="center"/>
    </xf>
    <xf numFmtId="0" fontId="26" fillId="0" borderId="0" xfId="0" applyFont="1" applyAlignment="1">
      <alignment horizontal="center"/>
    </xf>
    <xf numFmtId="164" fontId="42" fillId="12" borderId="3" xfId="1" applyFont="1" applyFill="1" applyBorder="1" applyAlignment="1">
      <alignment horizontal="center" vertical="center"/>
    </xf>
    <xf numFmtId="164" fontId="18" fillId="0" borderId="0" xfId="1" applyFont="1" applyAlignment="1">
      <alignment horizontal="center" vertical="center"/>
    </xf>
    <xf numFmtId="0" fontId="19" fillId="0" borderId="0" xfId="0" applyFont="1" applyAlignment="1">
      <alignment horizontal="left" vertical="top" wrapText="1"/>
    </xf>
    <xf numFmtId="0" fontId="19" fillId="6" borderId="19" xfId="0" applyFont="1" applyFill="1" applyBorder="1" applyAlignment="1">
      <alignment horizontal="center" vertical="center" wrapText="1"/>
    </xf>
    <xf numFmtId="0" fontId="19" fillId="6" borderId="20" xfId="0" applyFont="1" applyFill="1" applyBorder="1" applyAlignment="1">
      <alignment horizontal="center" vertical="center" wrapText="1"/>
    </xf>
    <xf numFmtId="0" fontId="19" fillId="6" borderId="21" xfId="0" applyFont="1" applyFill="1" applyBorder="1" applyAlignment="1">
      <alignment horizontal="center" vertical="center" wrapText="1"/>
    </xf>
    <xf numFmtId="0" fontId="24" fillId="6" borderId="21" xfId="0" applyFont="1" applyFill="1" applyBorder="1" applyAlignment="1">
      <alignment horizontal="center" vertical="center" wrapText="1"/>
    </xf>
    <xf numFmtId="0" fontId="25" fillId="0" borderId="48" xfId="0" applyFont="1" applyBorder="1"/>
    <xf numFmtId="164" fontId="40" fillId="6" borderId="3" xfId="1" applyFont="1" applyFill="1" applyBorder="1" applyAlignment="1">
      <alignment horizontal="center" vertical="center"/>
    </xf>
    <xf numFmtId="164" fontId="21" fillId="12" borderId="3" xfId="1" applyFont="1" applyFill="1" applyBorder="1" applyAlignment="1">
      <alignment horizontal="center" vertical="center"/>
    </xf>
    <xf numFmtId="164" fontId="19" fillId="0" borderId="0" xfId="1" applyFont="1" applyAlignment="1">
      <alignment horizontal="center" vertical="center"/>
    </xf>
    <xf numFmtId="164" fontId="21" fillId="12" borderId="15" xfId="1" applyFont="1" applyFill="1" applyBorder="1" applyAlignment="1">
      <alignment horizontal="center" vertical="center"/>
    </xf>
    <xf numFmtId="0" fontId="34" fillId="0" borderId="0" xfId="0" applyFont="1" applyAlignment="1">
      <alignment vertical="center" wrapText="1"/>
    </xf>
    <xf numFmtId="0" fontId="25" fillId="0" borderId="0" xfId="0" applyFont="1" applyAlignment="1">
      <alignment wrapText="1"/>
    </xf>
    <xf numFmtId="164" fontId="25" fillId="0" borderId="0" xfId="0" applyNumberFormat="1" applyFont="1"/>
    <xf numFmtId="0" fontId="12" fillId="0" borderId="11" xfId="0" applyFont="1" applyBorder="1" applyAlignment="1">
      <alignment horizontal="left" vertical="center" wrapText="1"/>
    </xf>
    <xf numFmtId="0" fontId="20" fillId="0" borderId="11" xfId="0" applyFont="1" applyBorder="1" applyAlignment="1">
      <alignment horizontal="center" vertical="center"/>
    </xf>
    <xf numFmtId="172" fontId="0" fillId="0" borderId="8" xfId="1" applyNumberFormat="1" applyFont="1" applyFill="1" applyBorder="1" applyAlignment="1">
      <alignment horizontal="right" vertical="center"/>
    </xf>
    <xf numFmtId="172" fontId="0" fillId="3" borderId="9" xfId="1" applyNumberFormat="1" applyFont="1" applyFill="1" applyBorder="1" applyAlignment="1">
      <alignment horizontal="right" vertical="center"/>
    </xf>
    <xf numFmtId="172" fontId="0" fillId="3" borderId="8" xfId="1" applyNumberFormat="1" applyFont="1" applyFill="1" applyBorder="1" applyAlignment="1">
      <alignment horizontal="right" vertical="center"/>
    </xf>
    <xf numFmtId="172" fontId="20" fillId="0" borderId="9" xfId="2" applyNumberFormat="1" applyFont="1" applyBorder="1" applyAlignment="1">
      <alignment horizontal="right" vertical="center"/>
    </xf>
    <xf numFmtId="0" fontId="12" fillId="0" borderId="33" xfId="0" applyFont="1" applyBorder="1" applyAlignment="1">
      <alignment horizontal="left" vertical="center" wrapText="1"/>
    </xf>
    <xf numFmtId="172" fontId="20" fillId="0" borderId="8" xfId="2" applyNumberFormat="1" applyFont="1" applyBorder="1" applyAlignment="1">
      <alignment horizontal="right" vertical="center"/>
    </xf>
    <xf numFmtId="0" fontId="20" fillId="0" borderId="11" xfId="0" applyFont="1" applyBorder="1" applyAlignment="1">
      <alignment horizontal="center" vertical="center" wrapText="1"/>
    </xf>
    <xf numFmtId="0" fontId="0" fillId="0" borderId="12" xfId="2" applyNumberFormat="1" applyFont="1" applyFill="1" applyBorder="1" applyAlignment="1">
      <alignment horizontal="center" vertical="center"/>
    </xf>
    <xf numFmtId="172" fontId="0" fillId="0" borderId="9" xfId="1" applyNumberFormat="1" applyFont="1" applyFill="1" applyBorder="1" applyAlignment="1">
      <alignment horizontal="right" vertical="center"/>
    </xf>
    <xf numFmtId="0" fontId="0" fillId="3" borderId="11" xfId="2" applyNumberFormat="1" applyFont="1" applyFill="1" applyBorder="1" applyAlignment="1">
      <alignment horizontal="center" vertical="center"/>
    </xf>
    <xf numFmtId="172" fontId="0" fillId="3" borderId="38" xfId="1" applyNumberFormat="1" applyFont="1" applyFill="1" applyBorder="1" applyAlignment="1">
      <alignment horizontal="right" vertical="center"/>
    </xf>
    <xf numFmtId="0" fontId="20" fillId="0" borderId="33" xfId="0" applyFont="1" applyBorder="1" applyAlignment="1">
      <alignment horizontal="center" vertical="center"/>
    </xf>
    <xf numFmtId="172" fontId="20" fillId="0" borderId="34" xfId="2" applyNumberFormat="1" applyFont="1" applyBorder="1" applyAlignment="1">
      <alignment horizontal="right" vertical="center"/>
    </xf>
    <xf numFmtId="0" fontId="12" fillId="0" borderId="22" xfId="0" applyFont="1" applyBorder="1" applyAlignment="1">
      <alignment horizontal="left" vertical="center" wrapText="1"/>
    </xf>
    <xf numFmtId="0" fontId="20" fillId="0" borderId="22" xfId="0" applyFont="1" applyBorder="1" applyAlignment="1">
      <alignment horizontal="center" vertical="center"/>
    </xf>
    <xf numFmtId="0" fontId="0" fillId="3" borderId="22" xfId="2" applyNumberFormat="1" applyFont="1" applyFill="1" applyBorder="1" applyAlignment="1">
      <alignment horizontal="center" vertical="center"/>
    </xf>
    <xf numFmtId="172" fontId="0" fillId="3" borderId="46" xfId="1" applyNumberFormat="1" applyFont="1" applyFill="1" applyBorder="1" applyAlignment="1">
      <alignment horizontal="right" vertical="center"/>
    </xf>
    <xf numFmtId="172" fontId="20" fillId="0" borderId="23" xfId="2" applyNumberFormat="1" applyFont="1" applyBorder="1" applyAlignment="1">
      <alignment horizontal="right" vertical="center"/>
    </xf>
    <xf numFmtId="0" fontId="20" fillId="0" borderId="11" xfId="0" applyFont="1" applyBorder="1" applyAlignment="1">
      <alignment horizontal="left" vertical="center" wrapText="1"/>
    </xf>
    <xf numFmtId="43" fontId="0" fillId="3" borderId="8" xfId="1" applyNumberFormat="1" applyFont="1" applyFill="1" applyBorder="1" applyAlignment="1">
      <alignment horizontal="center" vertical="center"/>
    </xf>
    <xf numFmtId="43" fontId="0" fillId="0" borderId="9" xfId="1" applyNumberFormat="1" applyFont="1" applyFill="1" applyBorder="1" applyAlignment="1">
      <alignment horizontal="center" vertical="center"/>
    </xf>
    <xf numFmtId="0" fontId="20" fillId="0" borderId="22" xfId="0" applyFont="1" applyBorder="1" applyAlignment="1">
      <alignment horizontal="left" vertical="center" wrapText="1"/>
    </xf>
    <xf numFmtId="0" fontId="20" fillId="0" borderId="22" xfId="0" applyFont="1" applyBorder="1" applyAlignment="1">
      <alignment horizontal="center" vertical="center" wrapText="1"/>
    </xf>
    <xf numFmtId="0" fontId="0" fillId="0" borderId="52" xfId="2" applyNumberFormat="1" applyFont="1" applyFill="1" applyBorder="1" applyAlignment="1">
      <alignment horizontal="center" vertical="center"/>
    </xf>
    <xf numFmtId="43" fontId="0" fillId="3" borderId="46" xfId="1" applyNumberFormat="1" applyFont="1" applyFill="1" applyBorder="1" applyAlignment="1">
      <alignment horizontal="center" vertical="center"/>
    </xf>
    <xf numFmtId="43" fontId="0" fillId="0" borderId="23" xfId="1" applyNumberFormat="1" applyFont="1" applyFill="1" applyBorder="1" applyAlignment="1">
      <alignment horizontal="center" vertical="center"/>
    </xf>
    <xf numFmtId="0" fontId="20" fillId="0" borderId="30" xfId="0" applyFont="1" applyBorder="1" applyAlignment="1">
      <alignment horizontal="left" vertical="center" wrapText="1"/>
    </xf>
    <xf numFmtId="0" fontId="20" fillId="0" borderId="30" xfId="0" applyFont="1" applyBorder="1" applyAlignment="1">
      <alignment horizontal="center" vertical="center"/>
    </xf>
    <xf numFmtId="0" fontId="7" fillId="3" borderId="12" xfId="2" applyNumberFormat="1" applyFont="1" applyFill="1" applyBorder="1" applyAlignment="1">
      <alignment horizontal="center" vertical="center"/>
    </xf>
    <xf numFmtId="164" fontId="0" fillId="0" borderId="18" xfId="1" applyFont="1" applyBorder="1" applyAlignment="1">
      <alignment horizontal="center" vertical="center"/>
    </xf>
    <xf numFmtId="0" fontId="0" fillId="0" borderId="11" xfId="2" applyNumberFormat="1" applyFont="1" applyBorder="1" applyAlignment="1">
      <alignment horizontal="center" vertical="center"/>
    </xf>
    <xf numFmtId="164" fontId="0" fillId="3" borderId="44" xfId="1" applyFont="1" applyFill="1" applyBorder="1" applyAlignment="1">
      <alignment horizontal="center" vertical="center"/>
    </xf>
    <xf numFmtId="0" fontId="0" fillId="0" borderId="12" xfId="2" applyNumberFormat="1" applyFont="1" applyBorder="1" applyAlignment="1">
      <alignment horizontal="center" vertical="center"/>
    </xf>
    <xf numFmtId="164" fontId="0" fillId="3" borderId="9" xfId="1" applyFont="1" applyFill="1" applyBorder="1" applyAlignment="1">
      <alignment horizontal="center" vertical="center"/>
    </xf>
    <xf numFmtId="164" fontId="0" fillId="3" borderId="12" xfId="1" applyFont="1" applyFill="1" applyBorder="1" applyAlignment="1">
      <alignment horizontal="center" vertical="center"/>
    </xf>
    <xf numFmtId="0" fontId="18" fillId="0" borderId="9" xfId="0" applyFont="1" applyBorder="1" applyAlignment="1">
      <alignment horizontal="center" vertical="center" textRotation="90" wrapText="1"/>
    </xf>
    <xf numFmtId="0" fontId="7" fillId="3" borderId="52" xfId="2" applyNumberFormat="1" applyFont="1" applyFill="1" applyBorder="1" applyAlignment="1">
      <alignment horizontal="center" vertical="center"/>
    </xf>
    <xf numFmtId="164" fontId="0" fillId="0" borderId="46" xfId="1" applyFont="1" applyBorder="1" applyAlignment="1">
      <alignment horizontal="center" vertical="center"/>
    </xf>
    <xf numFmtId="0" fontId="0" fillId="0" borderId="22" xfId="2" applyNumberFormat="1" applyFont="1" applyBorder="1" applyAlignment="1">
      <alignment horizontal="center" vertical="center"/>
    </xf>
    <xf numFmtId="0" fontId="0" fillId="0" borderId="52" xfId="2" applyNumberFormat="1" applyFont="1" applyBorder="1" applyAlignment="1">
      <alignment horizontal="center" vertical="center"/>
    </xf>
    <xf numFmtId="164" fontId="0" fillId="3" borderId="23" xfId="1" applyFont="1" applyFill="1" applyBorder="1" applyAlignment="1">
      <alignment horizontal="center" vertical="center"/>
    </xf>
    <xf numFmtId="164" fontId="0" fillId="0" borderId="11" xfId="1" applyFont="1" applyBorder="1" applyAlignment="1">
      <alignment horizontal="center" vertical="center"/>
    </xf>
    <xf numFmtId="0" fontId="0" fillId="0" borderId="11" xfId="2" applyNumberFormat="1" applyFont="1" applyFill="1" applyBorder="1" applyAlignment="1">
      <alignment horizontal="center" vertical="center"/>
    </xf>
    <xf numFmtId="43" fontId="0" fillId="3" borderId="11" xfId="1" applyNumberFormat="1" applyFont="1" applyFill="1" applyBorder="1" applyAlignment="1">
      <alignment horizontal="center" vertical="center"/>
    </xf>
    <xf numFmtId="43" fontId="0" fillId="0" borderId="8" xfId="1" applyNumberFormat="1" applyFont="1" applyFill="1" applyBorder="1" applyAlignment="1">
      <alignment horizontal="center" vertical="center"/>
    </xf>
    <xf numFmtId="43" fontId="0" fillId="0" borderId="11" xfId="1" applyNumberFormat="1" applyFont="1" applyFill="1" applyBorder="1" applyAlignment="1">
      <alignment horizontal="center" vertical="center"/>
    </xf>
    <xf numFmtId="0" fontId="0" fillId="0" borderId="33" xfId="2" applyNumberFormat="1" applyFont="1" applyBorder="1" applyAlignment="1">
      <alignment horizontal="center" vertical="center"/>
    </xf>
    <xf numFmtId="0" fontId="0" fillId="0" borderId="33" xfId="2" applyNumberFormat="1" applyFont="1" applyBorder="1" applyAlignment="1">
      <alignment horizontal="center" vertical="center" wrapText="1"/>
    </xf>
    <xf numFmtId="43" fontId="0" fillId="3" borderId="9" xfId="1" applyNumberFormat="1" applyFont="1" applyFill="1" applyBorder="1" applyAlignment="1">
      <alignment horizontal="center" vertical="center"/>
    </xf>
    <xf numFmtId="0" fontId="0" fillId="0" borderId="33" xfId="2" applyNumberFormat="1" applyFont="1" applyFill="1" applyBorder="1" applyAlignment="1">
      <alignment horizontal="center" vertical="center"/>
    </xf>
    <xf numFmtId="0" fontId="0" fillId="3" borderId="33" xfId="2" applyNumberFormat="1" applyFont="1" applyFill="1" applyBorder="1" applyAlignment="1">
      <alignment horizontal="center" vertical="center"/>
    </xf>
    <xf numFmtId="43" fontId="0" fillId="3" borderId="33" xfId="1" applyNumberFormat="1" applyFont="1" applyFill="1" applyBorder="1" applyAlignment="1">
      <alignment horizontal="center" vertical="center"/>
    </xf>
    <xf numFmtId="164" fontId="0" fillId="0" borderId="22" xfId="1" applyFont="1" applyBorder="1" applyAlignment="1">
      <alignment horizontal="center" vertical="center"/>
    </xf>
    <xf numFmtId="0" fontId="0" fillId="0" borderId="22" xfId="2" applyNumberFormat="1" applyFont="1" applyFill="1" applyBorder="1" applyAlignment="1">
      <alignment horizontal="center" vertical="center"/>
    </xf>
    <xf numFmtId="43" fontId="0" fillId="0" borderId="46" xfId="1" applyNumberFormat="1" applyFont="1" applyFill="1" applyBorder="1" applyAlignment="1">
      <alignment horizontal="center" vertical="center"/>
    </xf>
    <xf numFmtId="43" fontId="0" fillId="3" borderId="52" xfId="1" applyNumberFormat="1" applyFont="1" applyFill="1" applyBorder="1" applyAlignment="1">
      <alignment horizontal="center" vertical="center"/>
    </xf>
    <xf numFmtId="43" fontId="0" fillId="0" borderId="22" xfId="1" applyNumberFormat="1" applyFont="1" applyFill="1" applyBorder="1" applyAlignment="1">
      <alignment horizontal="center" vertical="center"/>
    </xf>
    <xf numFmtId="43" fontId="0" fillId="0" borderId="42" xfId="1" applyNumberFormat="1" applyFont="1" applyFill="1" applyBorder="1" applyAlignment="1">
      <alignment horizontal="center" vertical="center"/>
    </xf>
    <xf numFmtId="164" fontId="38" fillId="6" borderId="51" xfId="1" applyFont="1" applyFill="1" applyBorder="1" applyAlignment="1">
      <alignment horizontal="center" vertical="center"/>
    </xf>
    <xf numFmtId="2" fontId="12" fillId="0" borderId="11" xfId="2" applyNumberFormat="1" applyFont="1" applyBorder="1" applyAlignment="1">
      <alignment horizontal="center"/>
    </xf>
    <xf numFmtId="43" fontId="20" fillId="0" borderId="11" xfId="2" applyFont="1" applyBorder="1" applyAlignment="1">
      <alignment horizontal="center"/>
    </xf>
    <xf numFmtId="43" fontId="0" fillId="0" borderId="11" xfId="2" applyFont="1" applyBorder="1" applyAlignment="1" applyProtection="1">
      <alignment horizontal="center"/>
      <protection locked="0"/>
    </xf>
    <xf numFmtId="177" fontId="20" fillId="0" borderId="11" xfId="2" applyNumberFormat="1" applyFont="1" applyFill="1" applyBorder="1" applyAlignment="1">
      <alignment horizontal="center"/>
    </xf>
    <xf numFmtId="4" fontId="7" fillId="0" borderId="30" xfId="0" applyNumberFormat="1" applyFont="1" applyBorder="1" applyAlignment="1">
      <alignment horizontal="center"/>
    </xf>
    <xf numFmtId="0" fontId="25" fillId="0" borderId="0" xfId="0" applyFont="1" applyAlignment="1">
      <alignment horizontal="left" vertical="center" wrapText="1"/>
    </xf>
    <xf numFmtId="0" fontId="12" fillId="0" borderId="0" xfId="0" applyFont="1" applyAlignment="1">
      <alignment horizontal="left" vertical="center" wrapText="1"/>
    </xf>
    <xf numFmtId="14" fontId="12" fillId="0" borderId="0" xfId="0" applyNumberFormat="1" applyFont="1" applyAlignment="1" applyProtection="1">
      <alignment horizontal="left" vertical="center"/>
      <protection locked="0"/>
    </xf>
    <xf numFmtId="0" fontId="12" fillId="0" borderId="0" xfId="0" applyFont="1" applyAlignment="1">
      <alignment horizontal="right" vertical="center" wrapText="1"/>
    </xf>
    <xf numFmtId="0" fontId="12" fillId="0" borderId="0" xfId="0" applyFont="1" applyAlignment="1">
      <alignment horizontal="right" vertical="center"/>
    </xf>
    <xf numFmtId="0" fontId="25" fillId="15" borderId="11" xfId="0" applyFont="1" applyFill="1" applyBorder="1" applyAlignment="1">
      <alignment horizontal="center" vertical="center" wrapText="1"/>
    </xf>
    <xf numFmtId="0" fontId="0" fillId="16" borderId="59" xfId="0" applyFill="1" applyBorder="1" applyAlignment="1">
      <alignment vertical="center" wrapText="1"/>
    </xf>
    <xf numFmtId="0" fontId="0" fillId="16" borderId="59" xfId="0" applyFill="1" applyBorder="1" applyAlignment="1">
      <alignment horizontal="center" vertical="center" wrapText="1"/>
    </xf>
    <xf numFmtId="0" fontId="7" fillId="15" borderId="59" xfId="0" applyFont="1" applyFill="1" applyBorder="1" applyAlignment="1">
      <alignment horizontal="center" vertical="center" wrapText="1"/>
    </xf>
    <xf numFmtId="164" fontId="0" fillId="15" borderId="59" xfId="1" applyFont="1" applyFill="1" applyBorder="1" applyAlignment="1">
      <alignment horizontal="center" vertical="center" wrapText="1"/>
    </xf>
    <xf numFmtId="164" fontId="7" fillId="15" borderId="59" xfId="1" applyFont="1" applyFill="1" applyBorder="1" applyAlignment="1">
      <alignment horizontal="center" vertical="center" wrapText="1"/>
    </xf>
    <xf numFmtId="1" fontId="35" fillId="15" borderId="59" xfId="1" applyNumberFormat="1" applyFont="1" applyFill="1" applyBorder="1" applyAlignment="1">
      <alignment horizontal="center" vertical="center" wrapText="1"/>
    </xf>
    <xf numFmtId="164" fontId="7" fillId="16" borderId="59" xfId="1" applyFont="1" applyFill="1" applyBorder="1" applyAlignment="1">
      <alignment horizontal="center" vertical="center" wrapText="1"/>
    </xf>
    <xf numFmtId="0" fontId="44" fillId="0" borderId="0" xfId="0" applyFont="1" applyAlignment="1">
      <alignment horizontal="centerContinuous"/>
    </xf>
    <xf numFmtId="0" fontId="35" fillId="0" borderId="0" xfId="0" applyFont="1" applyAlignment="1">
      <alignment horizontal="centerContinuous"/>
    </xf>
    <xf numFmtId="0" fontId="12" fillId="0" borderId="0" xfId="0" applyFont="1" applyAlignment="1">
      <alignment horizontal="center" vertical="center" wrapText="1"/>
    </xf>
    <xf numFmtId="14" fontId="12" fillId="0" borderId="0" xfId="0" applyNumberFormat="1" applyFont="1" applyAlignment="1" applyProtection="1">
      <alignment horizontal="right" vertical="center"/>
      <protection locked="0"/>
    </xf>
    <xf numFmtId="0" fontId="16" fillId="0" borderId="0" xfId="3" applyFont="1"/>
    <xf numFmtId="0" fontId="14" fillId="0" borderId="0" xfId="0" applyFont="1"/>
    <xf numFmtId="0" fontId="10" fillId="0" borderId="0" xfId="0" applyFont="1" applyAlignment="1">
      <alignment horizontal="center"/>
    </xf>
    <xf numFmtId="0" fontId="26" fillId="0" borderId="0" xfId="0" applyFont="1" applyAlignment="1">
      <alignment vertical="center"/>
    </xf>
    <xf numFmtId="0" fontId="25" fillId="4" borderId="0" xfId="0" applyFont="1" applyFill="1" applyAlignment="1">
      <alignment horizontal="center" vertical="center"/>
    </xf>
    <xf numFmtId="0" fontId="3" fillId="0" borderId="0" xfId="0" applyFont="1" applyAlignment="1">
      <alignment horizontal="left" vertical="top" wrapText="1"/>
    </xf>
    <xf numFmtId="0" fontId="3" fillId="0" borderId="0" xfId="0" applyFont="1" applyAlignment="1">
      <alignment horizontal="left"/>
    </xf>
    <xf numFmtId="0" fontId="3" fillId="0" borderId="0" xfId="0" applyFont="1" applyAlignment="1">
      <alignment horizontal="left" vertical="center"/>
    </xf>
    <xf numFmtId="0" fontId="45" fillId="0" borderId="0" xfId="0" applyFont="1" applyAlignment="1">
      <alignment vertical="center"/>
    </xf>
    <xf numFmtId="0" fontId="7" fillId="0" borderId="0" xfId="0" applyFont="1" applyAlignment="1">
      <alignment vertical="center"/>
    </xf>
    <xf numFmtId="4" fontId="25" fillId="0" borderId="11" xfId="0" applyNumberFormat="1" applyFont="1" applyBorder="1" applyAlignment="1">
      <alignment horizontal="center" vertical="center"/>
    </xf>
    <xf numFmtId="0" fontId="7" fillId="3" borderId="11" xfId="2" applyNumberFormat="1" applyFont="1" applyFill="1" applyBorder="1" applyAlignment="1">
      <alignment horizontal="center" vertical="center"/>
    </xf>
    <xf numFmtId="0" fontId="7" fillId="3" borderId="22" xfId="2" applyNumberFormat="1" applyFont="1" applyFill="1" applyBorder="1" applyAlignment="1">
      <alignment horizontal="center" vertical="center"/>
    </xf>
    <xf numFmtId="43" fontId="0" fillId="3" borderId="22" xfId="1" applyNumberFormat="1" applyFont="1" applyFill="1" applyBorder="1" applyAlignment="1">
      <alignment horizontal="center" vertical="center"/>
    </xf>
    <xf numFmtId="43" fontId="0" fillId="3" borderId="23" xfId="1" applyNumberFormat="1" applyFont="1" applyFill="1" applyBorder="1" applyAlignment="1">
      <alignment horizontal="center" vertical="center"/>
    </xf>
    <xf numFmtId="10" fontId="7" fillId="3" borderId="11" xfId="7" applyNumberFormat="1" applyFont="1" applyFill="1" applyBorder="1" applyAlignment="1">
      <alignment horizontal="center"/>
    </xf>
    <xf numFmtId="43" fontId="25" fillId="0" borderId="0" xfId="0" applyNumberFormat="1" applyFont="1" applyAlignment="1">
      <alignment vertical="center"/>
    </xf>
    <xf numFmtId="4" fontId="25" fillId="0" borderId="20" xfId="0" applyNumberFormat="1" applyFont="1" applyBorder="1" applyAlignment="1">
      <alignment horizontal="center" vertical="center"/>
    </xf>
    <xf numFmtId="4" fontId="25" fillId="0" borderId="22" xfId="0" applyNumberFormat="1" applyFont="1" applyBorder="1" applyAlignment="1">
      <alignment horizontal="center" vertical="center"/>
    </xf>
    <xf numFmtId="4" fontId="25" fillId="0" borderId="29" xfId="0" applyNumberFormat="1" applyFont="1" applyBorder="1" applyAlignment="1">
      <alignment horizontal="center" vertical="center"/>
    </xf>
    <xf numFmtId="0" fontId="8" fillId="12" borderId="33" xfId="0" applyFont="1" applyFill="1" applyBorder="1" applyAlignment="1">
      <alignment horizontal="center" vertical="center" wrapText="1"/>
    </xf>
    <xf numFmtId="1" fontId="8" fillId="13" borderId="33" xfId="0" applyNumberFormat="1" applyFont="1" applyFill="1" applyBorder="1" applyAlignment="1" applyProtection="1">
      <alignment horizontal="center" vertical="center" wrapText="1"/>
      <protection locked="0"/>
    </xf>
    <xf numFmtId="43" fontId="12" fillId="0" borderId="0" xfId="2" applyFont="1" applyFill="1" applyBorder="1" applyAlignment="1" applyProtection="1">
      <alignment horizontal="right" vertical="center"/>
      <protection locked="0"/>
    </xf>
    <xf numFmtId="43" fontId="8" fillId="12" borderId="33" xfId="2" applyFont="1" applyFill="1" applyBorder="1" applyAlignment="1">
      <alignment horizontal="center" vertical="center" wrapText="1"/>
    </xf>
    <xf numFmtId="43" fontId="8" fillId="12" borderId="37" xfId="2" applyFont="1" applyFill="1" applyBorder="1" applyAlignment="1">
      <alignment horizontal="center" vertical="center" wrapText="1"/>
    </xf>
    <xf numFmtId="43" fontId="11" fillId="14" borderId="11" xfId="2" applyFont="1" applyFill="1" applyBorder="1" applyAlignment="1">
      <alignment horizontal="center" vertical="center"/>
    </xf>
    <xf numFmtId="43" fontId="12" fillId="0" borderId="11" xfId="2" applyFont="1" applyFill="1" applyBorder="1" applyAlignment="1">
      <alignment horizontal="center" vertical="center" wrapText="1"/>
    </xf>
    <xf numFmtId="0" fontId="46" fillId="0" borderId="0" xfId="0" applyFont="1"/>
    <xf numFmtId="43" fontId="46" fillId="0" borderId="0" xfId="2" applyFont="1" applyBorder="1" applyAlignment="1" applyProtection="1"/>
    <xf numFmtId="0" fontId="12" fillId="0" borderId="0" xfId="0" applyFont="1"/>
    <xf numFmtId="0" fontId="47" fillId="0" borderId="0" xfId="0" applyFont="1"/>
    <xf numFmtId="43" fontId="47" fillId="0" borderId="0" xfId="2" applyFont="1" applyBorder="1" applyAlignment="1" applyProtection="1"/>
    <xf numFmtId="0" fontId="45" fillId="0" borderId="0" xfId="0" applyFont="1"/>
    <xf numFmtId="43" fontId="45" fillId="0" borderId="0" xfId="2" applyFont="1" applyBorder="1" applyAlignment="1" applyProtection="1"/>
    <xf numFmtId="0" fontId="16" fillId="0" borderId="0" xfId="0" applyFont="1" applyAlignment="1">
      <alignment vertical="center"/>
    </xf>
    <xf numFmtId="0" fontId="11" fillId="0" borderId="0" xfId="0" applyFont="1"/>
    <xf numFmtId="43" fontId="11" fillId="0" borderId="0" xfId="2" applyFont="1" applyBorder="1" applyAlignment="1" applyProtection="1"/>
    <xf numFmtId="0" fontId="11" fillId="0" borderId="0" xfId="0" applyFont="1" applyAlignment="1">
      <alignment vertical="center"/>
    </xf>
    <xf numFmtId="0" fontId="45" fillId="0" borderId="0" xfId="0" applyFont="1" applyAlignment="1">
      <alignment horizontal="center"/>
    </xf>
    <xf numFmtId="43" fontId="45" fillId="0" borderId="0" xfId="2" applyFont="1" applyBorder="1" applyAlignment="1" applyProtection="1">
      <alignment horizontal="center"/>
    </xf>
    <xf numFmtId="0" fontId="12" fillId="0" borderId="0" xfId="0" applyFont="1" applyAlignment="1">
      <alignment horizontal="center"/>
    </xf>
    <xf numFmtId="43" fontId="12" fillId="0" borderId="0" xfId="2" applyFont="1"/>
    <xf numFmtId="14" fontId="12" fillId="0" borderId="11" xfId="0" applyNumberFormat="1" applyFont="1" applyBorder="1" applyAlignment="1">
      <alignment horizontal="center" vertical="center"/>
    </xf>
    <xf numFmtId="0" fontId="12" fillId="0" borderId="0" xfId="0" applyFont="1" applyAlignment="1">
      <alignment horizontal="left"/>
    </xf>
    <xf numFmtId="0" fontId="12" fillId="0" borderId="0" xfId="0" applyFont="1" applyAlignment="1">
      <alignment horizontal="left" vertical="center"/>
    </xf>
    <xf numFmtId="43" fontId="24" fillId="0" borderId="0" xfId="2" applyFont="1" applyFill="1" applyBorder="1" applyAlignment="1">
      <alignment horizontal="left" vertical="center"/>
    </xf>
    <xf numFmtId="43" fontId="33" fillId="0" borderId="0" xfId="2" applyFont="1"/>
    <xf numFmtId="0" fontId="12" fillId="0" borderId="0" xfId="0" applyFont="1" applyAlignment="1">
      <alignment horizontal="center" vertical="center"/>
    </xf>
    <xf numFmtId="0" fontId="33" fillId="0" borderId="0" xfId="0" applyFont="1" applyAlignment="1">
      <alignment vertical="center" wrapText="1"/>
    </xf>
    <xf numFmtId="0" fontId="33" fillId="0" borderId="0" xfId="0" applyFont="1" applyAlignment="1">
      <alignment vertical="center"/>
    </xf>
    <xf numFmtId="0" fontId="33" fillId="2" borderId="0" xfId="0" applyFont="1" applyFill="1" applyAlignment="1">
      <alignment vertical="center" wrapText="1"/>
    </xf>
    <xf numFmtId="0" fontId="33" fillId="0" borderId="0" xfId="0" applyFont="1" applyAlignment="1">
      <alignment horizontal="left" vertical="center" wrapText="1"/>
    </xf>
    <xf numFmtId="43" fontId="12" fillId="0" borderId="0" xfId="2" applyFont="1" applyAlignment="1">
      <alignment horizontal="center" vertical="center"/>
    </xf>
    <xf numFmtId="0" fontId="33" fillId="0" borderId="0" xfId="0" applyFont="1" applyAlignment="1">
      <alignment horizontal="center" vertical="center" wrapText="1"/>
    </xf>
    <xf numFmtId="43" fontId="12" fillId="0" borderId="0" xfId="0" applyNumberFormat="1" applyFont="1"/>
    <xf numFmtId="43" fontId="12" fillId="0" borderId="11" xfId="2" applyFont="1" applyBorder="1" applyAlignment="1">
      <alignment horizontal="center" vertical="center"/>
    </xf>
    <xf numFmtId="0" fontId="11" fillId="0" borderId="0" xfId="0" applyFont="1" applyAlignment="1">
      <alignment horizontal="center" vertical="center"/>
    </xf>
    <xf numFmtId="43" fontId="11" fillId="0" borderId="0" xfId="2" applyFont="1" applyFill="1" applyBorder="1" applyAlignment="1">
      <alignment horizontal="center" vertical="center"/>
    </xf>
    <xf numFmtId="4" fontId="24" fillId="0" borderId="0" xfId="0" applyNumberFormat="1" applyFont="1"/>
    <xf numFmtId="4" fontId="24" fillId="0" borderId="0" xfId="0" applyNumberFormat="1" applyFont="1" applyAlignment="1">
      <alignment horizontal="right"/>
    </xf>
    <xf numFmtId="2" fontId="25" fillId="0" borderId="22" xfId="0" applyNumberFormat="1" applyFont="1" applyBorder="1" applyAlignment="1">
      <alignment horizontal="center" vertical="center"/>
    </xf>
    <xf numFmtId="2" fontId="25" fillId="0" borderId="29" xfId="0" applyNumberFormat="1" applyFont="1" applyBorder="1" applyAlignment="1">
      <alignment horizontal="center" vertical="center"/>
    </xf>
    <xf numFmtId="168" fontId="0" fillId="0" borderId="0" xfId="0" applyNumberFormat="1" applyAlignment="1">
      <alignment horizontal="center"/>
    </xf>
    <xf numFmtId="43" fontId="11" fillId="14" borderId="11" xfId="2" applyFont="1" applyFill="1" applyBorder="1" applyAlignment="1">
      <alignment vertical="center"/>
    </xf>
    <xf numFmtId="43" fontId="11" fillId="14" borderId="11" xfId="2" applyFont="1" applyFill="1" applyBorder="1" applyAlignment="1">
      <alignment horizontal="right" vertical="center"/>
    </xf>
    <xf numFmtId="2" fontId="11" fillId="14" borderId="11" xfId="2" applyNumberFormat="1" applyFont="1" applyFill="1" applyBorder="1" applyAlignment="1">
      <alignment horizontal="center" vertical="center"/>
    </xf>
    <xf numFmtId="1" fontId="12" fillId="0" borderId="11" xfId="2" applyNumberFormat="1" applyFont="1" applyBorder="1" applyAlignment="1">
      <alignment horizontal="center" vertical="center"/>
    </xf>
    <xf numFmtId="1" fontId="11" fillId="0" borderId="0" xfId="2" applyNumberFormat="1" applyFont="1" applyFill="1" applyBorder="1" applyAlignment="1">
      <alignment horizontal="center" vertical="center"/>
    </xf>
    <xf numFmtId="2" fontId="12" fillId="0" borderId="11" xfId="2" applyNumberFormat="1" applyFont="1" applyFill="1" applyBorder="1" applyAlignment="1">
      <alignment horizontal="center" vertical="center" wrapText="1"/>
    </xf>
    <xf numFmtId="0" fontId="12" fillId="0" borderId="0" xfId="0" applyFont="1" applyAlignment="1">
      <alignment wrapText="1"/>
    </xf>
    <xf numFmtId="43" fontId="11" fillId="10" borderId="11" xfId="2" applyFont="1" applyFill="1" applyBorder="1" applyAlignment="1">
      <alignment horizontal="center" vertical="center"/>
    </xf>
    <xf numFmtId="43" fontId="11" fillId="10" borderId="11" xfId="2" applyFont="1" applyFill="1" applyBorder="1" applyAlignment="1">
      <alignment horizontal="center" vertical="center" wrapText="1"/>
    </xf>
    <xf numFmtId="43" fontId="24" fillId="14" borderId="11" xfId="2" applyFont="1" applyFill="1" applyBorder="1" applyAlignment="1">
      <alignment horizontal="right" vertical="center"/>
    </xf>
    <xf numFmtId="0" fontId="32" fillId="19" borderId="11" xfId="0" applyFont="1" applyFill="1" applyBorder="1" applyAlignment="1">
      <alignment horizontal="center" vertical="center"/>
    </xf>
    <xf numFmtId="0" fontId="32" fillId="19" borderId="11" xfId="0" applyFont="1" applyFill="1" applyBorder="1" applyAlignment="1">
      <alignment horizontal="center" vertical="center" wrapText="1"/>
    </xf>
    <xf numFmtId="0" fontId="31" fillId="0" borderId="33" xfId="0" applyFont="1" applyBorder="1" applyAlignment="1">
      <alignment horizontal="center" vertical="center" wrapText="1"/>
    </xf>
    <xf numFmtId="0" fontId="31" fillId="0" borderId="33" xfId="0" applyFont="1" applyBorder="1" applyAlignment="1">
      <alignment horizontal="center" vertical="center"/>
    </xf>
    <xf numFmtId="0" fontId="31" fillId="0" borderId="30" xfId="0" applyFont="1" applyBorder="1" applyAlignment="1">
      <alignment horizontal="center" vertical="center" wrapText="1"/>
    </xf>
    <xf numFmtId="0" fontId="31" fillId="0" borderId="0" xfId="0" applyFont="1" applyAlignment="1">
      <alignment horizontal="left" wrapText="1"/>
    </xf>
    <xf numFmtId="0" fontId="31" fillId="0" borderId="0" xfId="0" applyFont="1"/>
    <xf numFmtId="0" fontId="50" fillId="0" borderId="0" xfId="0" applyFont="1"/>
    <xf numFmtId="0" fontId="31" fillId="0" borderId="11" xfId="0" applyFont="1" applyBorder="1" applyAlignment="1">
      <alignment horizontal="center" vertical="center"/>
    </xf>
    <xf numFmtId="0" fontId="31" fillId="0" borderId="22" xfId="0" applyFont="1" applyBorder="1" applyAlignment="1">
      <alignment horizontal="center" vertical="center"/>
    </xf>
    <xf numFmtId="0" fontId="31" fillId="0" borderId="9" xfId="0" applyFont="1" applyBorder="1" applyAlignment="1">
      <alignment horizontal="center" vertical="center"/>
    </xf>
    <xf numFmtId="0" fontId="31" fillId="0" borderId="23" xfId="0" applyFont="1" applyBorder="1" applyAlignment="1">
      <alignment horizontal="center" vertical="center"/>
    </xf>
    <xf numFmtId="0" fontId="31" fillId="19" borderId="22" xfId="0" applyFont="1" applyFill="1" applyBorder="1" applyAlignment="1">
      <alignment horizontal="center" vertical="center"/>
    </xf>
    <xf numFmtId="0" fontId="31" fillId="19" borderId="11" xfId="0" applyFont="1" applyFill="1" applyBorder="1" applyAlignment="1">
      <alignment horizontal="center" vertical="center"/>
    </xf>
    <xf numFmtId="0" fontId="12" fillId="19" borderId="11" xfId="0" applyFont="1" applyFill="1" applyBorder="1" applyAlignment="1">
      <alignment horizontal="center" vertical="center"/>
    </xf>
    <xf numFmtId="0" fontId="31" fillId="19" borderId="12" xfId="0" applyFont="1" applyFill="1" applyBorder="1" applyAlignment="1">
      <alignment horizontal="center" vertical="center"/>
    </xf>
    <xf numFmtId="0" fontId="31" fillId="0" borderId="12" xfId="0" applyFont="1" applyBorder="1" applyAlignment="1">
      <alignment horizontal="center" vertical="center"/>
    </xf>
    <xf numFmtId="0" fontId="31" fillId="19" borderId="32" xfId="0" applyFont="1" applyFill="1" applyBorder="1" applyAlignment="1">
      <alignment horizontal="center" vertical="center"/>
    </xf>
    <xf numFmtId="0" fontId="31" fillId="0" borderId="52" xfId="0" applyFont="1" applyBorder="1" applyAlignment="1">
      <alignment horizontal="center" vertical="center"/>
    </xf>
    <xf numFmtId="0" fontId="31" fillId="0" borderId="11" xfId="0" applyFont="1" applyBorder="1" applyAlignment="1">
      <alignment horizontal="left" vertical="center" wrapText="1"/>
    </xf>
    <xf numFmtId="0" fontId="31" fillId="0" borderId="38" xfId="0" applyFont="1" applyBorder="1" applyAlignment="1">
      <alignment horizontal="center" vertical="center"/>
    </xf>
    <xf numFmtId="164" fontId="20" fillId="0" borderId="11" xfId="1" applyFont="1" applyFill="1" applyBorder="1"/>
    <xf numFmtId="4" fontId="0" fillId="0" borderId="0" xfId="0" applyNumberFormat="1"/>
    <xf numFmtId="0" fontId="25" fillId="0" borderId="0" xfId="0" applyFont="1" applyAlignment="1">
      <alignment horizontal="left" vertical="center" wrapText="1"/>
    </xf>
    <xf numFmtId="0" fontId="25" fillId="0" borderId="0" xfId="0" applyFont="1" applyAlignment="1">
      <alignment horizontal="justify" wrapText="1"/>
    </xf>
    <xf numFmtId="0" fontId="41" fillId="0" borderId="0" xfId="0" applyFont="1" applyAlignment="1">
      <alignment horizontal="center"/>
    </xf>
    <xf numFmtId="0" fontId="14" fillId="0" borderId="0" xfId="0" applyFont="1" applyAlignment="1">
      <alignment horizontal="center"/>
    </xf>
    <xf numFmtId="0" fontId="7" fillId="0" borderId="0" xfId="0" applyFont="1" applyAlignment="1">
      <alignment horizontal="center" vertical="center"/>
    </xf>
    <xf numFmtId="0" fontId="7" fillId="0" borderId="0" xfId="0" applyFont="1" applyAlignment="1">
      <alignment horizontal="center"/>
    </xf>
    <xf numFmtId="0" fontId="26" fillId="0" borderId="0" xfId="0" applyFont="1" applyAlignment="1">
      <alignment horizontal="center" vertical="center"/>
    </xf>
    <xf numFmtId="0" fontId="45" fillId="0" borderId="0" xfId="0" applyFont="1" applyAlignment="1">
      <alignment horizontal="center" vertical="center"/>
    </xf>
    <xf numFmtId="0" fontId="8" fillId="12" borderId="35" xfId="0" applyFont="1" applyFill="1" applyBorder="1" applyAlignment="1">
      <alignment horizontal="left" vertical="center" wrapText="1"/>
    </xf>
    <xf numFmtId="0" fontId="8" fillId="12" borderId="0" xfId="0" applyFont="1" applyFill="1" applyAlignment="1">
      <alignment horizontal="left" vertical="center" wrapText="1"/>
    </xf>
    <xf numFmtId="0" fontId="18" fillId="0" borderId="0" xfId="0" applyFont="1" applyAlignment="1">
      <alignment horizontal="center"/>
    </xf>
    <xf numFmtId="0" fontId="12" fillId="0" borderId="0" xfId="0" applyFont="1" applyAlignment="1">
      <alignment horizontal="center" vertical="center" wrapText="1"/>
    </xf>
    <xf numFmtId="0" fontId="3" fillId="0" borderId="0" xfId="0" applyFont="1" applyAlignment="1">
      <alignment horizontal="left" vertical="top" wrapText="1"/>
    </xf>
    <xf numFmtId="0" fontId="16" fillId="0" borderId="0" xfId="3" applyFont="1" applyAlignment="1">
      <alignment horizontal="center"/>
    </xf>
    <xf numFmtId="0" fontId="16" fillId="0" borderId="0" xfId="3" applyFont="1" applyAlignment="1">
      <alignment horizontal="center" vertical="center"/>
    </xf>
    <xf numFmtId="0" fontId="39" fillId="0" borderId="0" xfId="0" applyFont="1" applyAlignment="1">
      <alignment horizontal="center" vertical="top"/>
    </xf>
    <xf numFmtId="0" fontId="17" fillId="0" borderId="0" xfId="0" applyFont="1" applyAlignment="1">
      <alignment horizontal="center" vertical="center" wrapText="1"/>
    </xf>
    <xf numFmtId="0" fontId="12" fillId="0" borderId="11" xfId="0" applyFont="1" applyBorder="1" applyAlignment="1">
      <alignment horizontal="left" vertical="center" wrapText="1"/>
    </xf>
    <xf numFmtId="0" fontId="48" fillId="18" borderId="36" xfId="0" applyFont="1" applyFill="1" applyBorder="1" applyAlignment="1">
      <alignment horizontal="left" vertical="center" wrapText="1"/>
    </xf>
    <xf numFmtId="0" fontId="48" fillId="18" borderId="4" xfId="0" applyFont="1" applyFill="1" applyBorder="1" applyAlignment="1">
      <alignment horizontal="left" vertical="center" wrapText="1"/>
    </xf>
    <xf numFmtId="0" fontId="31" fillId="0" borderId="33" xfId="0" applyFont="1" applyBorder="1" applyAlignment="1">
      <alignment horizontal="center" vertical="center" wrapText="1"/>
    </xf>
    <xf numFmtId="0" fontId="31" fillId="0" borderId="37" xfId="0" applyFont="1" applyBorder="1" applyAlignment="1">
      <alignment horizontal="center" vertical="center" wrapText="1"/>
    </xf>
    <xf numFmtId="0" fontId="31" fillId="0" borderId="30" xfId="0" applyFont="1" applyBorder="1" applyAlignment="1">
      <alignment horizontal="center" vertical="center" wrapText="1"/>
    </xf>
    <xf numFmtId="0" fontId="31" fillId="0" borderId="33" xfId="0" applyFont="1" applyBorder="1" applyAlignment="1">
      <alignment horizontal="center" vertical="center"/>
    </xf>
    <xf numFmtId="0" fontId="31" fillId="0" borderId="30" xfId="0" applyFont="1" applyBorder="1" applyAlignment="1">
      <alignment horizontal="center" vertical="center"/>
    </xf>
    <xf numFmtId="0" fontId="12" fillId="0" borderId="33" xfId="0" applyFont="1" applyBorder="1" applyAlignment="1">
      <alignment horizontal="center" vertical="center"/>
    </xf>
    <xf numFmtId="0" fontId="12" fillId="0" borderId="30" xfId="0" applyFont="1" applyBorder="1" applyAlignment="1">
      <alignment horizontal="center" vertical="center"/>
    </xf>
    <xf numFmtId="0" fontId="32" fillId="19" borderId="12" xfId="0" applyFont="1" applyFill="1" applyBorder="1" applyAlignment="1">
      <alignment horizontal="center" vertical="center" wrapText="1"/>
    </xf>
    <xf numFmtId="0" fontId="32" fillId="19" borderId="18" xfId="0" applyFont="1" applyFill="1" applyBorder="1" applyAlignment="1">
      <alignment horizontal="center" vertical="center" wrapText="1"/>
    </xf>
    <xf numFmtId="0" fontId="31" fillId="0" borderId="0" xfId="0" applyFont="1" applyAlignment="1">
      <alignment horizontal="left" wrapText="1"/>
    </xf>
    <xf numFmtId="0" fontId="31" fillId="0" borderId="13" xfId="0" applyFont="1" applyBorder="1" applyAlignment="1">
      <alignment horizontal="left" wrapText="1"/>
    </xf>
    <xf numFmtId="0" fontId="28" fillId="12" borderId="4" xfId="0" applyFont="1" applyFill="1" applyBorder="1" applyAlignment="1">
      <alignment horizontal="center" vertical="center"/>
    </xf>
    <xf numFmtId="0" fontId="0" fillId="0" borderId="0" xfId="0" applyAlignment="1">
      <alignment horizontal="center"/>
    </xf>
    <xf numFmtId="0" fontId="25" fillId="0" borderId="41" xfId="0" applyFont="1" applyBorder="1" applyAlignment="1">
      <alignment horizontal="center" vertical="center" wrapText="1"/>
    </xf>
    <xf numFmtId="0" fontId="25" fillId="0" borderId="45" xfId="0" applyFont="1" applyBorder="1" applyAlignment="1">
      <alignment horizontal="center" vertical="center" wrapText="1"/>
    </xf>
    <xf numFmtId="0" fontId="25" fillId="0" borderId="47" xfId="0" applyFont="1" applyBorder="1" applyAlignment="1">
      <alignment horizontal="center" vertical="center" wrapText="1"/>
    </xf>
    <xf numFmtId="0" fontId="43" fillId="6" borderId="11" xfId="0" applyFont="1" applyFill="1" applyBorder="1" applyAlignment="1">
      <alignment horizontal="center" vertical="center"/>
    </xf>
    <xf numFmtId="0" fontId="6" fillId="0" borderId="12"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12" xfId="0" applyFont="1" applyBorder="1" applyAlignment="1">
      <alignment horizontal="center" vertical="center"/>
    </xf>
    <xf numFmtId="0" fontId="6" fillId="0" borderId="18" xfId="0" applyFont="1" applyBorder="1" applyAlignment="1">
      <alignment horizontal="center" vertical="center"/>
    </xf>
    <xf numFmtId="0" fontId="25" fillId="0" borderId="10" xfId="0" applyFont="1" applyBorder="1" applyAlignment="1">
      <alignment horizontal="right" vertical="center"/>
    </xf>
    <xf numFmtId="0" fontId="25" fillId="0" borderId="15" xfId="0" applyFont="1" applyBorder="1" applyAlignment="1">
      <alignment horizontal="right" vertical="center"/>
    </xf>
    <xf numFmtId="0" fontId="25" fillId="0" borderId="6" xfId="0" applyFont="1" applyBorder="1" applyAlignment="1">
      <alignment horizontal="right" vertical="center"/>
    </xf>
    <xf numFmtId="0" fontId="6" fillId="0" borderId="10" xfId="0" applyFont="1" applyBorder="1" applyAlignment="1">
      <alignment horizontal="right" vertical="center"/>
    </xf>
    <xf numFmtId="0" fontId="6" fillId="0" borderId="15" xfId="0" applyFont="1" applyBorder="1" applyAlignment="1">
      <alignment horizontal="right" vertical="center"/>
    </xf>
    <xf numFmtId="0" fontId="6" fillId="0" borderId="6" xfId="0" applyFont="1" applyBorder="1" applyAlignment="1">
      <alignment horizontal="right" vertical="center"/>
    </xf>
    <xf numFmtId="0" fontId="25" fillId="0" borderId="33" xfId="0" applyFont="1" applyBorder="1" applyAlignment="1">
      <alignment horizontal="center" vertical="center" wrapText="1"/>
    </xf>
    <xf numFmtId="0" fontId="25" fillId="0" borderId="37" xfId="0" applyFont="1" applyBorder="1" applyAlignment="1">
      <alignment horizontal="center" vertical="center" wrapText="1"/>
    </xf>
    <xf numFmtId="0" fontId="25" fillId="0" borderId="30" xfId="0" applyFont="1" applyBorder="1" applyAlignment="1">
      <alignment horizontal="center" vertical="center" wrapText="1"/>
    </xf>
    <xf numFmtId="43" fontId="6" fillId="0" borderId="11" xfId="0" applyNumberFormat="1" applyFont="1" applyBorder="1" applyAlignment="1">
      <alignment horizontal="center" vertical="center"/>
    </xf>
    <xf numFmtId="0" fontId="6" fillId="0" borderId="11" xfId="0" applyFont="1" applyBorder="1" applyAlignment="1">
      <alignment horizontal="center" vertical="center"/>
    </xf>
    <xf numFmtId="43" fontId="6" fillId="0" borderId="33" xfId="0" applyNumberFormat="1" applyFont="1" applyBorder="1" applyAlignment="1">
      <alignment horizontal="center" vertical="center"/>
    </xf>
    <xf numFmtId="0" fontId="6" fillId="0" borderId="37" xfId="0" applyFont="1" applyBorder="1" applyAlignment="1">
      <alignment horizontal="center" vertical="center"/>
    </xf>
    <xf numFmtId="0" fontId="6" fillId="0" borderId="30" xfId="0" applyFont="1" applyBorder="1" applyAlignment="1">
      <alignment horizontal="center" vertical="center"/>
    </xf>
    <xf numFmtId="2" fontId="25" fillId="0" borderId="33" xfId="0" applyNumberFormat="1" applyFont="1" applyBorder="1" applyAlignment="1">
      <alignment horizontal="center" vertical="center"/>
    </xf>
    <xf numFmtId="2" fontId="25" fillId="0" borderId="37" xfId="0" applyNumberFormat="1" applyFont="1" applyBorder="1" applyAlignment="1">
      <alignment horizontal="center" vertical="center"/>
    </xf>
    <xf numFmtId="2" fontId="25" fillId="0" borderId="30" xfId="0" applyNumberFormat="1" applyFont="1" applyBorder="1" applyAlignment="1">
      <alignment horizontal="center" vertical="center"/>
    </xf>
    <xf numFmtId="4" fontId="25" fillId="0" borderId="11" xfId="0" applyNumberFormat="1" applyFont="1" applyBorder="1" applyAlignment="1">
      <alignment horizontal="center" vertical="center"/>
    </xf>
    <xf numFmtId="2" fontId="25" fillId="0" borderId="11" xfId="0" applyNumberFormat="1" applyFont="1" applyBorder="1" applyAlignment="1">
      <alignment horizontal="center" vertical="center"/>
    </xf>
    <xf numFmtId="0" fontId="10" fillId="0" borderId="0" xfId="0" applyFont="1" applyAlignment="1">
      <alignment horizontal="center" vertical="center"/>
    </xf>
    <xf numFmtId="0" fontId="6" fillId="0" borderId="0" xfId="0" applyFont="1" applyAlignment="1">
      <alignment horizontal="left" vertical="center" wrapText="1"/>
    </xf>
    <xf numFmtId="0" fontId="8" fillId="12" borderId="10" xfId="0" applyFont="1" applyFill="1" applyBorder="1" applyAlignment="1">
      <alignment horizontal="center" vertical="center" wrapText="1"/>
    </xf>
    <xf numFmtId="0" fontId="8" fillId="12" borderId="15" xfId="0" applyFont="1" applyFill="1" applyBorder="1" applyAlignment="1">
      <alignment horizontal="center" vertical="center" wrapText="1"/>
    </xf>
    <xf numFmtId="0" fontId="8" fillId="12" borderId="6" xfId="0" applyFont="1" applyFill="1" applyBorder="1" applyAlignment="1">
      <alignment horizontal="center" vertical="center" wrapText="1"/>
    </xf>
    <xf numFmtId="0" fontId="7" fillId="0" borderId="5" xfId="0" applyFont="1" applyBorder="1" applyAlignment="1">
      <alignment horizontal="left"/>
    </xf>
    <xf numFmtId="0" fontId="39" fillId="6" borderId="50" xfId="0" applyFont="1" applyFill="1" applyBorder="1" applyAlignment="1">
      <alignment horizontal="center" vertical="center"/>
    </xf>
    <xf numFmtId="0" fontId="39" fillId="6" borderId="5" xfId="0" applyFont="1" applyFill="1" applyBorder="1" applyAlignment="1">
      <alignment horizontal="center" vertical="center"/>
    </xf>
    <xf numFmtId="0" fontId="39" fillId="6" borderId="39" xfId="0" applyFont="1" applyFill="1" applyBorder="1" applyAlignment="1">
      <alignment horizontal="center" vertical="center"/>
    </xf>
    <xf numFmtId="0" fontId="42" fillId="12" borderId="10" xfId="0" applyFont="1" applyFill="1" applyBorder="1" applyAlignment="1">
      <alignment horizontal="center" vertical="center"/>
    </xf>
    <xf numFmtId="0" fontId="42" fillId="12" borderId="15" xfId="0" applyFont="1" applyFill="1" applyBorder="1" applyAlignment="1">
      <alignment horizontal="center" vertical="center"/>
    </xf>
    <xf numFmtId="0" fontId="42" fillId="12" borderId="6" xfId="0" applyFont="1" applyFill="1" applyBorder="1" applyAlignment="1">
      <alignment horizontal="center" vertical="center"/>
    </xf>
    <xf numFmtId="0" fontId="6" fillId="0" borderId="11" xfId="0" applyFont="1" applyBorder="1" applyAlignment="1">
      <alignment horizontal="center" vertical="center" wrapText="1"/>
    </xf>
    <xf numFmtId="0" fontId="6" fillId="0" borderId="0" xfId="0" applyFont="1" applyAlignment="1">
      <alignment horizontal="center" vertical="center"/>
    </xf>
    <xf numFmtId="0" fontId="6" fillId="0" borderId="17" xfId="0" applyFont="1" applyBorder="1" applyAlignment="1">
      <alignment horizontal="center" vertical="center"/>
    </xf>
    <xf numFmtId="0" fontId="25" fillId="0" borderId="0" xfId="0" applyFont="1" applyAlignment="1">
      <alignment horizontal="left" wrapText="1"/>
    </xf>
    <xf numFmtId="0" fontId="21" fillId="7" borderId="0" xfId="0" applyFont="1" applyFill="1" applyAlignment="1">
      <alignment horizontal="center"/>
    </xf>
    <xf numFmtId="0" fontId="19" fillId="6" borderId="19" xfId="0" applyFont="1" applyFill="1" applyBorder="1" applyAlignment="1">
      <alignment horizontal="center" vertical="center" wrapText="1"/>
    </xf>
    <xf numFmtId="0" fontId="19" fillId="6" borderId="8" xfId="0" applyFont="1" applyFill="1" applyBorder="1" applyAlignment="1">
      <alignment horizontal="center" vertical="center" wrapText="1"/>
    </xf>
    <xf numFmtId="0" fontId="19" fillId="6" borderId="20" xfId="0" applyFont="1" applyFill="1" applyBorder="1" applyAlignment="1">
      <alignment horizontal="center" vertical="center" wrapText="1"/>
    </xf>
    <xf numFmtId="0" fontId="19" fillId="6" borderId="11" xfId="0" applyFont="1" applyFill="1" applyBorder="1" applyAlignment="1">
      <alignment horizontal="center" vertical="center" wrapText="1"/>
    </xf>
    <xf numFmtId="0" fontId="24" fillId="6" borderId="31" xfId="0" applyFont="1" applyFill="1" applyBorder="1" applyAlignment="1">
      <alignment horizontal="center" wrapText="1"/>
    </xf>
    <xf numFmtId="0" fontId="24" fillId="6" borderId="16" xfId="0" applyFont="1" applyFill="1" applyBorder="1" applyAlignment="1">
      <alignment horizontal="center" wrapText="1"/>
    </xf>
    <xf numFmtId="0" fontId="19" fillId="6" borderId="1" xfId="0" applyFont="1" applyFill="1" applyBorder="1" applyAlignment="1">
      <alignment horizontal="center" vertical="center" wrapText="1"/>
    </xf>
    <xf numFmtId="0" fontId="19" fillId="6" borderId="53" xfId="0" applyFont="1" applyFill="1" applyBorder="1" applyAlignment="1">
      <alignment horizontal="center" vertical="center" wrapText="1"/>
    </xf>
    <xf numFmtId="0" fontId="21" fillId="12" borderId="7" xfId="0" applyFont="1" applyFill="1" applyBorder="1" applyAlignment="1">
      <alignment horizontal="center" wrapText="1"/>
    </xf>
    <xf numFmtId="0" fontId="21" fillId="12" borderId="24" xfId="0" applyFont="1" applyFill="1" applyBorder="1" applyAlignment="1">
      <alignment horizontal="center" wrapText="1"/>
    </xf>
    <xf numFmtId="0" fontId="21" fillId="12" borderId="0" xfId="0" applyFont="1" applyFill="1" applyAlignment="1">
      <alignment horizontal="center"/>
    </xf>
    <xf numFmtId="0" fontId="21" fillId="5" borderId="7" xfId="0" applyFont="1" applyFill="1" applyBorder="1" applyAlignment="1">
      <alignment horizontal="center" wrapText="1"/>
    </xf>
    <xf numFmtId="0" fontId="21" fillId="5" borderId="24" xfId="0" applyFont="1" applyFill="1" applyBorder="1" applyAlignment="1">
      <alignment horizontal="center" wrapText="1"/>
    </xf>
    <xf numFmtId="0" fontId="6" fillId="0" borderId="5" xfId="0" applyFont="1" applyBorder="1" applyAlignment="1">
      <alignment horizontal="left" vertical="center" wrapText="1"/>
    </xf>
    <xf numFmtId="0" fontId="10" fillId="0" borderId="0" xfId="0" applyFont="1" applyAlignment="1">
      <alignment horizontal="center"/>
    </xf>
    <xf numFmtId="0" fontId="6" fillId="0" borderId="14" xfId="0" applyFont="1" applyBorder="1" applyAlignment="1">
      <alignment horizontal="center" vertical="center"/>
    </xf>
    <xf numFmtId="0" fontId="24" fillId="0" borderId="50" xfId="0" applyFont="1" applyBorder="1" applyAlignment="1">
      <alignment horizontal="right" vertical="center"/>
    </xf>
    <xf numFmtId="0" fontId="24" fillId="0" borderId="5" xfId="0" applyFont="1" applyBorder="1" applyAlignment="1">
      <alignment horizontal="right" vertical="center"/>
    </xf>
    <xf numFmtId="0" fontId="24" fillId="0" borderId="39" xfId="0" applyFont="1" applyBorder="1" applyAlignment="1">
      <alignment horizontal="right" vertical="center"/>
    </xf>
    <xf numFmtId="0" fontId="24" fillId="0" borderId="10" xfId="0" applyFont="1" applyBorder="1" applyAlignment="1">
      <alignment horizontal="right" vertical="center"/>
    </xf>
    <xf numFmtId="0" fontId="24" fillId="0" borderId="15" xfId="0" applyFont="1" applyBorder="1" applyAlignment="1">
      <alignment horizontal="right" vertical="center"/>
    </xf>
    <xf numFmtId="0" fontId="24" fillId="0" borderId="6" xfId="0" applyFont="1" applyBorder="1" applyAlignment="1">
      <alignment horizontal="right" vertical="center"/>
    </xf>
    <xf numFmtId="0" fontId="21" fillId="12" borderId="10" xfId="0" applyFont="1" applyFill="1" applyBorder="1" applyAlignment="1">
      <alignment horizontal="right" vertical="center"/>
    </xf>
    <xf numFmtId="0" fontId="21" fillId="12" borderId="15" xfId="0" applyFont="1" applyFill="1" applyBorder="1" applyAlignment="1">
      <alignment horizontal="right" vertical="center"/>
    </xf>
    <xf numFmtId="0" fontId="21" fillId="12" borderId="6" xfId="0" applyFont="1" applyFill="1" applyBorder="1" applyAlignment="1">
      <alignment horizontal="right" vertical="center"/>
    </xf>
    <xf numFmtId="0" fontId="6" fillId="0" borderId="0" xfId="0" applyFont="1" applyAlignment="1">
      <alignment horizontal="center" vertical="center" wrapText="1"/>
    </xf>
    <xf numFmtId="0" fontId="21" fillId="12" borderId="10" xfId="0" applyFont="1" applyFill="1" applyBorder="1" applyAlignment="1">
      <alignment horizontal="center" vertical="center" wrapText="1"/>
    </xf>
    <xf numFmtId="0" fontId="21" fillId="12" borderId="15" xfId="0" applyFont="1" applyFill="1" applyBorder="1" applyAlignment="1">
      <alignment horizontal="center" vertical="center" wrapText="1"/>
    </xf>
    <xf numFmtId="0" fontId="21" fillId="12" borderId="6" xfId="0" applyFont="1" applyFill="1" applyBorder="1" applyAlignment="1">
      <alignment horizontal="center" vertical="center" wrapText="1"/>
    </xf>
    <xf numFmtId="0" fontId="19" fillId="6" borderId="10" xfId="0" applyFont="1" applyFill="1" applyBorder="1" applyAlignment="1">
      <alignment horizontal="center" vertical="center"/>
    </xf>
    <xf numFmtId="0" fontId="19" fillId="6" borderId="15" xfId="0" applyFont="1" applyFill="1" applyBorder="1" applyAlignment="1">
      <alignment horizontal="center" vertical="center"/>
    </xf>
    <xf numFmtId="0" fontId="19" fillId="6" borderId="6" xfId="0" applyFont="1" applyFill="1" applyBorder="1" applyAlignment="1">
      <alignment horizontal="center" vertical="center"/>
    </xf>
    <xf numFmtId="0" fontId="21" fillId="12" borderId="10" xfId="0" applyFont="1" applyFill="1" applyBorder="1" applyAlignment="1">
      <alignment horizontal="center" vertical="center"/>
    </xf>
    <xf numFmtId="0" fontId="21" fillId="12" borderId="15" xfId="0" applyFont="1" applyFill="1" applyBorder="1" applyAlignment="1">
      <alignment horizontal="center" vertical="center"/>
    </xf>
    <xf numFmtId="0" fontId="21" fillId="12" borderId="6" xfId="0" applyFont="1" applyFill="1" applyBorder="1" applyAlignment="1">
      <alignment horizontal="center" vertical="center"/>
    </xf>
    <xf numFmtId="0" fontId="6" fillId="0" borderId="5" xfId="0" applyFont="1" applyBorder="1" applyAlignment="1">
      <alignment horizontal="left"/>
    </xf>
    <xf numFmtId="164" fontId="21" fillId="12" borderId="15" xfId="1" applyFont="1" applyFill="1" applyBorder="1" applyAlignment="1">
      <alignment horizontal="center" vertical="center"/>
    </xf>
    <xf numFmtId="164" fontId="21" fillId="12" borderId="6" xfId="1" applyFont="1" applyFill="1" applyBorder="1" applyAlignment="1">
      <alignment horizontal="center" vertical="center"/>
    </xf>
    <xf numFmtId="0" fontId="0" fillId="15" borderId="11" xfId="0" applyFill="1" applyBorder="1" applyAlignment="1">
      <alignment vertical="center" wrapText="1"/>
    </xf>
    <xf numFmtId="0" fontId="15" fillId="0" borderId="63" xfId="0" applyFont="1" applyBorder="1" applyAlignment="1">
      <alignment horizontal="left" wrapText="1"/>
    </xf>
    <xf numFmtId="0" fontId="15" fillId="0" borderId="64" xfId="0" applyFont="1" applyBorder="1" applyAlignment="1">
      <alignment horizontal="left" wrapText="1"/>
    </xf>
    <xf numFmtId="0" fontId="15" fillId="0" borderId="65" xfId="0" applyFont="1" applyBorder="1" applyAlignment="1">
      <alignment horizontal="left" wrapText="1"/>
    </xf>
    <xf numFmtId="0" fontId="0" fillId="15" borderId="59" xfId="0" applyFill="1" applyBorder="1" applyAlignment="1">
      <alignment horizontal="left" vertical="center" wrapText="1"/>
    </xf>
    <xf numFmtId="0" fontId="7" fillId="15" borderId="59" xfId="0" applyFont="1" applyFill="1" applyBorder="1" applyAlignment="1">
      <alignment horizontal="center" vertical="center" wrapText="1"/>
    </xf>
    <xf numFmtId="0" fontId="7" fillId="16" borderId="59" xfId="0" applyFont="1" applyFill="1" applyBorder="1" applyAlignment="1">
      <alignment horizontal="center" vertical="center" wrapText="1"/>
    </xf>
    <xf numFmtId="0" fontId="7" fillId="0" borderId="12" xfId="0" applyFont="1" applyBorder="1" applyAlignment="1">
      <alignment horizontal="center"/>
    </xf>
    <xf numFmtId="0" fontId="7" fillId="0" borderId="14" xfId="0" applyFont="1" applyBorder="1" applyAlignment="1">
      <alignment horizontal="center"/>
    </xf>
    <xf numFmtId="0" fontId="7" fillId="0" borderId="18" xfId="0" applyFont="1" applyBorder="1" applyAlignment="1">
      <alignment horizontal="center"/>
    </xf>
    <xf numFmtId="0" fontId="3" fillId="0" borderId="12" xfId="0" applyFont="1" applyBorder="1" applyAlignment="1">
      <alignment horizontal="left" vertical="justify" wrapText="1"/>
    </xf>
    <xf numFmtId="0" fontId="3" fillId="0" borderId="14" xfId="0" applyFont="1" applyBorder="1" applyAlignment="1">
      <alignment horizontal="left" vertical="justify" wrapText="1"/>
    </xf>
    <xf numFmtId="0" fontId="3" fillId="0" borderId="18" xfId="0" applyFont="1" applyBorder="1" applyAlignment="1">
      <alignment horizontal="left" vertical="justify" wrapText="1"/>
    </xf>
    <xf numFmtId="0" fontId="3" fillId="0" borderId="12" xfId="0" applyFont="1" applyBorder="1" applyAlignment="1">
      <alignment horizontal="justify" vertical="justify" wrapText="1"/>
    </xf>
    <xf numFmtId="0" fontId="3" fillId="0" borderId="14" xfId="0" applyFont="1" applyBorder="1" applyAlignment="1">
      <alignment horizontal="justify" vertical="justify" wrapText="1"/>
    </xf>
    <xf numFmtId="0" fontId="3" fillId="0" borderId="18" xfId="0" applyFont="1" applyBorder="1" applyAlignment="1">
      <alignment horizontal="justify" vertical="justify" wrapText="1"/>
    </xf>
    <xf numFmtId="0" fontId="3" fillId="0" borderId="12" xfId="0" applyFont="1" applyBorder="1" applyAlignment="1">
      <alignment horizontal="left"/>
    </xf>
    <xf numFmtId="0" fontId="3" fillId="0" borderId="14" xfId="0" applyFont="1" applyBorder="1" applyAlignment="1">
      <alignment horizontal="left"/>
    </xf>
    <xf numFmtId="0" fontId="3" fillId="0" borderId="18" xfId="0" applyFont="1" applyBorder="1" applyAlignment="1">
      <alignment horizontal="left"/>
    </xf>
    <xf numFmtId="0" fontId="0" fillId="0" borderId="12" xfId="0" applyBorder="1" applyAlignment="1">
      <alignment horizontal="left"/>
    </xf>
    <xf numFmtId="0" fontId="0" fillId="0" borderId="14" xfId="0" applyBorder="1" applyAlignment="1">
      <alignment horizontal="left"/>
    </xf>
    <xf numFmtId="0" fontId="0" fillId="0" borderId="18" xfId="0" applyBorder="1" applyAlignment="1">
      <alignment horizontal="left"/>
    </xf>
    <xf numFmtId="0" fontId="18" fillId="3" borderId="12" xfId="0" applyFont="1" applyFill="1" applyBorder="1" applyAlignment="1">
      <alignment horizontal="center"/>
    </xf>
    <xf numFmtId="0" fontId="18" fillId="3" borderId="14" xfId="0" applyFont="1" applyFill="1" applyBorder="1" applyAlignment="1">
      <alignment horizontal="center"/>
    </xf>
    <xf numFmtId="0" fontId="18" fillId="3" borderId="18" xfId="0" applyFont="1" applyFill="1" applyBorder="1" applyAlignment="1">
      <alignment horizontal="center"/>
    </xf>
    <xf numFmtId="0" fontId="0" fillId="15" borderId="60" xfId="0" applyFill="1" applyBorder="1" applyAlignment="1">
      <alignment horizontal="left" vertical="center" wrapText="1"/>
    </xf>
    <xf numFmtId="0" fontId="0" fillId="15" borderId="61" xfId="0" applyFill="1" applyBorder="1" applyAlignment="1">
      <alignment horizontal="left" vertical="center" wrapText="1"/>
    </xf>
    <xf numFmtId="0" fontId="0" fillId="15" borderId="62" xfId="0" applyFill="1" applyBorder="1" applyAlignment="1">
      <alignment horizontal="left" vertical="center" wrapText="1"/>
    </xf>
    <xf numFmtId="0" fontId="35" fillId="15" borderId="56" xfId="0" applyFont="1" applyFill="1" applyBorder="1" applyAlignment="1">
      <alignment vertical="center" wrapText="1"/>
    </xf>
    <xf numFmtId="0" fontId="35" fillId="15" borderId="0" xfId="0" applyFont="1" applyFill="1" applyAlignment="1">
      <alignment vertical="center" wrapText="1"/>
    </xf>
    <xf numFmtId="0" fontId="15" fillId="0" borderId="56" xfId="0" applyFont="1" applyBorder="1" applyAlignment="1">
      <alignment vertical="center" wrapText="1"/>
    </xf>
    <xf numFmtId="0" fontId="15" fillId="0" borderId="0" xfId="0" applyFont="1" applyAlignment="1">
      <alignment vertical="center" wrapText="1"/>
    </xf>
    <xf numFmtId="0" fontId="15" fillId="15" borderId="56" xfId="0" applyFont="1" applyFill="1" applyBorder="1" applyAlignment="1">
      <alignment vertical="center" wrapText="1"/>
    </xf>
    <xf numFmtId="0" fontId="15" fillId="15" borderId="0" xfId="0" applyFont="1" applyFill="1" applyAlignment="1">
      <alignment vertical="center" wrapText="1"/>
    </xf>
    <xf numFmtId="0" fontId="0" fillId="15" borderId="56" xfId="0" applyFill="1" applyBorder="1" applyAlignment="1">
      <alignment vertical="center" wrapText="1"/>
    </xf>
    <xf numFmtId="0" fontId="0" fillId="15" borderId="0" xfId="0" applyFill="1" applyAlignment="1">
      <alignment vertical="center" wrapText="1"/>
    </xf>
    <xf numFmtId="0" fontId="8" fillId="12" borderId="56" xfId="0" applyFont="1" applyFill="1" applyBorder="1" applyAlignment="1">
      <alignment horizontal="center" vertical="center" wrapText="1"/>
    </xf>
    <xf numFmtId="0" fontId="8" fillId="12" borderId="0" xfId="0" applyFont="1" applyFill="1" applyAlignment="1">
      <alignment horizontal="center" vertical="center" wrapText="1"/>
    </xf>
    <xf numFmtId="0" fontId="31" fillId="15" borderId="0" xfId="0" applyFont="1" applyFill="1" applyAlignment="1">
      <alignment horizontal="right" vertical="center" wrapText="1"/>
    </xf>
    <xf numFmtId="0" fontId="15" fillId="0" borderId="11" xfId="0" applyFont="1" applyBorder="1" applyAlignment="1">
      <alignment horizontal="left"/>
    </xf>
    <xf numFmtId="0" fontId="11" fillId="0" borderId="11" xfId="0" applyFont="1" applyBorder="1" applyAlignment="1">
      <alignment horizontal="center"/>
    </xf>
    <xf numFmtId="0" fontId="12" fillId="0" borderId="11" xfId="0" applyFont="1" applyBorder="1" applyAlignment="1">
      <alignment horizontal="left"/>
    </xf>
    <xf numFmtId="0" fontId="8" fillId="12" borderId="0" xfId="0" applyFont="1" applyFill="1" applyAlignment="1">
      <alignment horizontal="center"/>
    </xf>
    <xf numFmtId="0" fontId="3" fillId="0" borderId="11" xfId="0" applyFont="1" applyBorder="1" applyAlignment="1">
      <alignment horizontal="left"/>
    </xf>
    <xf numFmtId="0" fontId="7" fillId="3" borderId="11" xfId="0" applyFont="1" applyFill="1" applyBorder="1" applyAlignment="1">
      <alignment horizontal="center"/>
    </xf>
    <xf numFmtId="0" fontId="11" fillId="9" borderId="12" xfId="0" applyFont="1" applyFill="1" applyBorder="1" applyAlignment="1">
      <alignment horizontal="center" vertical="center" wrapText="1"/>
    </xf>
    <xf numFmtId="0" fontId="11" fillId="9" borderId="14" xfId="0" applyFont="1" applyFill="1" applyBorder="1" applyAlignment="1">
      <alignment horizontal="center" vertical="center" wrapText="1"/>
    </xf>
    <xf numFmtId="0" fontId="11" fillId="9" borderId="18" xfId="0" applyFont="1" applyFill="1" applyBorder="1" applyAlignment="1">
      <alignment horizontal="center" vertical="center" wrapText="1"/>
    </xf>
    <xf numFmtId="0" fontId="3" fillId="0" borderId="11" xfId="0" applyFont="1" applyBorder="1" applyAlignment="1">
      <alignment horizontal="left" wrapText="1"/>
    </xf>
    <xf numFmtId="0" fontId="7" fillId="9" borderId="11" xfId="0" applyFont="1" applyFill="1" applyBorder="1" applyAlignment="1">
      <alignment horizontal="center"/>
    </xf>
    <xf numFmtId="0" fontId="7" fillId="6" borderId="0" xfId="0" applyFont="1" applyFill="1" applyAlignment="1">
      <alignment horizontal="center" vertical="center" wrapText="1"/>
    </xf>
    <xf numFmtId="0" fontId="7" fillId="6" borderId="4" xfId="0" applyFont="1" applyFill="1" applyBorder="1" applyAlignment="1">
      <alignment horizontal="left" vertical="center" wrapText="1"/>
    </xf>
    <xf numFmtId="0" fontId="7" fillId="6" borderId="12" xfId="0" applyFont="1" applyFill="1" applyBorder="1" applyAlignment="1">
      <alignment horizontal="center" vertical="center" wrapText="1"/>
    </xf>
    <xf numFmtId="0" fontId="7" fillId="6" borderId="14" xfId="0" applyFont="1" applyFill="1" applyBorder="1" applyAlignment="1">
      <alignment horizontal="center" vertical="center" wrapText="1"/>
    </xf>
    <xf numFmtId="0" fontId="7" fillId="6" borderId="18" xfId="0" applyFont="1" applyFill="1" applyBorder="1" applyAlignment="1">
      <alignment horizontal="center" vertical="center" wrapText="1"/>
    </xf>
    <xf numFmtId="0" fontId="18" fillId="0" borderId="11" xfId="0" applyFont="1" applyBorder="1" applyAlignment="1">
      <alignment horizontal="center"/>
    </xf>
    <xf numFmtId="0" fontId="7" fillId="17" borderId="11" xfId="0" applyFont="1" applyFill="1" applyBorder="1" applyAlignment="1">
      <alignment horizontal="center"/>
    </xf>
    <xf numFmtId="0" fontId="12" fillId="0" borderId="11" xfId="0" applyFont="1" applyBorder="1" applyAlignment="1">
      <alignment horizontal="justify" vertical="justify" wrapText="1"/>
    </xf>
    <xf numFmtId="0" fontId="12" fillId="0" borderId="12" xfId="0" applyFont="1" applyBorder="1" applyAlignment="1">
      <alignment horizontal="justify" vertical="justify" wrapText="1"/>
    </xf>
    <xf numFmtId="0" fontId="12" fillId="0" borderId="14" xfId="0" applyFont="1" applyBorder="1" applyAlignment="1">
      <alignment horizontal="justify" vertical="justify" wrapText="1"/>
    </xf>
    <xf numFmtId="0" fontId="12" fillId="0" borderId="18" xfId="0" applyFont="1" applyBorder="1" applyAlignment="1">
      <alignment horizontal="justify" vertical="justify" wrapText="1"/>
    </xf>
    <xf numFmtId="0" fontId="4" fillId="16" borderId="11" xfId="0" applyFont="1" applyFill="1" applyBorder="1" applyAlignment="1">
      <alignment horizontal="center" wrapText="1"/>
    </xf>
    <xf numFmtId="0" fontId="12" fillId="0" borderId="12" xfId="0" applyFont="1" applyBorder="1" applyAlignment="1">
      <alignment horizontal="left"/>
    </xf>
    <xf numFmtId="0" fontId="12" fillId="0" borderId="14" xfId="0" applyFont="1" applyBorder="1" applyAlignment="1">
      <alignment horizontal="left"/>
    </xf>
    <xf numFmtId="0" fontId="12" fillId="0" borderId="18" xfId="0" applyFont="1" applyBorder="1" applyAlignment="1">
      <alignment horizontal="left"/>
    </xf>
    <xf numFmtId="0" fontId="32" fillId="15" borderId="0" xfId="0" applyFont="1" applyFill="1" applyAlignment="1">
      <alignment horizontal="right" vertical="center" wrapText="1"/>
    </xf>
    <xf numFmtId="0" fontId="18" fillId="3" borderId="11" xfId="0" applyFont="1" applyFill="1" applyBorder="1" applyAlignment="1">
      <alignment horizontal="center"/>
    </xf>
    <xf numFmtId="0" fontId="12" fillId="0" borderId="11" xfId="0" applyFont="1" applyBorder="1" applyAlignment="1">
      <alignment horizontal="left" wrapText="1"/>
    </xf>
    <xf numFmtId="0" fontId="7" fillId="15" borderId="0" xfId="0" applyFont="1" applyFill="1" applyAlignment="1">
      <alignment horizontal="right" vertical="center" wrapText="1"/>
    </xf>
    <xf numFmtId="0" fontId="0" fillId="0" borderId="11" xfId="0" applyBorder="1" applyAlignment="1">
      <alignment horizontal="left"/>
    </xf>
    <xf numFmtId="0" fontId="7" fillId="9" borderId="12" xfId="0" applyFont="1" applyFill="1" applyBorder="1" applyAlignment="1">
      <alignment horizontal="center"/>
    </xf>
    <xf numFmtId="0" fontId="7" fillId="9" borderId="14" xfId="0" applyFont="1" applyFill="1" applyBorder="1" applyAlignment="1">
      <alignment horizontal="center"/>
    </xf>
    <xf numFmtId="0" fontId="7" fillId="9" borderId="18" xfId="0" applyFont="1" applyFill="1" applyBorder="1" applyAlignment="1">
      <alignment horizontal="center"/>
    </xf>
    <xf numFmtId="14" fontId="3" fillId="0" borderId="11" xfId="0" applyNumberFormat="1" applyFont="1" applyBorder="1" applyAlignment="1">
      <alignment horizontal="center"/>
    </xf>
    <xf numFmtId="0" fontId="15" fillId="15" borderId="56" xfId="0" applyFont="1" applyFill="1" applyBorder="1" applyAlignment="1">
      <alignment vertical="center"/>
    </xf>
    <xf numFmtId="0" fontId="15" fillId="15" borderId="0" xfId="0" applyFont="1" applyFill="1" applyAlignment="1">
      <alignment vertical="center"/>
    </xf>
    <xf numFmtId="0" fontId="7" fillId="0" borderId="11" xfId="0" applyFont="1" applyBorder="1" applyAlignment="1">
      <alignment horizontal="center"/>
    </xf>
    <xf numFmtId="0" fontId="15" fillId="15" borderId="56" xfId="0" applyFont="1" applyFill="1" applyBorder="1" applyAlignment="1">
      <alignment wrapText="1"/>
    </xf>
    <xf numFmtId="0" fontId="15" fillId="15" borderId="0" xfId="0" applyFont="1" applyFill="1" applyAlignment="1">
      <alignment wrapText="1"/>
    </xf>
    <xf numFmtId="0" fontId="15" fillId="21" borderId="56" xfId="0" applyFont="1" applyFill="1" applyBorder="1" applyAlignment="1">
      <alignment vertical="center" wrapText="1"/>
    </xf>
    <xf numFmtId="0" fontId="15" fillId="21" borderId="0" xfId="0" applyFont="1" applyFill="1" applyAlignment="1">
      <alignment vertical="center" wrapText="1"/>
    </xf>
    <xf numFmtId="0" fontId="3" fillId="0" borderId="0" xfId="0" applyFont="1" applyAlignment="1">
      <alignment horizontal="center"/>
    </xf>
    <xf numFmtId="0" fontId="7" fillId="6" borderId="4" xfId="0" applyFont="1" applyFill="1" applyBorder="1" applyAlignment="1">
      <alignment horizontal="center" vertical="center" wrapText="1"/>
    </xf>
    <xf numFmtId="0" fontId="35" fillId="15" borderId="56" xfId="0" applyFont="1" applyFill="1" applyBorder="1" applyAlignment="1">
      <alignment wrapText="1"/>
    </xf>
    <xf numFmtId="0" fontId="35" fillId="15" borderId="0" xfId="0" applyFont="1" applyFill="1" applyAlignment="1">
      <alignment wrapText="1"/>
    </xf>
    <xf numFmtId="17" fontId="7" fillId="9" borderId="11" xfId="0" applyNumberFormat="1" applyFont="1" applyFill="1" applyBorder="1" applyAlignment="1">
      <alignment horizontal="center" vertical="center"/>
    </xf>
    <xf numFmtId="14" fontId="0" fillId="0" borderId="11" xfId="0" applyNumberFormat="1" applyBorder="1" applyAlignment="1">
      <alignment horizontal="center" vertical="center"/>
    </xf>
    <xf numFmtId="0" fontId="6" fillId="15" borderId="11" xfId="0" applyFont="1" applyFill="1" applyBorder="1" applyAlignment="1">
      <alignment vertical="center" wrapText="1"/>
    </xf>
    <xf numFmtId="0" fontId="25" fillId="15" borderId="11" xfId="0" applyFont="1" applyFill="1" applyBorder="1" applyAlignment="1">
      <alignment vertical="center" wrapText="1"/>
    </xf>
    <xf numFmtId="43" fontId="0" fillId="0" borderId="11" xfId="0" applyNumberFormat="1" applyBorder="1" applyAlignment="1">
      <alignment horizontal="center" vertical="center"/>
    </xf>
    <xf numFmtId="43" fontId="3" fillId="0" borderId="11" xfId="0" applyNumberFormat="1" applyFont="1" applyBorder="1" applyAlignment="1">
      <alignment horizontal="center"/>
    </xf>
    <xf numFmtId="0" fontId="12" fillId="0" borderId="11" xfId="0" applyFont="1" applyBorder="1" applyAlignment="1">
      <alignment horizontal="center" vertical="center" textRotation="90"/>
    </xf>
    <xf numFmtId="0" fontId="0" fillId="0" borderId="11" xfId="0" applyBorder="1" applyAlignment="1" applyProtection="1">
      <alignment horizontal="left"/>
      <protection locked="0"/>
    </xf>
    <xf numFmtId="0" fontId="3" fillId="0" borderId="11" xfId="0" applyFont="1" applyBorder="1" applyAlignment="1" applyProtection="1">
      <alignment horizontal="left"/>
      <protection locked="0"/>
    </xf>
    <xf numFmtId="0" fontId="7" fillId="17" borderId="30" xfId="0" applyFont="1" applyFill="1" applyBorder="1" applyAlignment="1">
      <alignment horizontal="center"/>
    </xf>
    <xf numFmtId="0" fontId="7" fillId="6" borderId="0" xfId="0" applyFont="1" applyFill="1" applyAlignment="1">
      <alignment horizontal="center" vertical="center"/>
    </xf>
    <xf numFmtId="0" fontId="17" fillId="0" borderId="0" xfId="0" applyFont="1" applyAlignment="1">
      <alignment horizontal="center" vertical="top"/>
    </xf>
    <xf numFmtId="0" fontId="18" fillId="0" borderId="0" xfId="0" applyFont="1" applyAlignment="1">
      <alignment horizontal="center" vertical="top" wrapText="1"/>
    </xf>
    <xf numFmtId="172" fontId="34" fillId="0" borderId="11" xfId="0" applyNumberFormat="1" applyFont="1" applyBorder="1" applyAlignment="1">
      <alignment horizontal="center" vertical="justify"/>
    </xf>
    <xf numFmtId="43" fontId="0" fillId="0" borderId="11" xfId="0" applyNumberFormat="1" applyBorder="1" applyAlignment="1">
      <alignment horizontal="center" vertical="justify"/>
    </xf>
    <xf numFmtId="0" fontId="3" fillId="0" borderId="11" xfId="0" applyFont="1" applyBorder="1" applyAlignment="1">
      <alignment horizontal="center" vertical="justify"/>
    </xf>
    <xf numFmtId="17" fontId="0" fillId="0" borderId="11" xfId="0" applyNumberFormat="1" applyBorder="1" applyAlignment="1">
      <alignment horizontal="center" vertical="center" wrapText="1"/>
    </xf>
    <xf numFmtId="0" fontId="6" fillId="15" borderId="59" xfId="0" applyFont="1" applyFill="1" applyBorder="1" applyAlignment="1">
      <alignment horizontal="center" vertical="center" wrapText="1"/>
    </xf>
    <xf numFmtId="0" fontId="25" fillId="15" borderId="59" xfId="0" applyFont="1" applyFill="1" applyBorder="1" applyAlignment="1">
      <alignment horizontal="left" vertical="center" wrapText="1"/>
    </xf>
    <xf numFmtId="0" fontId="21" fillId="12" borderId="56" xfId="0" applyFont="1" applyFill="1" applyBorder="1" applyAlignment="1">
      <alignment horizontal="center" vertical="center" wrapText="1"/>
    </xf>
    <xf numFmtId="0" fontId="21" fillId="12" borderId="0" xfId="0" applyFont="1" applyFill="1" applyAlignment="1">
      <alignment horizontal="center" vertical="center" wrapText="1"/>
    </xf>
    <xf numFmtId="0" fontId="6" fillId="16" borderId="59" xfId="0" applyFont="1" applyFill="1" applyBorder="1" applyAlignment="1">
      <alignment horizontal="center" vertical="center" wrapText="1"/>
    </xf>
    <xf numFmtId="0" fontId="25" fillId="15" borderId="60" xfId="0" applyFont="1" applyFill="1" applyBorder="1" applyAlignment="1">
      <alignment horizontal="left" vertical="center" wrapText="1"/>
    </xf>
    <xf numFmtId="0" fontId="25" fillId="15" borderId="61" xfId="0" applyFont="1" applyFill="1" applyBorder="1" applyAlignment="1">
      <alignment horizontal="left" vertical="center" wrapText="1"/>
    </xf>
    <xf numFmtId="0" fontId="25" fillId="15" borderId="62" xfId="0" applyFont="1" applyFill="1" applyBorder="1" applyAlignment="1">
      <alignment horizontal="left" vertical="center" wrapText="1"/>
    </xf>
    <xf numFmtId="0" fontId="6" fillId="6" borderId="12" xfId="0" applyFont="1" applyFill="1" applyBorder="1" applyAlignment="1">
      <alignment horizontal="center" vertical="center" wrapText="1"/>
    </xf>
    <xf numFmtId="0" fontId="6" fillId="6" borderId="14" xfId="0" applyFont="1" applyFill="1" applyBorder="1" applyAlignment="1">
      <alignment horizontal="center" vertical="center" wrapText="1"/>
    </xf>
    <xf numFmtId="0" fontId="6" fillId="6" borderId="18" xfId="0" applyFont="1" applyFill="1" applyBorder="1" applyAlignment="1">
      <alignment horizontal="center" vertical="center" wrapText="1"/>
    </xf>
    <xf numFmtId="0" fontId="0" fillId="0" borderId="11" xfId="0" applyBorder="1" applyAlignment="1">
      <alignment horizontal="left" wrapText="1"/>
    </xf>
    <xf numFmtId="0" fontId="0" fillId="0" borderId="12" xfId="0" applyBorder="1" applyAlignment="1">
      <alignment horizontal="left" vertical="justify" wrapText="1"/>
    </xf>
    <xf numFmtId="0" fontId="6" fillId="6" borderId="0" xfId="0" applyFont="1" applyFill="1" applyAlignment="1">
      <alignment horizontal="center" vertical="center" wrapText="1"/>
    </xf>
    <xf numFmtId="0" fontId="24" fillId="9" borderId="12" xfId="0" applyFont="1" applyFill="1" applyBorder="1" applyAlignment="1">
      <alignment horizontal="center" vertical="center" wrapText="1"/>
    </xf>
    <xf numFmtId="0" fontId="24" fillId="9" borderId="14" xfId="0" applyFont="1" applyFill="1" applyBorder="1" applyAlignment="1">
      <alignment horizontal="center" vertical="center" wrapText="1"/>
    </xf>
    <xf numFmtId="0" fontId="24" fillId="9" borderId="18"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6" borderId="0" xfId="0" applyFont="1" applyFill="1" applyAlignment="1">
      <alignment horizontal="center" vertical="center"/>
    </xf>
    <xf numFmtId="0" fontId="8" fillId="12" borderId="12" xfId="0" applyFont="1" applyFill="1" applyBorder="1" applyAlignment="1">
      <alignment horizontal="center" vertical="center" wrapText="1"/>
    </xf>
    <xf numFmtId="0" fontId="8" fillId="12" borderId="14" xfId="0" applyFont="1" applyFill="1" applyBorder="1" applyAlignment="1">
      <alignment horizontal="center" vertical="center" wrapText="1"/>
    </xf>
    <xf numFmtId="0" fontId="8" fillId="12" borderId="18" xfId="0" applyFont="1" applyFill="1" applyBorder="1" applyAlignment="1">
      <alignment horizontal="center" vertical="center" wrapText="1"/>
    </xf>
    <xf numFmtId="43" fontId="11" fillId="14" borderId="12" xfId="2" applyFont="1" applyFill="1" applyBorder="1" applyAlignment="1">
      <alignment horizontal="center" vertical="center"/>
    </xf>
    <xf numFmtId="43" fontId="11" fillId="14" borderId="14" xfId="2" applyFont="1" applyFill="1" applyBorder="1" applyAlignment="1">
      <alignment horizontal="center" vertical="center"/>
    </xf>
    <xf numFmtId="43" fontId="11" fillId="14" borderId="18" xfId="2" applyFont="1" applyFill="1" applyBorder="1" applyAlignment="1">
      <alignment horizontal="center" vertical="center"/>
    </xf>
    <xf numFmtId="0" fontId="12" fillId="0" borderId="11" xfId="0" applyFont="1" applyBorder="1" applyAlignment="1">
      <alignment horizontal="center" vertical="center" wrapText="1"/>
    </xf>
    <xf numFmtId="0" fontId="12" fillId="0" borderId="12" xfId="0" applyFont="1" applyBorder="1" applyAlignment="1">
      <alignment horizontal="left" vertical="center" wrapText="1"/>
    </xf>
    <xf numFmtId="0" fontId="12" fillId="0" borderId="14" xfId="0" applyFont="1" applyBorder="1" applyAlignment="1">
      <alignment horizontal="left" vertical="center" wrapText="1"/>
    </xf>
    <xf numFmtId="0" fontId="12" fillId="0" borderId="18" xfId="0" applyFont="1" applyBorder="1" applyAlignment="1">
      <alignment horizontal="left" vertical="center" wrapText="1"/>
    </xf>
    <xf numFmtId="0" fontId="12" fillId="0" borderId="11" xfId="0" applyFont="1" applyBorder="1" applyAlignment="1">
      <alignment horizontal="center" vertical="center"/>
    </xf>
    <xf numFmtId="0" fontId="16" fillId="0" borderId="0" xfId="0" applyFont="1" applyAlignment="1">
      <alignment horizontal="center" vertical="center"/>
    </xf>
    <xf numFmtId="0" fontId="11" fillId="0" borderId="0" xfId="0" applyFont="1" applyAlignment="1">
      <alignment horizontal="center" vertical="center"/>
    </xf>
    <xf numFmtId="1" fontId="12" fillId="0" borderId="33" xfId="0" applyNumberFormat="1" applyFont="1" applyBorder="1" applyAlignment="1" applyProtection="1">
      <alignment horizontal="center" vertical="center" wrapText="1"/>
      <protection locked="0"/>
    </xf>
    <xf numFmtId="1" fontId="12" fillId="0" borderId="37" xfId="0" applyNumberFormat="1" applyFont="1" applyBorder="1" applyAlignment="1" applyProtection="1">
      <alignment horizontal="center" vertical="center" wrapText="1"/>
      <protection locked="0"/>
    </xf>
    <xf numFmtId="1" fontId="12" fillId="0" borderId="30" xfId="0" applyNumberFormat="1" applyFont="1" applyBorder="1" applyAlignment="1" applyProtection="1">
      <alignment horizontal="center" vertical="center" wrapText="1"/>
      <protection locked="0"/>
    </xf>
    <xf numFmtId="0" fontId="12" fillId="0" borderId="0" xfId="0" applyFont="1" applyAlignment="1">
      <alignment horizontal="right" vertical="center" wrapText="1"/>
    </xf>
    <xf numFmtId="0" fontId="12" fillId="0" borderId="12"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18" xfId="0" applyFont="1" applyBorder="1" applyAlignment="1">
      <alignment horizontal="center" vertical="center" wrapText="1"/>
    </xf>
    <xf numFmtId="43" fontId="12" fillId="0" borderId="12" xfId="2" applyFont="1" applyFill="1" applyBorder="1" applyAlignment="1" applyProtection="1">
      <alignment horizontal="center" vertical="center"/>
      <protection locked="0"/>
    </xf>
    <xf numFmtId="43" fontId="12" fillId="0" borderId="18" xfId="2" applyFont="1" applyFill="1" applyBorder="1" applyAlignment="1" applyProtection="1">
      <alignment horizontal="center" vertical="center"/>
      <protection locked="0"/>
    </xf>
    <xf numFmtId="0" fontId="24" fillId="0" borderId="0" xfId="0" applyFont="1" applyAlignment="1">
      <alignment horizontal="right" vertical="center"/>
    </xf>
    <xf numFmtId="0" fontId="31" fillId="20" borderId="32" xfId="0" applyFont="1" applyFill="1" applyBorder="1" applyAlignment="1" applyProtection="1">
      <alignment horizontal="center" vertical="center" wrapText="1"/>
      <protection locked="0" hidden="1"/>
    </xf>
    <xf numFmtId="0" fontId="31" fillId="20" borderId="66" xfId="0" applyFont="1" applyFill="1" applyBorder="1" applyAlignment="1" applyProtection="1">
      <alignment horizontal="center" vertical="center" wrapText="1"/>
      <protection locked="0" hidden="1"/>
    </xf>
    <xf numFmtId="0" fontId="31" fillId="20" borderId="36" xfId="0" applyFont="1" applyFill="1" applyBorder="1" applyAlignment="1" applyProtection="1">
      <alignment horizontal="center" vertical="center" wrapText="1"/>
      <protection locked="0" hidden="1"/>
    </xf>
    <xf numFmtId="0" fontId="31" fillId="20" borderId="67" xfId="0" applyFont="1" applyFill="1" applyBorder="1" applyAlignment="1" applyProtection="1">
      <alignment horizontal="center" vertical="center" wrapText="1"/>
      <protection locked="0" hidden="1"/>
    </xf>
    <xf numFmtId="0" fontId="12" fillId="4" borderId="12" xfId="0" applyFont="1" applyFill="1" applyBorder="1" applyAlignment="1" applyProtection="1">
      <alignment horizontal="center" vertical="center" wrapText="1"/>
      <protection locked="0" hidden="1"/>
    </xf>
    <xf numFmtId="0" fontId="12" fillId="4" borderId="14" xfId="0" applyFont="1" applyFill="1" applyBorder="1" applyAlignment="1" applyProtection="1">
      <alignment horizontal="center" vertical="center" wrapText="1"/>
      <protection locked="0" hidden="1"/>
    </xf>
    <xf numFmtId="0" fontId="12" fillId="4" borderId="18" xfId="0" applyFont="1" applyFill="1" applyBorder="1" applyAlignment="1" applyProtection="1">
      <alignment horizontal="center" vertical="center" wrapText="1"/>
      <protection locked="0" hidden="1"/>
    </xf>
    <xf numFmtId="0" fontId="12" fillId="4" borderId="11" xfId="0" applyFont="1" applyFill="1" applyBorder="1" applyAlignment="1" applyProtection="1">
      <alignment horizontal="left" vertical="center" wrapText="1"/>
      <protection locked="0" hidden="1"/>
    </xf>
    <xf numFmtId="14" fontId="12" fillId="4" borderId="12" xfId="0" applyNumberFormat="1" applyFont="1" applyFill="1" applyBorder="1" applyAlignment="1" applyProtection="1">
      <alignment horizontal="center" vertical="center"/>
      <protection locked="0" hidden="1"/>
    </xf>
    <xf numFmtId="14" fontId="12" fillId="4" borderId="14" xfId="0" applyNumberFormat="1" applyFont="1" applyFill="1" applyBorder="1" applyAlignment="1" applyProtection="1">
      <alignment horizontal="center" vertical="center"/>
      <protection locked="0" hidden="1"/>
    </xf>
    <xf numFmtId="14" fontId="12" fillId="4" borderId="18" xfId="0" applyNumberFormat="1" applyFont="1" applyFill="1" applyBorder="1" applyAlignment="1" applyProtection="1">
      <alignment horizontal="center" vertical="center"/>
      <protection locked="0" hidden="1"/>
    </xf>
    <xf numFmtId="14" fontId="0" fillId="4" borderId="11" xfId="0" applyNumberFormat="1" applyFill="1" applyBorder="1" applyAlignment="1" applyProtection="1">
      <alignment horizontal="center" vertical="center"/>
      <protection locked="0" hidden="1"/>
    </xf>
    <xf numFmtId="14" fontId="3" fillId="4" borderId="11" xfId="0" applyNumberFormat="1" applyFont="1" applyFill="1" applyBorder="1" applyAlignment="1" applyProtection="1">
      <alignment horizontal="center" vertical="center"/>
      <protection locked="0" hidden="1"/>
    </xf>
    <xf numFmtId="0" fontId="31" fillId="20" borderId="33" xfId="0" applyFont="1" applyFill="1" applyBorder="1" applyAlignment="1" applyProtection="1">
      <alignment horizontal="center" vertical="center"/>
      <protection locked="0" hidden="1"/>
    </xf>
    <xf numFmtId="4" fontId="31" fillId="20" borderId="33" xfId="0" applyNumberFormat="1" applyFont="1" applyFill="1" applyBorder="1" applyAlignment="1" applyProtection="1">
      <alignment horizontal="center" vertical="center"/>
      <protection locked="0" hidden="1"/>
    </xf>
    <xf numFmtId="0" fontId="30" fillId="20" borderId="33" xfId="0" applyFont="1" applyFill="1" applyBorder="1" applyAlignment="1" applyProtection="1">
      <alignment horizontal="center" vertical="center" wrapText="1"/>
      <protection locked="0" hidden="1"/>
    </xf>
    <xf numFmtId="0" fontId="31" fillId="20" borderId="33" xfId="0" applyFont="1" applyFill="1" applyBorder="1" applyAlignment="1" applyProtection="1">
      <alignment horizontal="center" vertical="center" wrapText="1"/>
      <protection locked="0" hidden="1"/>
    </xf>
    <xf numFmtId="14" fontId="31" fillId="20" borderId="33" xfId="0" applyNumberFormat="1" applyFont="1" applyFill="1" applyBorder="1" applyAlignment="1" applyProtection="1">
      <alignment horizontal="center" vertical="center" wrapText="1"/>
      <protection locked="0" hidden="1"/>
    </xf>
    <xf numFmtId="0" fontId="31" fillId="20" borderId="30" xfId="0" applyFont="1" applyFill="1" applyBorder="1" applyAlignment="1" applyProtection="1">
      <alignment horizontal="center" vertical="center"/>
      <protection locked="0" hidden="1"/>
    </xf>
    <xf numFmtId="4" fontId="31" fillId="20" borderId="30" xfId="0" applyNumberFormat="1" applyFont="1" applyFill="1" applyBorder="1" applyAlignment="1" applyProtection="1">
      <alignment horizontal="center" vertical="center"/>
      <protection locked="0" hidden="1"/>
    </xf>
    <xf numFmtId="0" fontId="30" fillId="20" borderId="30" xfId="0" applyFont="1" applyFill="1" applyBorder="1" applyAlignment="1" applyProtection="1">
      <alignment horizontal="center" vertical="center" wrapText="1"/>
      <protection locked="0" hidden="1"/>
    </xf>
    <xf numFmtId="0" fontId="31" fillId="20" borderId="30" xfId="0" applyFont="1" applyFill="1" applyBorder="1" applyAlignment="1" applyProtection="1">
      <alignment horizontal="center" vertical="center" wrapText="1"/>
      <protection locked="0" hidden="1"/>
    </xf>
    <xf numFmtId="14" fontId="31" fillId="20" borderId="30" xfId="0" applyNumberFormat="1" applyFont="1" applyFill="1" applyBorder="1" applyAlignment="1" applyProtection="1">
      <alignment horizontal="center" vertical="center" wrapText="1"/>
      <protection locked="0" hidden="1"/>
    </xf>
    <xf numFmtId="0" fontId="12" fillId="20" borderId="33" xfId="0" applyFont="1" applyFill="1" applyBorder="1" applyAlignment="1" applyProtection="1">
      <alignment horizontal="center" vertical="center"/>
      <protection locked="0" hidden="1"/>
    </xf>
    <xf numFmtId="4" fontId="12" fillId="20" borderId="33" xfId="0" applyNumberFormat="1" applyFont="1" applyFill="1" applyBorder="1" applyAlignment="1" applyProtection="1">
      <alignment horizontal="center" vertical="center"/>
      <protection locked="0" hidden="1"/>
    </xf>
    <xf numFmtId="0" fontId="12" fillId="20" borderId="33" xfId="0" applyFont="1" applyFill="1" applyBorder="1" applyAlignment="1" applyProtection="1">
      <alignment horizontal="center" vertical="center" wrapText="1"/>
      <protection locked="0" hidden="1"/>
    </xf>
    <xf numFmtId="0" fontId="12" fillId="20" borderId="33" xfId="0" applyFont="1" applyFill="1" applyBorder="1" applyAlignment="1" applyProtection="1">
      <alignment horizontal="center" vertical="center" wrapText="1"/>
      <protection locked="0" hidden="1"/>
    </xf>
    <xf numFmtId="0" fontId="12" fillId="20" borderId="30" xfId="0" applyFont="1" applyFill="1" applyBorder="1" applyAlignment="1" applyProtection="1">
      <alignment horizontal="center" vertical="center"/>
      <protection locked="0" hidden="1"/>
    </xf>
    <xf numFmtId="4" fontId="12" fillId="20" borderId="30" xfId="0" applyNumberFormat="1" applyFont="1" applyFill="1" applyBorder="1" applyAlignment="1" applyProtection="1">
      <alignment horizontal="center" vertical="center"/>
      <protection locked="0" hidden="1"/>
    </xf>
    <xf numFmtId="0" fontId="12" fillId="20" borderId="30" xfId="0" applyFont="1" applyFill="1" applyBorder="1" applyAlignment="1" applyProtection="1">
      <alignment horizontal="center" vertical="center" wrapText="1"/>
      <protection locked="0" hidden="1"/>
    </xf>
    <xf numFmtId="0" fontId="12" fillId="20" borderId="30" xfId="0" applyFont="1" applyFill="1" applyBorder="1" applyAlignment="1" applyProtection="1">
      <alignment horizontal="center" vertical="center" wrapText="1"/>
      <protection locked="0" hidden="1"/>
    </xf>
    <xf numFmtId="3" fontId="12" fillId="4" borderId="11" xfId="0" applyNumberFormat="1" applyFont="1" applyFill="1" applyBorder="1" applyAlignment="1" applyProtection="1">
      <alignment horizontal="center" vertical="center"/>
      <protection locked="0" hidden="1"/>
    </xf>
    <xf numFmtId="3" fontId="0" fillId="4" borderId="11" xfId="0" applyNumberFormat="1" applyFill="1" applyBorder="1" applyAlignment="1" applyProtection="1">
      <alignment horizontal="center" vertical="center"/>
      <protection locked="0" hidden="1"/>
    </xf>
    <xf numFmtId="0" fontId="0" fillId="4" borderId="11" xfId="0" applyFill="1" applyBorder="1" applyAlignment="1" applyProtection="1">
      <alignment horizontal="center" vertical="center"/>
      <protection locked="0" hidden="1"/>
    </xf>
    <xf numFmtId="8" fontId="31" fillId="20" borderId="11" xfId="0" applyNumberFormat="1" applyFont="1" applyFill="1" applyBorder="1" applyAlignment="1" applyProtection="1">
      <alignment horizontal="center" vertical="center"/>
      <protection locked="0" hidden="1"/>
    </xf>
    <xf numFmtId="8" fontId="31" fillId="20" borderId="22" xfId="0" applyNumberFormat="1" applyFont="1" applyFill="1" applyBorder="1" applyAlignment="1" applyProtection="1">
      <alignment horizontal="center" vertical="center"/>
      <protection locked="0" hidden="1"/>
    </xf>
    <xf numFmtId="0" fontId="0" fillId="4" borderId="25" xfId="0" applyFill="1" applyBorder="1" applyAlignment="1" applyProtection="1">
      <alignment horizontal="center" vertical="top"/>
      <protection locked="0" hidden="1"/>
    </xf>
    <xf numFmtId="0" fontId="0" fillId="4" borderId="26" xfId="0" applyFill="1" applyBorder="1" applyAlignment="1" applyProtection="1">
      <alignment horizontal="center" vertical="top"/>
      <protection locked="0" hidden="1"/>
    </xf>
    <xf numFmtId="0" fontId="0" fillId="4" borderId="27" xfId="0" applyFill="1" applyBorder="1" applyAlignment="1" applyProtection="1">
      <alignment horizontal="center" vertical="top"/>
      <protection locked="0" hidden="1"/>
    </xf>
    <xf numFmtId="0" fontId="0" fillId="4" borderId="48" xfId="0" applyFill="1" applyBorder="1" applyAlignment="1" applyProtection="1">
      <alignment horizontal="center" vertical="top"/>
      <protection locked="0" hidden="1"/>
    </xf>
    <xf numFmtId="0" fontId="0" fillId="4" borderId="0" xfId="0" applyFill="1" applyAlignment="1" applyProtection="1">
      <alignment horizontal="center" vertical="top"/>
      <protection locked="0" hidden="1"/>
    </xf>
    <xf numFmtId="0" fontId="0" fillId="4" borderId="49" xfId="0" applyFill="1" applyBorder="1" applyAlignment="1" applyProtection="1">
      <alignment horizontal="center" vertical="top"/>
      <protection locked="0" hidden="1"/>
    </xf>
    <xf numFmtId="0" fontId="0" fillId="4" borderId="50" xfId="0" applyFill="1" applyBorder="1" applyAlignment="1" applyProtection="1">
      <alignment horizontal="center" vertical="top"/>
      <protection locked="0" hidden="1"/>
    </xf>
    <xf numFmtId="0" fontId="0" fillId="4" borderId="5" xfId="0" applyFill="1" applyBorder="1" applyAlignment="1" applyProtection="1">
      <alignment horizontal="center" vertical="top"/>
      <protection locked="0" hidden="1"/>
    </xf>
    <xf numFmtId="0" fontId="0" fillId="4" borderId="39" xfId="0" applyFill="1" applyBorder="1" applyAlignment="1" applyProtection="1">
      <alignment horizontal="center" vertical="top"/>
      <protection locked="0" hidden="1"/>
    </xf>
    <xf numFmtId="8" fontId="31" fillId="20" borderId="53" xfId="0" applyNumberFormat="1" applyFont="1" applyFill="1" applyBorder="1" applyAlignment="1" applyProtection="1">
      <alignment horizontal="right" vertical="center"/>
      <protection locked="0" hidden="1"/>
    </xf>
    <xf numFmtId="8" fontId="31" fillId="20" borderId="53" xfId="0" applyNumberFormat="1" applyFont="1" applyFill="1" applyBorder="1" applyAlignment="1" applyProtection="1">
      <alignment horizontal="right" vertical="center" wrapText="1"/>
      <protection locked="0" hidden="1"/>
    </xf>
    <xf numFmtId="8" fontId="31" fillId="20" borderId="54" xfId="0" applyNumberFormat="1" applyFont="1" applyFill="1" applyBorder="1" applyAlignment="1" applyProtection="1">
      <alignment horizontal="right" vertical="center"/>
      <protection locked="0" hidden="1"/>
    </xf>
    <xf numFmtId="8" fontId="31" fillId="20" borderId="2" xfId="0" applyNumberFormat="1" applyFont="1" applyFill="1" applyBorder="1" applyAlignment="1" applyProtection="1">
      <alignment horizontal="right" vertical="center"/>
      <protection locked="0" hidden="1"/>
    </xf>
    <xf numFmtId="0" fontId="25" fillId="4" borderId="10" xfId="0" applyFont="1" applyFill="1" applyBorder="1" applyAlignment="1" applyProtection="1">
      <alignment horizontal="center" vertical="top"/>
      <protection locked="0" hidden="1"/>
    </xf>
    <xf numFmtId="0" fontId="25" fillId="4" borderId="15" xfId="0" applyFont="1" applyFill="1" applyBorder="1" applyAlignment="1" applyProtection="1">
      <alignment horizontal="center" vertical="top"/>
      <protection locked="0" hidden="1"/>
    </xf>
    <xf numFmtId="0" fontId="25" fillId="4" borderId="6" xfId="0" applyFont="1" applyFill="1" applyBorder="1" applyAlignment="1" applyProtection="1">
      <alignment horizontal="center" vertical="top"/>
      <protection locked="0" hidden="1"/>
    </xf>
    <xf numFmtId="8" fontId="31" fillId="20" borderId="53" xfId="0" applyNumberFormat="1" applyFont="1" applyFill="1" applyBorder="1" applyAlignment="1" applyProtection="1">
      <alignment horizontal="center" vertical="center"/>
      <protection locked="0" hidden="1"/>
    </xf>
    <xf numFmtId="8" fontId="31" fillId="20" borderId="2" xfId="0" applyNumberFormat="1" applyFont="1" applyFill="1" applyBorder="1" applyAlignment="1" applyProtection="1">
      <alignment horizontal="center" vertical="center"/>
      <protection locked="0" hidden="1"/>
    </xf>
    <xf numFmtId="164" fontId="0" fillId="4" borderId="53" xfId="1" applyFont="1" applyFill="1" applyBorder="1" applyAlignment="1" applyProtection="1">
      <alignment horizontal="center" vertical="center"/>
      <protection locked="0" hidden="1"/>
    </xf>
    <xf numFmtId="164" fontId="0" fillId="4" borderId="2" xfId="1" applyFont="1" applyFill="1" applyBorder="1" applyAlignment="1" applyProtection="1">
      <alignment horizontal="center" vertical="center"/>
      <protection locked="0" hidden="1"/>
    </xf>
    <xf numFmtId="0" fontId="25" fillId="4" borderId="10" xfId="0" applyFont="1" applyFill="1" applyBorder="1" applyAlignment="1" applyProtection="1">
      <alignment horizontal="center" vertical="center"/>
      <protection locked="0" hidden="1"/>
    </xf>
    <xf numFmtId="0" fontId="25" fillId="4" borderId="15" xfId="0" applyFont="1" applyFill="1" applyBorder="1" applyAlignment="1" applyProtection="1">
      <alignment horizontal="center" vertical="center"/>
      <protection locked="0" hidden="1"/>
    </xf>
    <xf numFmtId="0" fontId="25" fillId="4" borderId="6" xfId="0" applyFont="1" applyFill="1" applyBorder="1" applyAlignment="1" applyProtection="1">
      <alignment horizontal="center" vertical="center"/>
      <protection locked="0" hidden="1"/>
    </xf>
    <xf numFmtId="8" fontId="31" fillId="20" borderId="33" xfId="0" applyNumberFormat="1" applyFont="1" applyFill="1" applyBorder="1" applyAlignment="1" applyProtection="1">
      <alignment horizontal="center" vertical="center"/>
      <protection locked="0" hidden="1"/>
    </xf>
    <xf numFmtId="0" fontId="25" fillId="4" borderId="25" xfId="0" applyFont="1" applyFill="1" applyBorder="1" applyAlignment="1" applyProtection="1">
      <alignment horizontal="center" vertical="top"/>
      <protection locked="0" hidden="1"/>
    </xf>
    <xf numFmtId="0" fontId="25" fillId="4" borderId="26" xfId="0" applyFont="1" applyFill="1" applyBorder="1" applyAlignment="1" applyProtection="1">
      <alignment horizontal="center" vertical="top"/>
      <protection locked="0" hidden="1"/>
    </xf>
    <xf numFmtId="0" fontId="25" fillId="4" borderId="27" xfId="0" applyFont="1" applyFill="1" applyBorder="1" applyAlignment="1" applyProtection="1">
      <alignment horizontal="center" vertical="top"/>
      <protection locked="0" hidden="1"/>
    </xf>
    <xf numFmtId="0" fontId="25" fillId="4" borderId="48" xfId="0" applyFont="1" applyFill="1" applyBorder="1" applyAlignment="1" applyProtection="1">
      <alignment horizontal="center" vertical="top"/>
      <protection locked="0" hidden="1"/>
    </xf>
    <xf numFmtId="0" fontId="25" fillId="4" borderId="0" xfId="0" applyFont="1" applyFill="1" applyAlignment="1" applyProtection="1">
      <alignment horizontal="center" vertical="top"/>
      <protection locked="0" hidden="1"/>
    </xf>
    <xf numFmtId="0" fontId="25" fillId="4" borderId="49" xfId="0" applyFont="1" applyFill="1" applyBorder="1" applyAlignment="1" applyProtection="1">
      <alignment horizontal="center" vertical="top"/>
      <protection locked="0" hidden="1"/>
    </xf>
    <xf numFmtId="0" fontId="25" fillId="4" borderId="50" xfId="0" applyFont="1" applyFill="1" applyBorder="1" applyAlignment="1" applyProtection="1">
      <alignment horizontal="center" vertical="top"/>
      <protection locked="0" hidden="1"/>
    </xf>
    <xf numFmtId="0" fontId="25" fillId="4" borderId="5" xfId="0" applyFont="1" applyFill="1" applyBorder="1" applyAlignment="1" applyProtection="1">
      <alignment horizontal="center" vertical="top"/>
      <protection locked="0" hidden="1"/>
    </xf>
    <xf numFmtId="0" fontId="25" fillId="4" borderId="39" xfId="0" applyFont="1" applyFill="1" applyBorder="1" applyAlignment="1" applyProtection="1">
      <alignment horizontal="center" vertical="top"/>
      <protection locked="0" hidden="1"/>
    </xf>
    <xf numFmtId="10" fontId="20" fillId="4" borderId="11" xfId="2" applyNumberFormat="1" applyFont="1" applyFill="1" applyBorder="1" applyAlignment="1" applyProtection="1">
      <alignment horizontal="center"/>
      <protection locked="0" hidden="1"/>
    </xf>
    <xf numFmtId="0" fontId="12" fillId="4" borderId="11" xfId="0" applyFont="1" applyFill="1" applyBorder="1" applyAlignment="1" applyProtection="1">
      <alignment horizontal="left"/>
      <protection locked="0" hidden="1"/>
    </xf>
    <xf numFmtId="164" fontId="0" fillId="4" borderId="11" xfId="1" applyFont="1" applyFill="1" applyBorder="1" applyAlignment="1" applyProtection="1">
      <alignment horizontal="right" vertical="center" wrapText="1"/>
      <protection locked="0" hidden="1"/>
    </xf>
    <xf numFmtId="164" fontId="3" fillId="4" borderId="11" xfId="1" applyFont="1" applyFill="1" applyBorder="1" applyAlignment="1" applyProtection="1">
      <alignment horizontal="right" vertical="center" wrapText="1"/>
      <protection locked="0" hidden="1"/>
    </xf>
    <xf numFmtId="164" fontId="3" fillId="4" borderId="11" xfId="1" applyFont="1" applyFill="1" applyBorder="1" applyProtection="1">
      <protection locked="0" hidden="1"/>
    </xf>
    <xf numFmtId="43" fontId="5" fillId="4" borderId="11" xfId="2" applyFont="1" applyFill="1" applyBorder="1" applyAlignment="1" applyProtection="1">
      <alignment horizontal="right" wrapText="1"/>
      <protection locked="0" hidden="1"/>
    </xf>
    <xf numFmtId="10" fontId="15" fillId="4" borderId="11" xfId="0" applyNumberFormat="1" applyFont="1" applyFill="1" applyBorder="1" applyAlignment="1" applyProtection="1">
      <alignment horizontal="center" vertical="center"/>
      <protection locked="0" hidden="1"/>
    </xf>
    <xf numFmtId="10" fontId="3" fillId="4" borderId="11" xfId="0" applyNumberFormat="1" applyFont="1" applyFill="1" applyBorder="1" applyAlignment="1" applyProtection="1">
      <alignment horizontal="center"/>
      <protection locked="0" hidden="1"/>
    </xf>
    <xf numFmtId="10" fontId="12" fillId="4" borderId="11" xfId="7" applyNumberFormat="1" applyFont="1" applyFill="1" applyBorder="1" applyAlignment="1" applyProtection="1">
      <alignment horizontal="center" vertical="center" wrapText="1"/>
      <protection locked="0" hidden="1"/>
    </xf>
    <xf numFmtId="10" fontId="3" fillId="4" borderId="11" xfId="7" applyNumberFormat="1" applyFont="1" applyFill="1" applyBorder="1" applyAlignment="1" applyProtection="1">
      <alignment horizontal="center" vertical="center" wrapText="1"/>
      <protection locked="0" hidden="1"/>
    </xf>
    <xf numFmtId="0" fontId="3" fillId="4" borderId="11" xfId="0" applyFont="1" applyFill="1" applyBorder="1" applyAlignment="1" applyProtection="1">
      <alignment horizontal="left"/>
      <protection locked="0" hidden="1"/>
    </xf>
    <xf numFmtId="0" fontId="3" fillId="4" borderId="12" xfId="0" applyFont="1" applyFill="1" applyBorder="1" applyAlignment="1" applyProtection="1">
      <alignment horizontal="left"/>
      <protection locked="0" hidden="1"/>
    </xf>
    <xf numFmtId="0" fontId="3" fillId="4" borderId="14" xfId="0" applyFont="1" applyFill="1" applyBorder="1" applyAlignment="1" applyProtection="1">
      <alignment horizontal="left"/>
      <protection locked="0" hidden="1"/>
    </xf>
    <xf numFmtId="0" fontId="3" fillId="4" borderId="18" xfId="0" applyFont="1" applyFill="1" applyBorder="1" applyAlignment="1" applyProtection="1">
      <alignment horizontal="left"/>
      <protection locked="0" hidden="1"/>
    </xf>
    <xf numFmtId="10" fontId="15" fillId="4" borderId="11" xfId="0" applyNumberFormat="1" applyFont="1" applyFill="1" applyBorder="1" applyAlignment="1" applyProtection="1">
      <alignment horizontal="center"/>
      <protection locked="0" hidden="1"/>
    </xf>
    <xf numFmtId="10" fontId="12" fillId="4" borderId="11" xfId="0" applyNumberFormat="1" applyFont="1" applyFill="1" applyBorder="1" applyAlignment="1" applyProtection="1">
      <alignment horizontal="center"/>
      <protection locked="0" hidden="1"/>
    </xf>
    <xf numFmtId="49" fontId="20" fillId="4" borderId="11" xfId="2" applyNumberFormat="1" applyFont="1" applyFill="1" applyBorder="1" applyAlignment="1" applyProtection="1">
      <alignment horizontal="center"/>
      <protection locked="0" hidden="1"/>
    </xf>
    <xf numFmtId="0" fontId="12" fillId="4" borderId="12" xfId="0" applyFont="1" applyFill="1" applyBorder="1" applyAlignment="1" applyProtection="1">
      <alignment horizontal="left"/>
      <protection locked="0" hidden="1"/>
    </xf>
    <xf numFmtId="0" fontId="12" fillId="4" borderId="14" xfId="0" applyFont="1" applyFill="1" applyBorder="1" applyAlignment="1" applyProtection="1">
      <alignment horizontal="left"/>
      <protection locked="0" hidden="1"/>
    </xf>
    <xf numFmtId="0" fontId="12" fillId="4" borderId="18" xfId="0" applyFont="1" applyFill="1" applyBorder="1" applyAlignment="1" applyProtection="1">
      <alignment horizontal="left"/>
      <protection locked="0" hidden="1"/>
    </xf>
  </cellXfs>
  <cellStyles count="17">
    <cellStyle name="Excel Built-in Percent" xfId="15"/>
    <cellStyle name="Moeda" xfId="1" builtinId="4"/>
    <cellStyle name="Moeda 2" xfId="5"/>
    <cellStyle name="Moeda 2 2" xfId="11"/>
    <cellStyle name="Moeda 3" xfId="8"/>
    <cellStyle name="Normal" xfId="0" builtinId="0"/>
    <cellStyle name="Normal 2" xfId="3"/>
    <cellStyle name="Normal 3" xfId="13"/>
    <cellStyle name="Porcentagem" xfId="7" builtinId="5"/>
    <cellStyle name="Texto Explicativo 2" xfId="14"/>
    <cellStyle name="Vírgula" xfId="2" builtinId="3"/>
    <cellStyle name="Vírgula 2" xfId="4"/>
    <cellStyle name="Vírgula 2 2" xfId="10"/>
    <cellStyle name="Vírgula 3" xfId="6"/>
    <cellStyle name="Vírgula 3 2" xfId="12"/>
    <cellStyle name="Vírgula 4" xfId="9"/>
    <cellStyle name="Vírgula 7 2" xfId="16"/>
  </cellStyles>
  <dxfs count="0"/>
  <tableStyles count="0" defaultTableStyle="TableStyleMedium9" defaultPivotStyle="PivotStyleLight16"/>
  <colors>
    <mruColors>
      <color rgb="FF003300"/>
      <color rgb="FF3333FF"/>
      <color rgb="FFE6F6B4"/>
      <color rgb="FFF4F7ED"/>
      <color rgb="FFEDF2E2"/>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2.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1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14.xml.rels><?xml version="1.0" encoding="UTF-8" standalone="yes"?>
<Relationships xmlns="http://schemas.openxmlformats.org/package/2006/relationships"><Relationship Id="rId1" Type="http://schemas.openxmlformats.org/officeDocument/2006/relationships/image" Target="../media/image2.jpeg"/></Relationships>
</file>

<file path=xl/drawings/_rels/drawing15.xml.rels><?xml version="1.0" encoding="UTF-8" standalone="yes"?>
<Relationships xmlns="http://schemas.openxmlformats.org/package/2006/relationships"><Relationship Id="rId1" Type="http://schemas.openxmlformats.org/officeDocument/2006/relationships/image" Target="../media/image2.jpeg"/></Relationships>
</file>

<file path=xl/drawings/_rels/drawing16.xml.rels><?xml version="1.0" encoding="UTF-8" standalone="yes"?>
<Relationships xmlns="http://schemas.openxmlformats.org/package/2006/relationships"><Relationship Id="rId1" Type="http://schemas.openxmlformats.org/officeDocument/2006/relationships/image" Target="../media/image7.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4.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5.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5.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5.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4</xdr:col>
      <xdr:colOff>96843</xdr:colOff>
      <xdr:row>0</xdr:row>
      <xdr:rowOff>85722</xdr:rowOff>
    </xdr:from>
    <xdr:to>
      <xdr:col>4</xdr:col>
      <xdr:colOff>649149</xdr:colOff>
      <xdr:row>3</xdr:row>
      <xdr:rowOff>33190</xdr:rowOff>
    </xdr:to>
    <xdr:pic>
      <xdr:nvPicPr>
        <xdr:cNvPr id="4" name="Imagem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83031" y="85722"/>
          <a:ext cx="552306" cy="51896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6</xdr:col>
      <xdr:colOff>649293</xdr:colOff>
      <xdr:row>0</xdr:row>
      <xdr:rowOff>111120</xdr:rowOff>
    </xdr:from>
    <xdr:to>
      <xdr:col>7</xdr:col>
      <xdr:colOff>420549</xdr:colOff>
      <xdr:row>3</xdr:row>
      <xdr:rowOff>122088</xdr:rowOff>
    </xdr:to>
    <xdr:pic>
      <xdr:nvPicPr>
        <xdr:cNvPr id="2" name="Imagem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935793" y="111120"/>
          <a:ext cx="554423" cy="582468"/>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5</xdr:col>
      <xdr:colOff>306531</xdr:colOff>
      <xdr:row>0</xdr:row>
      <xdr:rowOff>81395</xdr:rowOff>
    </xdr:from>
    <xdr:to>
      <xdr:col>5</xdr:col>
      <xdr:colOff>895349</xdr:colOff>
      <xdr:row>3</xdr:row>
      <xdr:rowOff>32038</xdr:rowOff>
    </xdr:to>
    <xdr:pic>
      <xdr:nvPicPr>
        <xdr:cNvPr id="4" name="Imagem 3">
          <a:extLst>
            <a:ext uri="{FF2B5EF4-FFF2-40B4-BE49-F238E27FC236}">
              <a16:creationId xmlns:a16="http://schemas.microsoft.com/office/drawing/2014/main" id="{00000000-0008-0000-0A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44981" y="81395"/>
          <a:ext cx="588818" cy="522143"/>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5</xdr:col>
      <xdr:colOff>306531</xdr:colOff>
      <xdr:row>0</xdr:row>
      <xdr:rowOff>81395</xdr:rowOff>
    </xdr:from>
    <xdr:to>
      <xdr:col>5</xdr:col>
      <xdr:colOff>895349</xdr:colOff>
      <xdr:row>3</xdr:row>
      <xdr:rowOff>32038</xdr:rowOff>
    </xdr:to>
    <xdr:pic>
      <xdr:nvPicPr>
        <xdr:cNvPr id="2" name="Imagem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44981" y="81395"/>
          <a:ext cx="588818" cy="522143"/>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5</xdr:col>
      <xdr:colOff>306531</xdr:colOff>
      <xdr:row>0</xdr:row>
      <xdr:rowOff>81395</xdr:rowOff>
    </xdr:from>
    <xdr:to>
      <xdr:col>5</xdr:col>
      <xdr:colOff>895349</xdr:colOff>
      <xdr:row>3</xdr:row>
      <xdr:rowOff>32038</xdr:rowOff>
    </xdr:to>
    <xdr:pic>
      <xdr:nvPicPr>
        <xdr:cNvPr id="2" name="Imagem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44981" y="81395"/>
          <a:ext cx="588818" cy="522143"/>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5</xdr:col>
      <xdr:colOff>306531</xdr:colOff>
      <xdr:row>0</xdr:row>
      <xdr:rowOff>81395</xdr:rowOff>
    </xdr:from>
    <xdr:to>
      <xdr:col>5</xdr:col>
      <xdr:colOff>895349</xdr:colOff>
      <xdr:row>3</xdr:row>
      <xdr:rowOff>32038</xdr:rowOff>
    </xdr:to>
    <xdr:pic>
      <xdr:nvPicPr>
        <xdr:cNvPr id="2" name="Imagem 1">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44981" y="81395"/>
          <a:ext cx="588818" cy="522143"/>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5</xdr:col>
      <xdr:colOff>306531</xdr:colOff>
      <xdr:row>0</xdr:row>
      <xdr:rowOff>81395</xdr:rowOff>
    </xdr:from>
    <xdr:to>
      <xdr:col>5</xdr:col>
      <xdr:colOff>895349</xdr:colOff>
      <xdr:row>3</xdr:row>
      <xdr:rowOff>32038</xdr:rowOff>
    </xdr:to>
    <xdr:pic>
      <xdr:nvPicPr>
        <xdr:cNvPr id="2" name="Imagem 1">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44981" y="81395"/>
          <a:ext cx="588818" cy="522143"/>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3</xdr:col>
      <xdr:colOff>627590</xdr:colOff>
      <xdr:row>0</xdr:row>
      <xdr:rowOff>106888</xdr:rowOff>
    </xdr:from>
    <xdr:to>
      <xdr:col>3</xdr:col>
      <xdr:colOff>1171959</xdr:colOff>
      <xdr:row>3</xdr:row>
      <xdr:rowOff>54356</xdr:rowOff>
    </xdr:to>
    <xdr:pic>
      <xdr:nvPicPr>
        <xdr:cNvPr id="2" name="Imagem 1">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551890" y="106888"/>
          <a:ext cx="544369" cy="51896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565297</xdr:colOff>
      <xdr:row>0</xdr:row>
      <xdr:rowOff>79377</xdr:rowOff>
    </xdr:from>
    <xdr:to>
      <xdr:col>7</xdr:col>
      <xdr:colOff>319090</xdr:colOff>
      <xdr:row>3</xdr:row>
      <xdr:rowOff>30020</xdr:rowOff>
    </xdr:to>
    <xdr:pic>
      <xdr:nvPicPr>
        <xdr:cNvPr id="2" name="Imagem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018360" y="79377"/>
          <a:ext cx="603105" cy="52214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11</xdr:col>
      <xdr:colOff>204107</xdr:colOff>
      <xdr:row>0</xdr:row>
      <xdr:rowOff>136072</xdr:rowOff>
    </xdr:from>
    <xdr:to>
      <xdr:col>12</xdr:col>
      <xdr:colOff>35234</xdr:colOff>
      <xdr:row>3</xdr:row>
      <xdr:rowOff>83540</xdr:rowOff>
    </xdr:to>
    <xdr:pic>
      <xdr:nvPicPr>
        <xdr:cNvPr id="2" name="Imagem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851571" y="136072"/>
          <a:ext cx="552306" cy="51896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252946</xdr:colOff>
      <xdr:row>0</xdr:row>
      <xdr:rowOff>183616</xdr:rowOff>
    </xdr:from>
    <xdr:to>
      <xdr:col>4</xdr:col>
      <xdr:colOff>888999</xdr:colOff>
      <xdr:row>3</xdr:row>
      <xdr:rowOff>131084</xdr:rowOff>
    </xdr:to>
    <xdr:pic>
      <xdr:nvPicPr>
        <xdr:cNvPr id="2" name="Imagem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825196" y="183616"/>
          <a:ext cx="636053" cy="59305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9</xdr:col>
      <xdr:colOff>133268</xdr:colOff>
      <xdr:row>0</xdr:row>
      <xdr:rowOff>175369</xdr:rowOff>
    </xdr:from>
    <xdr:to>
      <xdr:col>9</xdr:col>
      <xdr:colOff>682906</xdr:colOff>
      <xdr:row>3</xdr:row>
      <xdr:rowOff>119635</xdr:rowOff>
    </xdr:to>
    <xdr:pic>
      <xdr:nvPicPr>
        <xdr:cNvPr id="2" name="Imagem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291650" y="175369"/>
          <a:ext cx="549638" cy="51576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561975</xdr:colOff>
      <xdr:row>0</xdr:row>
      <xdr:rowOff>57147</xdr:rowOff>
    </xdr:from>
    <xdr:to>
      <xdr:col>7</xdr:col>
      <xdr:colOff>411024</xdr:colOff>
      <xdr:row>3</xdr:row>
      <xdr:rowOff>80815</xdr:rowOff>
    </xdr:to>
    <xdr:pic>
      <xdr:nvPicPr>
        <xdr:cNvPr id="2" name="Imagem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848475" y="57147"/>
          <a:ext cx="630099" cy="595168"/>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4</xdr:col>
      <xdr:colOff>115893</xdr:colOff>
      <xdr:row>0</xdr:row>
      <xdr:rowOff>85722</xdr:rowOff>
    </xdr:from>
    <xdr:to>
      <xdr:col>4</xdr:col>
      <xdr:colOff>668199</xdr:colOff>
      <xdr:row>3</xdr:row>
      <xdr:rowOff>33190</xdr:rowOff>
    </xdr:to>
    <xdr:pic>
      <xdr:nvPicPr>
        <xdr:cNvPr id="2" name="Imagem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478343" y="85722"/>
          <a:ext cx="552306" cy="518968"/>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3</xdr:col>
      <xdr:colOff>411168</xdr:colOff>
      <xdr:row>0</xdr:row>
      <xdr:rowOff>85722</xdr:rowOff>
    </xdr:from>
    <xdr:to>
      <xdr:col>4</xdr:col>
      <xdr:colOff>249099</xdr:colOff>
      <xdr:row>3</xdr:row>
      <xdr:rowOff>33190</xdr:rowOff>
    </xdr:to>
    <xdr:pic>
      <xdr:nvPicPr>
        <xdr:cNvPr id="2" name="Imagem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73468" y="85722"/>
          <a:ext cx="552306" cy="518968"/>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4</xdr:col>
      <xdr:colOff>534993</xdr:colOff>
      <xdr:row>0</xdr:row>
      <xdr:rowOff>85722</xdr:rowOff>
    </xdr:from>
    <xdr:to>
      <xdr:col>4</xdr:col>
      <xdr:colOff>1087299</xdr:colOff>
      <xdr:row>3</xdr:row>
      <xdr:rowOff>33190</xdr:rowOff>
    </xdr:to>
    <xdr:pic>
      <xdr:nvPicPr>
        <xdr:cNvPr id="2" name="Imagem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430718" y="85722"/>
          <a:ext cx="552306" cy="51896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ados-sp\PUBLICO\SLI\SLI\ALESSANDRA_MORO\PROCESSOS\PREGAO\2017\21053%20000506-2017%20Vigilancia%20Campinas%20-%20PE%20-16-2017\Planilha%20preco%20INFRAERO_Anexo_VI_Propost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os"/>
      <sheetName val="Efetivo"/>
      <sheetName val="PF"/>
      <sheetName val="Benefícios"/>
      <sheetName val="Uniforme e EPI"/>
      <sheetName val="Material"/>
      <sheetName val="DE"/>
      <sheetName val="DOV"/>
      <sheetName val="DV"/>
      <sheetName val="DOE_h"/>
      <sheetName val="DG"/>
      <sheetName val="E S"/>
      <sheetName val="MC"/>
      <sheetName val="ADII"/>
      <sheetName val="Resumo"/>
      <sheetName val="Consolidado_Geral"/>
      <sheetName val="Consolidado_A"/>
      <sheetName val="Simulado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1.xml"/><Relationship Id="rId1" Type="http://schemas.openxmlformats.org/officeDocument/2006/relationships/printerSettings" Target="../printerSettings/printerSettings11.bin"/><Relationship Id="rId4" Type="http://schemas.openxmlformats.org/officeDocument/2006/relationships/comments" Target="../comments1.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12.xml"/><Relationship Id="rId1" Type="http://schemas.openxmlformats.org/officeDocument/2006/relationships/printerSettings" Target="../printerSettings/printerSettings12.bin"/><Relationship Id="rId4" Type="http://schemas.openxmlformats.org/officeDocument/2006/relationships/comments" Target="../comments2.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3.xml"/><Relationship Id="rId1" Type="http://schemas.openxmlformats.org/officeDocument/2006/relationships/printerSettings" Target="../printerSettings/printerSettings13.bin"/><Relationship Id="rId4" Type="http://schemas.openxmlformats.org/officeDocument/2006/relationships/comments" Target="../comments3.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4.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5.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9">
    <tabColor rgb="FFFFFF00"/>
  </sheetPr>
  <dimension ref="A1:I52"/>
  <sheetViews>
    <sheetView showGridLines="0" showRowColHeaders="0" tabSelected="1" zoomScaleNormal="100" workbookViewId="0">
      <selection activeCell="J1" sqref="J1"/>
    </sheetView>
  </sheetViews>
  <sheetFormatPr defaultRowHeight="15" x14ac:dyDescent="0.25"/>
  <cols>
    <col min="1" max="1" width="5.85546875" customWidth="1"/>
    <col min="2" max="2" width="37" customWidth="1"/>
    <col min="3" max="3" width="8.85546875" customWidth="1"/>
    <col min="4" max="4" width="7.140625" customWidth="1"/>
    <col min="5" max="5" width="13" customWidth="1"/>
    <col min="6" max="6" width="9.140625" customWidth="1"/>
    <col min="7" max="7" width="17" customWidth="1"/>
    <col min="8" max="8" width="21.28515625" customWidth="1"/>
    <col min="9" max="9" width="7.85546875" customWidth="1"/>
    <col min="10" max="10" width="5.140625" customWidth="1"/>
    <col min="11" max="11" width="13.28515625" bestFit="1" customWidth="1"/>
  </cols>
  <sheetData>
    <row r="1" spans="1:9" ht="15" customHeight="1" x14ac:dyDescent="0.35">
      <c r="A1" s="479"/>
      <c r="B1" s="479"/>
      <c r="C1" s="479"/>
      <c r="D1" s="479"/>
      <c r="E1" s="479"/>
      <c r="F1" s="479"/>
      <c r="G1" s="479"/>
      <c r="H1" s="479"/>
      <c r="I1" s="479"/>
    </row>
    <row r="2" spans="1:9" ht="15" customHeight="1" x14ac:dyDescent="0.25">
      <c r="A2" s="480"/>
      <c r="B2" s="480"/>
      <c r="C2" s="480"/>
      <c r="D2" s="480"/>
      <c r="E2" s="480"/>
      <c r="F2" s="480"/>
      <c r="G2" s="480"/>
      <c r="H2" s="480"/>
      <c r="I2" s="480"/>
    </row>
    <row r="3" spans="1:9" ht="15" customHeight="1" x14ac:dyDescent="0.25">
      <c r="A3" s="382"/>
      <c r="B3" s="382"/>
      <c r="C3" s="382"/>
      <c r="D3" s="382"/>
      <c r="E3" s="382"/>
      <c r="F3" s="382"/>
      <c r="G3" s="382"/>
      <c r="H3" s="382"/>
    </row>
    <row r="4" spans="1:9" ht="15" customHeight="1" x14ac:dyDescent="0.3">
      <c r="A4" s="2"/>
      <c r="B4" s="2"/>
      <c r="C4" s="2"/>
      <c r="D4" s="2"/>
      <c r="E4" s="2"/>
      <c r="F4" s="2"/>
      <c r="G4" s="2"/>
      <c r="H4" s="2"/>
    </row>
    <row r="5" spans="1:9" ht="15" customHeight="1" x14ac:dyDescent="0.25">
      <c r="A5" s="483" t="s">
        <v>0</v>
      </c>
      <c r="B5" s="483"/>
      <c r="C5" s="483"/>
      <c r="D5" s="483"/>
      <c r="E5" s="483"/>
      <c r="F5" s="483"/>
      <c r="G5" s="483"/>
      <c r="H5" s="483"/>
      <c r="I5" s="483"/>
    </row>
    <row r="6" spans="1:9" ht="15" customHeight="1" x14ac:dyDescent="0.25">
      <c r="A6" s="483" t="s">
        <v>1</v>
      </c>
      <c r="B6" s="483"/>
      <c r="C6" s="483"/>
      <c r="D6" s="483"/>
      <c r="E6" s="483"/>
      <c r="F6" s="483"/>
      <c r="G6" s="483"/>
      <c r="H6" s="483"/>
      <c r="I6" s="483"/>
    </row>
    <row r="7" spans="1:9" ht="15" customHeight="1" x14ac:dyDescent="0.25">
      <c r="A7" s="480"/>
      <c r="B7" s="480"/>
      <c r="C7" s="480"/>
      <c r="D7" s="480"/>
      <c r="E7" s="480"/>
      <c r="F7" s="480"/>
      <c r="G7" s="480"/>
      <c r="H7" s="480"/>
      <c r="I7" s="480"/>
    </row>
    <row r="8" spans="1:9" ht="19.5" customHeight="1" x14ac:dyDescent="0.25">
      <c r="A8" s="484" t="s">
        <v>2</v>
      </c>
      <c r="B8" s="484"/>
      <c r="C8" s="484"/>
      <c r="D8" s="484"/>
      <c r="E8" s="484"/>
      <c r="F8" s="484"/>
      <c r="G8" s="484"/>
      <c r="H8" s="484"/>
      <c r="I8" s="484"/>
    </row>
    <row r="9" spans="1:9" ht="15" customHeight="1" x14ac:dyDescent="0.25">
      <c r="A9" s="482"/>
      <c r="B9" s="482"/>
      <c r="C9" s="482"/>
      <c r="D9" s="482"/>
      <c r="E9" s="482"/>
      <c r="F9" s="482"/>
      <c r="G9" s="482"/>
      <c r="H9" s="482"/>
      <c r="I9" s="482"/>
    </row>
    <row r="10" spans="1:9" ht="15" customHeight="1" x14ac:dyDescent="0.25">
      <c r="A10" s="481" t="s">
        <v>3</v>
      </c>
      <c r="B10" s="481"/>
      <c r="C10" s="481"/>
      <c r="D10" s="481"/>
      <c r="E10" s="481"/>
      <c r="F10" s="481"/>
      <c r="G10" s="481"/>
      <c r="H10" s="481"/>
      <c r="I10" s="481"/>
    </row>
    <row r="11" spans="1:9" ht="15" customHeight="1" x14ac:dyDescent="0.25">
      <c r="A11" s="481" t="s">
        <v>4</v>
      </c>
      <c r="B11" s="481"/>
      <c r="C11" s="481"/>
      <c r="D11" s="481"/>
      <c r="E11" s="481"/>
      <c r="F11" s="481"/>
      <c r="G11" s="481"/>
      <c r="H11" s="481"/>
      <c r="I11" s="481"/>
    </row>
    <row r="12" spans="1:9" ht="23.25" customHeight="1" x14ac:dyDescent="0.3">
      <c r="A12" s="383"/>
      <c r="B12" s="383"/>
      <c r="C12" s="383"/>
      <c r="D12" s="383"/>
      <c r="E12" s="383"/>
      <c r="F12" s="383"/>
      <c r="G12" s="383"/>
      <c r="H12" s="383"/>
    </row>
    <row r="13" spans="1:9" ht="74.25" customHeight="1" x14ac:dyDescent="0.25">
      <c r="A13" s="478" t="str">
        <f>RESUMO!A13</f>
        <v>OBJETO: Contratação de Empresa Especializada para prestação de serviços continuados de limpeza e conservação, higienização textil e serviço de condutores de veículos, com fornecimento de mão de obra, materiais, insumos e equipamentos necessários e adequados para a execução dos serviços nas dependências do LFDA/PA.</v>
      </c>
      <c r="B13" s="478"/>
      <c r="C13" s="478"/>
      <c r="D13" s="478"/>
      <c r="E13" s="478"/>
      <c r="F13" s="478"/>
      <c r="G13" s="478"/>
      <c r="H13" s="478"/>
      <c r="I13" s="47"/>
    </row>
    <row r="14" spans="1:9" ht="15.75" x14ac:dyDescent="0.25">
      <c r="A14" s="47"/>
      <c r="B14" s="47"/>
      <c r="C14" s="47"/>
      <c r="D14" s="47"/>
      <c r="E14" s="47"/>
      <c r="F14" s="47"/>
      <c r="G14" s="47"/>
      <c r="H14" s="47"/>
      <c r="I14" s="47"/>
    </row>
    <row r="15" spans="1:9" ht="30.75" customHeight="1" x14ac:dyDescent="0.25">
      <c r="A15" s="99" t="s">
        <v>5</v>
      </c>
      <c r="B15" s="113"/>
      <c r="C15" s="113"/>
      <c r="D15" s="113"/>
      <c r="E15" s="113"/>
      <c r="F15" s="113"/>
      <c r="G15" s="113"/>
      <c r="H15" s="113"/>
      <c r="I15" s="113"/>
    </row>
    <row r="16" spans="1:9" ht="21.75" customHeight="1" x14ac:dyDescent="0.25">
      <c r="A16" s="113" t="s">
        <v>6</v>
      </c>
      <c r="B16" s="113"/>
      <c r="C16" s="113"/>
      <c r="D16" s="113"/>
      <c r="E16" s="385" t="s">
        <v>7</v>
      </c>
      <c r="F16" s="113" t="s">
        <v>8</v>
      </c>
      <c r="G16" s="113"/>
      <c r="H16" s="113"/>
      <c r="I16" s="113"/>
    </row>
    <row r="17" spans="1:9" ht="15.75" x14ac:dyDescent="0.25">
      <c r="A17" s="113"/>
      <c r="B17" s="113" t="s">
        <v>9</v>
      </c>
      <c r="C17" s="113"/>
      <c r="D17" s="113"/>
      <c r="E17" s="113"/>
      <c r="F17" s="113"/>
      <c r="G17" s="113"/>
      <c r="H17" s="113"/>
      <c r="I17" s="113"/>
    </row>
    <row r="18" spans="1:9" ht="15.75" x14ac:dyDescent="0.25">
      <c r="A18" s="113"/>
      <c r="B18" s="113" t="s">
        <v>10</v>
      </c>
      <c r="C18" s="113"/>
      <c r="D18" s="113"/>
      <c r="E18" s="113"/>
      <c r="F18" s="113"/>
      <c r="G18" s="113"/>
      <c r="H18" s="113"/>
      <c r="I18" s="113"/>
    </row>
    <row r="19" spans="1:9" ht="15.75" x14ac:dyDescent="0.25">
      <c r="A19" s="113"/>
      <c r="B19" s="113" t="s">
        <v>11</v>
      </c>
      <c r="C19" s="113"/>
      <c r="D19" s="113"/>
      <c r="E19" s="113"/>
      <c r="F19" s="113"/>
      <c r="G19" s="113"/>
      <c r="H19" s="113"/>
      <c r="I19" s="113"/>
    </row>
    <row r="20" spans="1:9" ht="15.75" x14ac:dyDescent="0.25">
      <c r="A20" s="113"/>
      <c r="B20" s="113" t="s">
        <v>12</v>
      </c>
      <c r="C20" s="113"/>
      <c r="D20" s="113"/>
      <c r="E20" s="113"/>
      <c r="F20" s="113"/>
      <c r="G20" s="113"/>
      <c r="H20" s="113"/>
      <c r="I20" s="113"/>
    </row>
    <row r="21" spans="1:9" ht="15.75" x14ac:dyDescent="0.25">
      <c r="A21" s="113"/>
      <c r="B21" s="113" t="s">
        <v>13</v>
      </c>
      <c r="C21" s="113"/>
      <c r="D21" s="113"/>
      <c r="E21" s="113"/>
      <c r="F21" s="113"/>
      <c r="G21" s="113"/>
      <c r="H21" s="113"/>
      <c r="I21" s="113"/>
    </row>
    <row r="22" spans="1:9" ht="15.75" x14ac:dyDescent="0.25">
      <c r="A22" s="113"/>
      <c r="B22" s="113" t="s">
        <v>14</v>
      </c>
      <c r="C22" s="113"/>
      <c r="D22" s="113"/>
      <c r="E22" s="113"/>
      <c r="F22" s="113"/>
      <c r="G22" s="113"/>
      <c r="H22" s="113"/>
      <c r="I22" s="113"/>
    </row>
    <row r="23" spans="1:9" ht="15.75" x14ac:dyDescent="0.25">
      <c r="A23" s="113"/>
      <c r="B23" s="113" t="s">
        <v>15</v>
      </c>
      <c r="C23" s="113"/>
      <c r="D23" s="113"/>
      <c r="E23" s="113"/>
      <c r="F23" s="113"/>
      <c r="G23" s="113"/>
      <c r="H23" s="113"/>
      <c r="I23" s="113"/>
    </row>
    <row r="24" spans="1:9" ht="15.75" x14ac:dyDescent="0.25">
      <c r="A24" s="113"/>
      <c r="B24" s="113" t="s">
        <v>16</v>
      </c>
      <c r="C24" s="113"/>
      <c r="D24" s="113"/>
      <c r="E24" s="113"/>
      <c r="F24" s="113"/>
      <c r="G24" s="113"/>
      <c r="H24" s="113"/>
      <c r="I24" s="113"/>
    </row>
    <row r="25" spans="1:9" ht="15.75" x14ac:dyDescent="0.25">
      <c r="A25" s="113"/>
      <c r="B25" s="113" t="s">
        <v>17</v>
      </c>
      <c r="C25" s="113"/>
      <c r="D25" s="113"/>
      <c r="E25" s="113"/>
      <c r="F25" s="113"/>
      <c r="G25" s="113"/>
      <c r="H25" s="113"/>
      <c r="I25" s="113"/>
    </row>
    <row r="26" spans="1:9" ht="15.75" x14ac:dyDescent="0.25">
      <c r="A26" s="113"/>
      <c r="B26" s="113" t="s">
        <v>18</v>
      </c>
      <c r="C26" s="113"/>
      <c r="D26" s="113"/>
      <c r="E26" s="113"/>
      <c r="F26" s="113"/>
      <c r="G26" s="113"/>
      <c r="H26" s="113"/>
      <c r="I26" s="113"/>
    </row>
    <row r="27" spans="1:9" ht="15.75" x14ac:dyDescent="0.25">
      <c r="A27" s="113"/>
      <c r="B27" s="113" t="s">
        <v>19</v>
      </c>
      <c r="C27" s="113"/>
      <c r="D27" s="113"/>
      <c r="E27" s="113"/>
      <c r="F27" s="113"/>
      <c r="G27" s="113"/>
      <c r="H27" s="113"/>
      <c r="I27" s="113"/>
    </row>
    <row r="28" spans="1:9" ht="21.75" customHeight="1" x14ac:dyDescent="0.25">
      <c r="A28" s="113"/>
      <c r="B28" s="113" t="s">
        <v>20</v>
      </c>
      <c r="C28" s="113"/>
      <c r="D28" s="113"/>
      <c r="E28" s="113"/>
      <c r="F28" s="113"/>
      <c r="G28" s="113"/>
      <c r="H28" s="113"/>
      <c r="I28" s="113"/>
    </row>
    <row r="29" spans="1:9" ht="21.75" customHeight="1" x14ac:dyDescent="0.25">
      <c r="A29" s="113"/>
      <c r="B29" s="113"/>
      <c r="C29" s="113"/>
      <c r="D29" s="113"/>
      <c r="E29" s="113"/>
      <c r="F29" s="113"/>
      <c r="G29" s="113"/>
      <c r="H29" s="113"/>
      <c r="I29" s="113"/>
    </row>
    <row r="30" spans="1:9" ht="17.25" customHeight="1" x14ac:dyDescent="0.25">
      <c r="A30" s="113" t="s">
        <v>21</v>
      </c>
      <c r="B30" s="113"/>
      <c r="C30" s="113"/>
      <c r="D30" s="113"/>
      <c r="E30" s="113"/>
      <c r="F30" s="113"/>
      <c r="G30" s="113"/>
      <c r="H30" s="113"/>
      <c r="I30" s="113"/>
    </row>
    <row r="31" spans="1:9" ht="43.5" customHeight="1" x14ac:dyDescent="0.25">
      <c r="A31" s="477" t="s">
        <v>22</v>
      </c>
      <c r="B31" s="477"/>
      <c r="C31" s="477"/>
      <c r="D31" s="477"/>
      <c r="E31" s="477"/>
      <c r="F31" s="477"/>
      <c r="G31" s="477"/>
      <c r="H31" s="477"/>
      <c r="I31" s="477"/>
    </row>
    <row r="32" spans="1:9" ht="36" customHeight="1" x14ac:dyDescent="0.25">
      <c r="A32" s="477" t="s">
        <v>23</v>
      </c>
      <c r="B32" s="477"/>
      <c r="C32" s="477"/>
      <c r="D32" s="477"/>
      <c r="E32" s="477"/>
      <c r="F32" s="477"/>
      <c r="G32" s="477"/>
      <c r="H32" s="477"/>
      <c r="I32" s="477"/>
    </row>
    <row r="33" spans="1:9" ht="34.5" customHeight="1" x14ac:dyDescent="0.25">
      <c r="A33" s="477" t="s">
        <v>24</v>
      </c>
      <c r="B33" s="477"/>
      <c r="C33" s="477"/>
      <c r="D33" s="477"/>
      <c r="E33" s="477"/>
      <c r="F33" s="477"/>
      <c r="G33" s="477"/>
      <c r="H33" s="477"/>
      <c r="I33" s="477"/>
    </row>
    <row r="34" spans="1:9" ht="25.5" customHeight="1" x14ac:dyDescent="0.25">
      <c r="A34" s="113" t="s">
        <v>25</v>
      </c>
      <c r="B34" s="113"/>
      <c r="C34" s="113"/>
      <c r="D34" s="113"/>
      <c r="E34" s="113"/>
      <c r="F34" s="113"/>
      <c r="G34" s="113"/>
      <c r="H34" s="113"/>
      <c r="I34" s="113"/>
    </row>
    <row r="35" spans="1:9" ht="15.75" x14ac:dyDescent="0.25">
      <c r="A35" s="113"/>
      <c r="B35" s="84" t="s">
        <v>26</v>
      </c>
      <c r="C35" s="384"/>
      <c r="D35" s="384"/>
      <c r="E35" s="384"/>
      <c r="F35" s="384"/>
      <c r="G35" s="113"/>
      <c r="H35" s="113"/>
      <c r="I35" s="113"/>
    </row>
    <row r="36" spans="1:9" ht="15.75" x14ac:dyDescent="0.25">
      <c r="A36" s="113"/>
      <c r="B36" s="84" t="s">
        <v>27</v>
      </c>
      <c r="C36" s="384"/>
      <c r="D36" s="384"/>
      <c r="E36" s="384"/>
      <c r="F36" s="384"/>
      <c r="G36" s="113"/>
      <c r="H36" s="113"/>
      <c r="I36" s="113"/>
    </row>
    <row r="37" spans="1:9" ht="15.75" x14ac:dyDescent="0.25">
      <c r="A37" s="113"/>
      <c r="B37" s="84" t="s">
        <v>28</v>
      </c>
      <c r="C37" s="384"/>
      <c r="D37" s="384"/>
      <c r="E37" s="384"/>
      <c r="F37" s="384"/>
      <c r="G37" s="113"/>
      <c r="H37" s="113"/>
      <c r="I37" s="113"/>
    </row>
    <row r="38" spans="1:9" ht="15.75" x14ac:dyDescent="0.25">
      <c r="A38" s="113"/>
      <c r="B38" s="84" t="s">
        <v>29</v>
      </c>
      <c r="C38" s="384"/>
      <c r="D38" s="384"/>
      <c r="E38" s="384"/>
      <c r="F38" s="384"/>
      <c r="G38" s="113"/>
      <c r="H38" s="113"/>
      <c r="I38" s="113"/>
    </row>
    <row r="39" spans="1:9" ht="15.75" x14ac:dyDescent="0.25">
      <c r="A39" s="113"/>
      <c r="B39" s="84" t="s">
        <v>30</v>
      </c>
      <c r="C39" s="384"/>
      <c r="D39" s="384"/>
      <c r="E39" s="384"/>
      <c r="F39" s="384"/>
      <c r="G39" s="113"/>
      <c r="H39" s="113"/>
      <c r="I39" s="113"/>
    </row>
    <row r="40" spans="1:9" ht="15.75" x14ac:dyDescent="0.25">
      <c r="A40" s="113"/>
      <c r="B40" s="84" t="s">
        <v>31</v>
      </c>
      <c r="C40" s="384"/>
      <c r="D40" s="384"/>
      <c r="E40" s="384"/>
      <c r="F40" s="384"/>
      <c r="G40" s="113"/>
      <c r="H40" s="113"/>
      <c r="I40" s="113"/>
    </row>
    <row r="41" spans="1:9" ht="15.75" x14ac:dyDescent="0.25">
      <c r="A41" s="113"/>
      <c r="B41" s="84" t="s">
        <v>32</v>
      </c>
      <c r="C41" s="384"/>
      <c r="D41" s="384"/>
      <c r="E41" s="384"/>
      <c r="F41" s="384"/>
      <c r="G41" s="113"/>
      <c r="H41" s="113"/>
      <c r="I41" s="113"/>
    </row>
    <row r="42" spans="1:9" ht="15.75" x14ac:dyDescent="0.25">
      <c r="A42" s="113"/>
      <c r="B42" s="84" t="s">
        <v>33</v>
      </c>
      <c r="C42" s="384"/>
      <c r="D42" s="384"/>
      <c r="E42" s="384"/>
      <c r="F42" s="384"/>
      <c r="G42" s="113"/>
      <c r="H42" s="113"/>
      <c r="I42" s="113"/>
    </row>
    <row r="43" spans="1:9" ht="15.75" x14ac:dyDescent="0.25">
      <c r="A43" s="113"/>
      <c r="B43" s="84" t="s">
        <v>34</v>
      </c>
      <c r="C43" s="384"/>
      <c r="D43" s="384"/>
      <c r="E43" s="384"/>
      <c r="F43" s="384"/>
      <c r="G43" s="113"/>
      <c r="H43" s="113"/>
      <c r="I43" s="113"/>
    </row>
    <row r="44" spans="1:9" ht="15.75" x14ac:dyDescent="0.25">
      <c r="A44" s="113"/>
      <c r="B44" s="84" t="s">
        <v>35</v>
      </c>
      <c r="C44" s="384"/>
      <c r="D44" s="384"/>
      <c r="E44" s="384"/>
      <c r="F44" s="384"/>
      <c r="G44" s="113"/>
      <c r="H44" s="113"/>
      <c r="I44" s="113"/>
    </row>
    <row r="45" spans="1:9" ht="15.75" x14ac:dyDescent="0.25">
      <c r="A45" s="113"/>
      <c r="B45" s="84" t="s">
        <v>36</v>
      </c>
      <c r="C45" s="384"/>
      <c r="D45" s="384"/>
      <c r="E45" s="384"/>
      <c r="F45" s="384"/>
      <c r="G45" s="113"/>
      <c r="H45" s="113"/>
      <c r="I45" s="113"/>
    </row>
    <row r="46" spans="1:9" ht="15.75" x14ac:dyDescent="0.25">
      <c r="A46" s="113"/>
      <c r="B46" s="84" t="s">
        <v>37</v>
      </c>
      <c r="C46" s="384"/>
      <c r="D46" s="384"/>
      <c r="E46" s="384"/>
      <c r="F46" s="384"/>
      <c r="G46" s="113"/>
      <c r="H46" s="113"/>
      <c r="I46" s="113"/>
    </row>
    <row r="47" spans="1:9" ht="15.75" x14ac:dyDescent="0.25">
      <c r="A47" s="113"/>
      <c r="B47" s="84" t="s">
        <v>38</v>
      </c>
      <c r="C47" s="384"/>
      <c r="D47" s="384"/>
      <c r="E47" s="384"/>
      <c r="F47" s="384"/>
      <c r="G47" s="113"/>
      <c r="H47" s="113"/>
      <c r="I47" s="113"/>
    </row>
    <row r="48" spans="1:9" ht="15.75" x14ac:dyDescent="0.25">
      <c r="A48" s="113"/>
      <c r="B48" s="84" t="s">
        <v>39</v>
      </c>
      <c r="C48" s="384"/>
      <c r="D48" s="384"/>
      <c r="E48" s="384"/>
      <c r="F48" s="384"/>
      <c r="G48" s="113"/>
      <c r="H48" s="113"/>
      <c r="I48" s="113"/>
    </row>
    <row r="49" spans="1:9" ht="15.75" customHeight="1" x14ac:dyDescent="0.25">
      <c r="A49" s="113"/>
      <c r="B49" s="84" t="s">
        <v>40</v>
      </c>
      <c r="C49" s="384"/>
      <c r="D49" s="384"/>
      <c r="E49" s="384"/>
      <c r="F49" s="384"/>
      <c r="G49" s="113"/>
      <c r="H49" s="113"/>
      <c r="I49" s="113"/>
    </row>
    <row r="50" spans="1:9" ht="50.25" customHeight="1" x14ac:dyDescent="0.25">
      <c r="A50" s="477" t="s">
        <v>41</v>
      </c>
      <c r="B50" s="477"/>
      <c r="C50" s="477"/>
      <c r="D50" s="477"/>
      <c r="E50" s="477"/>
      <c r="F50" s="477"/>
      <c r="G50" s="477"/>
      <c r="H50" s="477"/>
      <c r="I50" s="477"/>
    </row>
    <row r="51" spans="1:9" ht="15.75" x14ac:dyDescent="0.25">
      <c r="A51" s="113"/>
      <c r="B51" s="113"/>
      <c r="C51" s="113"/>
      <c r="D51" s="113"/>
      <c r="E51" s="113"/>
      <c r="F51" s="113"/>
      <c r="G51" s="113"/>
      <c r="H51" s="113"/>
      <c r="I51" s="113"/>
    </row>
    <row r="52" spans="1:9" ht="45" customHeight="1" x14ac:dyDescent="0.25">
      <c r="A52" s="113"/>
      <c r="B52" s="113"/>
      <c r="C52" s="113"/>
      <c r="D52" s="113"/>
      <c r="E52" s="113"/>
      <c r="F52" s="113"/>
      <c r="G52" s="113"/>
      <c r="H52" s="113"/>
      <c r="I52" s="113"/>
    </row>
  </sheetData>
  <sheetProtection algorithmName="SHA-512" hashValue="tqzNDNt/sU2Pd0CpIYSpHQkf4CUqgf3rbdVOmLFR9Xfjduc4zCrEd55/mL3kyfqobRdxhDSXvGMv4N5tqNy5yg==" saltValue="BoI0xR0VO8WVbajw02Pk2A==" spinCount="100000" sheet="1" objects="1" scenarios="1"/>
  <mergeCells count="14">
    <mergeCell ref="A1:I1"/>
    <mergeCell ref="A2:I2"/>
    <mergeCell ref="A10:I10"/>
    <mergeCell ref="A11:I11"/>
    <mergeCell ref="A9:I9"/>
    <mergeCell ref="A6:I6"/>
    <mergeCell ref="A5:I5"/>
    <mergeCell ref="A7:I7"/>
    <mergeCell ref="A8:I8"/>
    <mergeCell ref="A31:I31"/>
    <mergeCell ref="A32:I32"/>
    <mergeCell ref="A50:I50"/>
    <mergeCell ref="A13:H13"/>
    <mergeCell ref="A33:I33"/>
  </mergeCells>
  <pageMargins left="0.51181102362204722" right="0.51181102362204722" top="0.78740157480314965" bottom="0.78740157480314965" header="0.31496062992125984" footer="0.31496062992125984"/>
  <pageSetup paperSize="9" scale="65" orientation="portrait" r:id="rId1"/>
  <headerFooter>
    <oddFooter>&amp;COrientações - Pr. El 55/2017 - GRUPO 2</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Q49"/>
  <sheetViews>
    <sheetView showGridLines="0" zoomScale="90" zoomScaleNormal="90" workbookViewId="0">
      <selection activeCell="P1" sqref="P1"/>
    </sheetView>
  </sheetViews>
  <sheetFormatPr defaultRowHeight="15.75" x14ac:dyDescent="0.25"/>
  <cols>
    <col min="1" max="1" width="7" style="47" customWidth="1"/>
    <col min="2" max="2" width="40.7109375" style="47" customWidth="1"/>
    <col min="3" max="4" width="9.7109375" style="47" customWidth="1"/>
    <col min="5" max="5" width="15.42578125" style="47" customWidth="1"/>
    <col min="6" max="9" width="11.7109375" style="47" customWidth="1"/>
    <col min="10" max="10" width="13.7109375" style="47" customWidth="1"/>
    <col min="11" max="11" width="15.85546875" style="47" customWidth="1"/>
    <col min="12" max="15" width="13.85546875" style="47" customWidth="1"/>
    <col min="16" max="16" width="4.42578125" style="47" customWidth="1"/>
    <col min="17" max="17" width="17.140625" style="47" customWidth="1"/>
    <col min="18" max="16384" width="9.140625" style="47"/>
  </cols>
  <sheetData>
    <row r="1" spans="1:17" ht="15" customHeight="1" x14ac:dyDescent="0.35">
      <c r="A1" s="479"/>
      <c r="B1" s="479"/>
      <c r="C1" s="479"/>
      <c r="D1" s="479"/>
      <c r="E1" s="479"/>
      <c r="F1" s="479"/>
      <c r="G1" s="479"/>
      <c r="H1" s="479"/>
      <c r="I1" s="479"/>
    </row>
    <row r="2" spans="1:17" ht="15" customHeight="1" x14ac:dyDescent="0.25">
      <c r="A2" s="480"/>
      <c r="B2" s="480"/>
      <c r="C2" s="480"/>
      <c r="D2" s="480"/>
      <c r="E2" s="480"/>
      <c r="F2" s="480"/>
      <c r="G2" s="480"/>
      <c r="H2" s="480"/>
      <c r="I2" s="480"/>
    </row>
    <row r="3" spans="1:17" ht="15" customHeight="1" x14ac:dyDescent="0.25">
      <c r="A3" s="382"/>
      <c r="B3" s="382"/>
      <c r="C3" s="382"/>
      <c r="D3" s="382"/>
      <c r="E3" s="382"/>
      <c r="F3" s="382"/>
      <c r="G3" s="382"/>
      <c r="H3" s="382"/>
      <c r="I3"/>
    </row>
    <row r="4" spans="1:17" ht="15" customHeight="1" x14ac:dyDescent="0.3">
      <c r="A4" s="2"/>
      <c r="B4" s="2"/>
      <c r="C4" s="2"/>
      <c r="D4" s="2"/>
      <c r="E4" s="2"/>
      <c r="F4" s="2"/>
      <c r="G4" s="2"/>
      <c r="H4" s="2"/>
      <c r="I4"/>
    </row>
    <row r="5" spans="1:17" ht="15" customHeight="1" x14ac:dyDescent="0.25">
      <c r="A5" s="483" t="str">
        <f>ORIENTAÇÕES!A5</f>
        <v>MINISTÉRIO DA AGRICULTURA E PECUÁRIA</v>
      </c>
      <c r="B5" s="483"/>
      <c r="C5" s="483"/>
      <c r="D5" s="483"/>
      <c r="E5" s="483"/>
      <c r="F5" s="483"/>
      <c r="G5" s="483"/>
      <c r="H5" s="483"/>
      <c r="I5" s="483"/>
      <c r="J5" s="483"/>
      <c r="K5" s="483"/>
      <c r="L5" s="483"/>
      <c r="M5" s="483"/>
      <c r="N5" s="483"/>
      <c r="O5" s="483"/>
    </row>
    <row r="6" spans="1:17" ht="15" customHeight="1" x14ac:dyDescent="0.25">
      <c r="A6" s="483" t="str">
        <f>ORIENTAÇÕES!A6</f>
        <v>LABORATÓRIO FEDERAL DE DEFESA AGROPECUÁRIA NO PARÁ</v>
      </c>
      <c r="B6" s="483"/>
      <c r="C6" s="483"/>
      <c r="D6" s="483"/>
      <c r="E6" s="483"/>
      <c r="F6" s="483"/>
      <c r="G6" s="483"/>
      <c r="H6" s="483"/>
      <c r="I6" s="483"/>
      <c r="J6" s="483"/>
      <c r="K6" s="483"/>
      <c r="L6" s="483"/>
      <c r="M6" s="483"/>
      <c r="N6" s="483"/>
      <c r="O6" s="483"/>
      <c r="P6" s="75"/>
      <c r="Q6" s="75"/>
    </row>
    <row r="7" spans="1:17" ht="15" customHeight="1" x14ac:dyDescent="0.25">
      <c r="A7" s="382"/>
      <c r="B7" s="382"/>
      <c r="C7" s="382"/>
      <c r="D7" s="382"/>
      <c r="E7" s="382"/>
      <c r="F7" s="382"/>
      <c r="G7" s="382"/>
      <c r="H7" s="382"/>
      <c r="I7" s="382"/>
      <c r="J7" s="249"/>
      <c r="K7" s="249"/>
      <c r="L7" s="249"/>
      <c r="M7" s="249"/>
      <c r="N7" s="249"/>
      <c r="O7" s="249"/>
      <c r="P7" s="75"/>
      <c r="Q7" s="75"/>
    </row>
    <row r="8" spans="1:17" ht="19.5" customHeight="1" x14ac:dyDescent="0.25">
      <c r="A8" s="484" t="str">
        <f>ORIENTAÇÕES!A8</f>
        <v xml:space="preserve">PLANILHA REFERENCIAL DE CUSTO E FORMAÇÃO DE PREÇO </v>
      </c>
      <c r="B8" s="484"/>
      <c r="C8" s="484"/>
      <c r="D8" s="484"/>
      <c r="E8" s="484"/>
      <c r="F8" s="484"/>
      <c r="G8" s="484"/>
      <c r="H8" s="484"/>
      <c r="I8" s="484"/>
      <c r="J8" s="484"/>
      <c r="K8" s="484"/>
      <c r="L8" s="484"/>
      <c r="M8" s="484"/>
      <c r="N8" s="484"/>
      <c r="O8" s="484"/>
      <c r="P8" s="75"/>
      <c r="Q8" s="75"/>
    </row>
    <row r="9" spans="1:17" ht="15" customHeight="1" x14ac:dyDescent="0.25">
      <c r="A9" s="76"/>
      <c r="B9" s="76"/>
      <c r="C9" s="76"/>
      <c r="D9" s="76"/>
      <c r="E9" s="76"/>
      <c r="F9" s="76"/>
      <c r="G9" s="76"/>
      <c r="H9" s="76"/>
      <c r="I9" s="76"/>
      <c r="J9" s="249"/>
      <c r="K9" s="249"/>
      <c r="L9" s="249"/>
      <c r="M9" s="249"/>
      <c r="N9" s="249"/>
      <c r="O9" s="249"/>
      <c r="P9" s="75"/>
      <c r="Q9" s="75"/>
    </row>
    <row r="10" spans="1:17" ht="15" customHeight="1" x14ac:dyDescent="0.25">
      <c r="A10" s="481" t="str">
        <f>ORIENTAÇÕES!A10</f>
        <v>Pregão Eletrônico 12/2023</v>
      </c>
      <c r="B10" s="481"/>
      <c r="C10" s="481"/>
      <c r="D10" s="481"/>
      <c r="E10" s="481"/>
      <c r="F10" s="481"/>
      <c r="G10" s="481"/>
      <c r="H10" s="481"/>
      <c r="I10" s="481"/>
      <c r="J10" s="481"/>
      <c r="K10" s="481"/>
      <c r="L10" s="481"/>
      <c r="M10" s="481"/>
      <c r="N10" s="481"/>
      <c r="O10" s="481"/>
      <c r="P10" s="95"/>
      <c r="Q10" s="95"/>
    </row>
    <row r="11" spans="1:17" ht="15" customHeight="1" x14ac:dyDescent="0.25">
      <c r="A11" s="481" t="str">
        <f>ORIENTAÇÕES!A11</f>
        <v>PROCESSO Nº. :  21000.001352/2023-57</v>
      </c>
      <c r="B11" s="481"/>
      <c r="C11" s="481"/>
      <c r="D11" s="481"/>
      <c r="E11" s="481"/>
      <c r="F11" s="481"/>
      <c r="G11" s="481"/>
      <c r="H11" s="481"/>
      <c r="I11" s="481"/>
      <c r="J11" s="481"/>
      <c r="K11" s="481"/>
      <c r="L11" s="481"/>
      <c r="M11" s="481"/>
      <c r="N11" s="481"/>
      <c r="O11" s="481"/>
      <c r="P11" s="95"/>
      <c r="Q11" s="95"/>
    </row>
    <row r="12" spans="1:17" ht="15" customHeight="1" x14ac:dyDescent="0.3">
      <c r="A12" s="383"/>
      <c r="B12" s="383"/>
      <c r="C12" s="383"/>
      <c r="D12" s="383"/>
      <c r="E12" s="383"/>
      <c r="F12" s="383"/>
      <c r="G12" s="383"/>
      <c r="H12" s="383"/>
      <c r="I12"/>
      <c r="J12" s="75"/>
      <c r="K12" s="75"/>
      <c r="L12" s="75"/>
      <c r="M12" s="75"/>
      <c r="N12" s="75"/>
      <c r="O12" s="75"/>
      <c r="P12" s="75"/>
      <c r="Q12" s="75"/>
    </row>
    <row r="13" spans="1:17" ht="19.5" customHeight="1" x14ac:dyDescent="0.25">
      <c r="A13" s="538" t="s">
        <v>338</v>
      </c>
      <c r="B13" s="538"/>
      <c r="C13" s="538"/>
      <c r="D13" s="538"/>
      <c r="E13" s="538"/>
      <c r="F13" s="538"/>
      <c r="G13" s="538"/>
      <c r="H13" s="538"/>
      <c r="I13" s="538"/>
      <c r="J13" s="538"/>
      <c r="K13" s="538"/>
      <c r="L13" s="538"/>
      <c r="M13" s="538"/>
      <c r="N13" s="538"/>
      <c r="O13" s="538"/>
      <c r="P13" s="75"/>
      <c r="Q13" s="75"/>
    </row>
    <row r="14" spans="1:17" ht="30" customHeight="1" x14ac:dyDescent="0.25">
      <c r="A14" s="75"/>
      <c r="B14" s="75"/>
      <c r="C14" s="95"/>
      <c r="D14" s="95"/>
      <c r="E14" s="95"/>
      <c r="F14" s="95"/>
      <c r="G14" s="95"/>
      <c r="H14" s="95"/>
      <c r="I14" s="95"/>
      <c r="J14" s="95"/>
      <c r="K14" s="95"/>
      <c r="L14" s="95"/>
      <c r="M14" s="95"/>
      <c r="N14" s="95"/>
      <c r="O14" s="95"/>
      <c r="P14" s="95"/>
      <c r="Q14" s="95"/>
    </row>
    <row r="15" spans="1:17" ht="30" customHeight="1" x14ac:dyDescent="0.25">
      <c r="A15" s="539" t="s">
        <v>183</v>
      </c>
      <c r="B15" s="539"/>
      <c r="C15" s="550">
        <f>RESUMO!C16</f>
        <v>0</v>
      </c>
      <c r="D15" s="550"/>
      <c r="E15" s="550"/>
      <c r="F15" s="550"/>
      <c r="G15" s="550"/>
      <c r="H15" s="275"/>
      <c r="I15" s="248"/>
      <c r="J15" s="99"/>
      <c r="K15" s="551" t="s">
        <v>197</v>
      </c>
      <c r="L15" s="552"/>
      <c r="M15" s="529">
        <f>RESUMO!C18</f>
        <v>0</v>
      </c>
      <c r="N15" s="529"/>
      <c r="O15" s="529"/>
      <c r="P15" s="248"/>
      <c r="Q15" s="248"/>
    </row>
    <row r="16" spans="1:17" ht="30" customHeight="1" x14ac:dyDescent="0.25">
      <c r="A16" s="46"/>
      <c r="B16" s="46"/>
      <c r="C16" s="247"/>
      <c r="D16" s="247"/>
      <c r="E16" s="247"/>
      <c r="F16" s="247"/>
      <c r="G16" s="247"/>
      <c r="H16" s="247"/>
      <c r="I16" s="247"/>
      <c r="J16" s="247"/>
      <c r="K16" s="247"/>
      <c r="L16" s="248"/>
      <c r="M16" s="248"/>
      <c r="N16" s="248"/>
      <c r="O16" s="248"/>
      <c r="P16" s="248"/>
      <c r="Q16" s="248"/>
    </row>
    <row r="17" spans="1:17" x14ac:dyDescent="0.25">
      <c r="A17" s="565" t="s">
        <v>339</v>
      </c>
      <c r="B17" s="565"/>
      <c r="C17" s="565"/>
      <c r="D17" s="565"/>
      <c r="E17" s="565"/>
      <c r="F17" s="565"/>
      <c r="G17" s="565"/>
      <c r="H17" s="565"/>
      <c r="I17" s="565"/>
      <c r="J17" s="565"/>
      <c r="K17" s="565"/>
      <c r="L17" s="565"/>
      <c r="M17" s="565"/>
      <c r="N17" s="565"/>
      <c r="O17" s="565"/>
      <c r="P17" s="254"/>
      <c r="Q17" s="254"/>
    </row>
    <row r="18" spans="1:17" ht="16.5" thickBot="1" x14ac:dyDescent="0.3">
      <c r="A18" s="19"/>
      <c r="B18" s="19"/>
      <c r="C18" s="19"/>
      <c r="D18" s="19"/>
      <c r="E18" s="19"/>
      <c r="F18" s="19"/>
      <c r="G18" s="19"/>
      <c r="H18" s="19"/>
      <c r="I18" s="19"/>
      <c r="J18" s="19"/>
      <c r="K18" s="19"/>
      <c r="L18" s="19"/>
      <c r="M18" s="19"/>
      <c r="N18" s="19"/>
      <c r="O18" s="19"/>
      <c r="P18" s="19"/>
      <c r="Q18" s="19"/>
    </row>
    <row r="19" spans="1:17" ht="16.5" thickBot="1" x14ac:dyDescent="0.3">
      <c r="A19" s="285"/>
      <c r="B19" s="285"/>
      <c r="C19" s="285"/>
      <c r="D19" s="285"/>
      <c r="E19" s="285"/>
      <c r="F19" s="285"/>
      <c r="G19" s="285"/>
      <c r="H19" s="285"/>
      <c r="I19" s="285"/>
      <c r="J19" s="285"/>
      <c r="K19" s="285"/>
      <c r="L19" s="581" t="s">
        <v>340</v>
      </c>
      <c r="M19" s="582"/>
      <c r="N19" s="582"/>
      <c r="O19" s="583"/>
    </row>
    <row r="20" spans="1:17" ht="47.25" x14ac:dyDescent="0.25">
      <c r="A20" s="286" t="s">
        <v>57</v>
      </c>
      <c r="B20" s="287" t="s">
        <v>199</v>
      </c>
      <c r="C20" s="287" t="s">
        <v>200</v>
      </c>
      <c r="D20" s="287" t="s">
        <v>201</v>
      </c>
      <c r="E20" s="287" t="s">
        <v>202</v>
      </c>
      <c r="F20" s="287" t="s">
        <v>206</v>
      </c>
      <c r="G20" s="287" t="s">
        <v>203</v>
      </c>
      <c r="H20" s="287" t="s">
        <v>72</v>
      </c>
      <c r="I20" s="287" t="s">
        <v>75</v>
      </c>
      <c r="J20" s="287" t="s">
        <v>204</v>
      </c>
      <c r="K20" s="288" t="s">
        <v>205</v>
      </c>
      <c r="L20" s="286" t="s">
        <v>206</v>
      </c>
      <c r="M20" s="287" t="s">
        <v>203</v>
      </c>
      <c r="N20" s="287" t="s">
        <v>72</v>
      </c>
      <c r="O20" s="289" t="s">
        <v>75</v>
      </c>
    </row>
    <row r="21" spans="1:17" ht="55.5" customHeight="1" x14ac:dyDescent="0.25">
      <c r="A21" s="250">
        <v>1</v>
      </c>
      <c r="B21" s="473" t="s">
        <v>341</v>
      </c>
      <c r="C21" s="462">
        <v>1</v>
      </c>
      <c r="D21" s="330" t="s">
        <v>214</v>
      </c>
      <c r="E21" s="462" t="s">
        <v>218</v>
      </c>
      <c r="F21" s="309" t="s">
        <v>209</v>
      </c>
      <c r="G21" s="309" t="s">
        <v>209</v>
      </c>
      <c r="H21" s="309" t="s">
        <v>209</v>
      </c>
      <c r="I21" s="342"/>
      <c r="J21" s="771">
        <v>0</v>
      </c>
      <c r="K21" s="464">
        <v>1</v>
      </c>
      <c r="L21" s="319">
        <f t="shared" ref="L21" si="0">$K21*$J21</f>
        <v>0</v>
      </c>
      <c r="M21" s="343">
        <f>$K21*$J21</f>
        <v>0</v>
      </c>
      <c r="N21" s="343">
        <f>$K21*$J21</f>
        <v>0</v>
      </c>
      <c r="O21" s="320" t="s">
        <v>109</v>
      </c>
    </row>
    <row r="22" spans="1:17" ht="132.75" customHeight="1" x14ac:dyDescent="0.25">
      <c r="A22" s="250">
        <v>2</v>
      </c>
      <c r="B22" s="473" t="s">
        <v>342</v>
      </c>
      <c r="C22" s="462">
        <v>1</v>
      </c>
      <c r="D22" s="330" t="s">
        <v>214</v>
      </c>
      <c r="E22" s="462" t="s">
        <v>208</v>
      </c>
      <c r="F22" s="309" t="s">
        <v>209</v>
      </c>
      <c r="G22" s="309" t="s">
        <v>209</v>
      </c>
      <c r="H22" s="309" t="s">
        <v>209</v>
      </c>
      <c r="I22" s="330"/>
      <c r="J22" s="771">
        <v>0</v>
      </c>
      <c r="K22" s="464">
        <v>2</v>
      </c>
      <c r="L22" s="319">
        <f>$K22*$J22</f>
        <v>0</v>
      </c>
      <c r="M22" s="343">
        <f>$K22*$J22</f>
        <v>0</v>
      </c>
      <c r="N22" s="343">
        <f>$K22*$J22</f>
        <v>0</v>
      </c>
      <c r="O22" s="320" t="s">
        <v>109</v>
      </c>
    </row>
    <row r="23" spans="1:17" ht="42" customHeight="1" x14ac:dyDescent="0.25">
      <c r="A23" s="250">
        <v>3</v>
      </c>
      <c r="B23" s="318" t="s">
        <v>343</v>
      </c>
      <c r="C23" s="462">
        <v>1</v>
      </c>
      <c r="D23" s="330" t="s">
        <v>201</v>
      </c>
      <c r="E23" s="462" t="s">
        <v>208</v>
      </c>
      <c r="F23" s="342"/>
      <c r="G23" s="309" t="s">
        <v>209</v>
      </c>
      <c r="H23" s="342"/>
      <c r="I23" s="330"/>
      <c r="J23" s="771">
        <v>0</v>
      </c>
      <c r="K23" s="464">
        <v>2</v>
      </c>
      <c r="L23" s="344" t="s">
        <v>109</v>
      </c>
      <c r="M23" s="343">
        <f>J23*K23</f>
        <v>0</v>
      </c>
      <c r="N23" s="345" t="s">
        <v>109</v>
      </c>
      <c r="O23" s="320"/>
    </row>
    <row r="24" spans="1:17" ht="30.75" customHeight="1" x14ac:dyDescent="0.25">
      <c r="A24" s="250">
        <v>4</v>
      </c>
      <c r="B24" s="318" t="s">
        <v>344</v>
      </c>
      <c r="C24" s="462">
        <v>1</v>
      </c>
      <c r="D24" s="330" t="s">
        <v>201</v>
      </c>
      <c r="E24" s="462" t="s">
        <v>218</v>
      </c>
      <c r="F24" s="309" t="s">
        <v>209</v>
      </c>
      <c r="G24" s="309" t="s">
        <v>209</v>
      </c>
      <c r="H24" s="342"/>
      <c r="I24" s="330"/>
      <c r="J24" s="771">
        <v>0</v>
      </c>
      <c r="K24" s="464">
        <v>1</v>
      </c>
      <c r="L24" s="319">
        <f>$K24*$J24</f>
        <v>0</v>
      </c>
      <c r="M24" s="343">
        <f>$K24*$J24</f>
        <v>0</v>
      </c>
      <c r="N24" s="345" t="s">
        <v>109</v>
      </c>
      <c r="O24" s="320" t="s">
        <v>109</v>
      </c>
    </row>
    <row r="25" spans="1:17" ht="30" customHeight="1" x14ac:dyDescent="0.25">
      <c r="A25" s="250">
        <v>5</v>
      </c>
      <c r="B25" s="473" t="s">
        <v>345</v>
      </c>
      <c r="C25" s="462">
        <v>1</v>
      </c>
      <c r="D25" s="330" t="s">
        <v>214</v>
      </c>
      <c r="E25" s="462" t="s">
        <v>208</v>
      </c>
      <c r="F25" s="309" t="s">
        <v>209</v>
      </c>
      <c r="G25" s="309" t="s">
        <v>209</v>
      </c>
      <c r="H25" s="309" t="s">
        <v>209</v>
      </c>
      <c r="I25" s="330"/>
      <c r="J25" s="771">
        <v>0</v>
      </c>
      <c r="K25" s="464">
        <v>2</v>
      </c>
      <c r="L25" s="319">
        <f>$K25*$J25</f>
        <v>0</v>
      </c>
      <c r="M25" s="343">
        <f>$K25*$J25</f>
        <v>0</v>
      </c>
      <c r="N25" s="343">
        <f>$K25*$J25</f>
        <v>0</v>
      </c>
      <c r="O25" s="320"/>
    </row>
    <row r="26" spans="1:17" ht="30" customHeight="1" x14ac:dyDescent="0.25">
      <c r="A26" s="250">
        <v>6</v>
      </c>
      <c r="B26" s="473" t="s">
        <v>346</v>
      </c>
      <c r="C26" s="462">
        <v>2</v>
      </c>
      <c r="D26" s="330" t="s">
        <v>214</v>
      </c>
      <c r="E26" s="462" t="s">
        <v>218</v>
      </c>
      <c r="F26" s="342"/>
      <c r="G26" s="309" t="s">
        <v>209</v>
      </c>
      <c r="H26" s="342"/>
      <c r="I26" s="330"/>
      <c r="J26" s="771">
        <v>0</v>
      </c>
      <c r="K26" s="464">
        <v>2</v>
      </c>
      <c r="L26" s="344" t="s">
        <v>109</v>
      </c>
      <c r="M26" s="343">
        <f>$K26*$J26</f>
        <v>0</v>
      </c>
      <c r="N26" s="345" t="s">
        <v>109</v>
      </c>
      <c r="O26" s="320"/>
    </row>
    <row r="27" spans="1:17" ht="30" customHeight="1" x14ac:dyDescent="0.25">
      <c r="A27" s="250">
        <v>7</v>
      </c>
      <c r="B27" s="318" t="s">
        <v>347</v>
      </c>
      <c r="C27" s="462">
        <v>1</v>
      </c>
      <c r="D27" s="330" t="s">
        <v>201</v>
      </c>
      <c r="E27" s="462" t="s">
        <v>208</v>
      </c>
      <c r="F27" s="342"/>
      <c r="G27" s="309" t="s">
        <v>209</v>
      </c>
      <c r="H27" s="342"/>
      <c r="I27" s="342"/>
      <c r="J27" s="771">
        <v>0</v>
      </c>
      <c r="K27" s="464">
        <v>2</v>
      </c>
      <c r="L27" s="344" t="s">
        <v>109</v>
      </c>
      <c r="M27" s="343">
        <f t="shared" ref="M27:O33" si="1">$K27*$J27</f>
        <v>0</v>
      </c>
      <c r="N27" s="345" t="s">
        <v>109</v>
      </c>
      <c r="O27" s="320"/>
    </row>
    <row r="28" spans="1:17" ht="30" customHeight="1" x14ac:dyDescent="0.25">
      <c r="A28" s="250">
        <v>8</v>
      </c>
      <c r="B28" s="318" t="s">
        <v>348</v>
      </c>
      <c r="C28" s="462">
        <v>1</v>
      </c>
      <c r="D28" s="330" t="s">
        <v>201</v>
      </c>
      <c r="E28" s="462" t="s">
        <v>218</v>
      </c>
      <c r="F28" s="330"/>
      <c r="G28" s="309" t="s">
        <v>209</v>
      </c>
      <c r="H28" s="330"/>
      <c r="I28" s="330"/>
      <c r="J28" s="771">
        <v>0</v>
      </c>
      <c r="K28" s="464">
        <v>1</v>
      </c>
      <c r="L28" s="344" t="s">
        <v>109</v>
      </c>
      <c r="M28" s="343">
        <f t="shared" si="1"/>
        <v>0</v>
      </c>
      <c r="N28" s="345" t="s">
        <v>109</v>
      </c>
      <c r="O28" s="320" t="s">
        <v>109</v>
      </c>
    </row>
    <row r="29" spans="1:17" ht="151.5" customHeight="1" x14ac:dyDescent="0.25">
      <c r="A29" s="250">
        <v>9</v>
      </c>
      <c r="B29" s="318" t="s">
        <v>349</v>
      </c>
      <c r="C29" s="457">
        <v>52</v>
      </c>
      <c r="D29" s="330" t="s">
        <v>201</v>
      </c>
      <c r="E29" s="462" t="s">
        <v>218</v>
      </c>
      <c r="F29" s="309" t="s">
        <v>209</v>
      </c>
      <c r="G29" s="330"/>
      <c r="H29" s="330"/>
      <c r="I29" s="346"/>
      <c r="J29" s="796">
        <v>0</v>
      </c>
      <c r="K29" s="474">
        <v>52</v>
      </c>
      <c r="L29" s="319">
        <f>$K29*$J29</f>
        <v>0</v>
      </c>
      <c r="M29" s="345" t="s">
        <v>109</v>
      </c>
      <c r="N29" s="345" t="s">
        <v>109</v>
      </c>
      <c r="O29" s="320" t="s">
        <v>109</v>
      </c>
    </row>
    <row r="30" spans="1:17" ht="30" customHeight="1" x14ac:dyDescent="0.25">
      <c r="A30" s="250">
        <v>10</v>
      </c>
      <c r="B30" s="318" t="s">
        <v>350</v>
      </c>
      <c r="C30" s="457">
        <v>1</v>
      </c>
      <c r="D30" s="347" t="s">
        <v>351</v>
      </c>
      <c r="E30" s="462" t="s">
        <v>208</v>
      </c>
      <c r="F30" s="309" t="s">
        <v>209</v>
      </c>
      <c r="G30" s="330"/>
      <c r="H30" s="309" t="s">
        <v>209</v>
      </c>
      <c r="I30" s="309" t="s">
        <v>209</v>
      </c>
      <c r="J30" s="796">
        <v>0</v>
      </c>
      <c r="K30" s="474">
        <v>2</v>
      </c>
      <c r="L30" s="319">
        <f>$K30*$J30</f>
        <v>0</v>
      </c>
      <c r="M30" s="345" t="s">
        <v>109</v>
      </c>
      <c r="N30" s="343">
        <f t="shared" si="1"/>
        <v>0</v>
      </c>
      <c r="O30" s="348">
        <f t="shared" si="1"/>
        <v>0</v>
      </c>
    </row>
    <row r="31" spans="1:17" ht="30" customHeight="1" x14ac:dyDescent="0.25">
      <c r="A31" s="250">
        <v>11</v>
      </c>
      <c r="B31" s="318" t="s">
        <v>352</v>
      </c>
      <c r="C31" s="457">
        <v>1</v>
      </c>
      <c r="D31" s="347" t="s">
        <v>353</v>
      </c>
      <c r="E31" s="462" t="s">
        <v>208</v>
      </c>
      <c r="F31" s="309" t="s">
        <v>209</v>
      </c>
      <c r="G31" s="346"/>
      <c r="H31" s="309" t="s">
        <v>209</v>
      </c>
      <c r="I31" s="346"/>
      <c r="J31" s="796">
        <v>0</v>
      </c>
      <c r="K31" s="474">
        <v>2</v>
      </c>
      <c r="L31" s="319">
        <f>$K31*$J31</f>
        <v>0</v>
      </c>
      <c r="M31" s="345" t="s">
        <v>109</v>
      </c>
      <c r="N31" s="343">
        <f t="shared" si="1"/>
        <v>0</v>
      </c>
      <c r="O31" s="320" t="s">
        <v>109</v>
      </c>
    </row>
    <row r="32" spans="1:17" ht="30" customHeight="1" x14ac:dyDescent="0.25">
      <c r="A32" s="250">
        <v>12</v>
      </c>
      <c r="B32" s="318" t="s">
        <v>354</v>
      </c>
      <c r="C32" s="457">
        <v>1</v>
      </c>
      <c r="D32" s="349" t="s">
        <v>201</v>
      </c>
      <c r="E32" s="462" t="s">
        <v>218</v>
      </c>
      <c r="F32" s="349"/>
      <c r="G32" s="349"/>
      <c r="H32" s="330"/>
      <c r="I32" s="350" t="s">
        <v>209</v>
      </c>
      <c r="J32" s="796">
        <v>0</v>
      </c>
      <c r="K32" s="474">
        <v>1</v>
      </c>
      <c r="L32" s="344" t="s">
        <v>109</v>
      </c>
      <c r="M32" s="345" t="s">
        <v>109</v>
      </c>
      <c r="N32" s="345" t="s">
        <v>109</v>
      </c>
      <c r="O32" s="348">
        <f>$K32*$J32</f>
        <v>0</v>
      </c>
    </row>
    <row r="33" spans="1:16" ht="30" customHeight="1" x14ac:dyDescent="0.25">
      <c r="A33" s="250">
        <v>13</v>
      </c>
      <c r="B33" s="318" t="s">
        <v>355</v>
      </c>
      <c r="C33" s="457">
        <v>1</v>
      </c>
      <c r="D33" s="346" t="s">
        <v>201</v>
      </c>
      <c r="E33" s="457" t="s">
        <v>208</v>
      </c>
      <c r="F33" s="349"/>
      <c r="G33" s="330"/>
      <c r="H33" s="350" t="s">
        <v>209</v>
      </c>
      <c r="I33" s="349"/>
      <c r="J33" s="796">
        <v>0</v>
      </c>
      <c r="K33" s="474">
        <v>2</v>
      </c>
      <c r="L33" s="344" t="s">
        <v>109</v>
      </c>
      <c r="M33" s="345" t="s">
        <v>109</v>
      </c>
      <c r="N33" s="351">
        <f t="shared" si="1"/>
        <v>0</v>
      </c>
      <c r="O33" s="320" t="s">
        <v>109</v>
      </c>
      <c r="P33" s="290"/>
    </row>
    <row r="34" spans="1:16" ht="30" customHeight="1" thickBot="1" x14ac:dyDescent="0.3">
      <c r="A34" s="251">
        <v>14</v>
      </c>
      <c r="B34" s="321" t="s">
        <v>356</v>
      </c>
      <c r="C34" s="463">
        <v>15</v>
      </c>
      <c r="D34" s="338" t="s">
        <v>357</v>
      </c>
      <c r="E34" s="463" t="s">
        <v>218</v>
      </c>
      <c r="F34" s="353"/>
      <c r="G34" s="315" t="s">
        <v>209</v>
      </c>
      <c r="H34" s="353"/>
      <c r="I34" s="349"/>
      <c r="J34" s="796">
        <v>0</v>
      </c>
      <c r="K34" s="474">
        <v>15</v>
      </c>
      <c r="L34" s="354" t="s">
        <v>109</v>
      </c>
      <c r="M34" s="355">
        <f t="shared" ref="M34" si="2">$K34*$J34</f>
        <v>0</v>
      </c>
      <c r="N34" s="356" t="s">
        <v>109</v>
      </c>
      <c r="O34" s="357" t="s">
        <v>109</v>
      </c>
    </row>
    <row r="35" spans="1:16" ht="16.5" thickBot="1" x14ac:dyDescent="0.3">
      <c r="A35" s="259"/>
      <c r="B35" s="259"/>
      <c r="C35" s="259"/>
      <c r="D35" s="259"/>
      <c r="E35" s="259"/>
      <c r="F35" s="259"/>
      <c r="G35" s="259"/>
      <c r="H35" s="259"/>
      <c r="I35" s="584" t="s">
        <v>219</v>
      </c>
      <c r="J35" s="585"/>
      <c r="K35" s="586"/>
      <c r="L35" s="291">
        <f>SUM(L21:L34)</f>
        <v>0</v>
      </c>
      <c r="M35" s="291">
        <f>SUM(M21:M34)</f>
        <v>0</v>
      </c>
      <c r="N35" s="291">
        <f>SUM(N21:N34)</f>
        <v>0</v>
      </c>
      <c r="O35" s="291">
        <f>SUM(O21:O34)</f>
        <v>0</v>
      </c>
    </row>
    <row r="36" spans="1:16" ht="16.5" thickBot="1" x14ac:dyDescent="0.3">
      <c r="C36" s="95"/>
      <c r="D36" s="95"/>
      <c r="E36" s="95"/>
      <c r="F36" s="95"/>
      <c r="G36" s="95"/>
      <c r="H36" s="95"/>
      <c r="I36" s="95"/>
      <c r="J36" s="95"/>
      <c r="K36" s="95"/>
      <c r="L36" s="95"/>
      <c r="M36" s="95"/>
      <c r="N36" s="95"/>
      <c r="O36" s="95"/>
    </row>
    <row r="37" spans="1:16" ht="16.5" thickBot="1" x14ac:dyDescent="0.3">
      <c r="A37" s="259"/>
      <c r="B37" s="259"/>
      <c r="C37" s="259"/>
      <c r="D37" s="259"/>
      <c r="E37" s="259"/>
      <c r="F37" s="259"/>
      <c r="G37" s="259"/>
      <c r="H37" s="259"/>
      <c r="I37" s="587" t="s">
        <v>358</v>
      </c>
      <c r="J37" s="588"/>
      <c r="K37" s="589"/>
      <c r="L37" s="292">
        <f>L35/12</f>
        <v>0</v>
      </c>
      <c r="M37" s="292">
        <f t="shared" ref="M37:O37" si="3">M35/12</f>
        <v>0</v>
      </c>
      <c r="N37" s="292">
        <f t="shared" si="3"/>
        <v>0</v>
      </c>
      <c r="O37" s="292">
        <f t="shared" si="3"/>
        <v>0</v>
      </c>
    </row>
    <row r="38" spans="1:16" ht="16.5" thickBot="1" x14ac:dyDescent="0.3">
      <c r="A38" s="259"/>
      <c r="B38" s="259"/>
      <c r="C38" s="259"/>
      <c r="D38" s="259"/>
      <c r="E38" s="259"/>
      <c r="F38" s="259"/>
      <c r="G38" s="259"/>
      <c r="H38" s="259"/>
      <c r="I38" s="259"/>
      <c r="J38" s="259"/>
      <c r="K38" s="259"/>
      <c r="L38" s="259"/>
      <c r="M38" s="293"/>
      <c r="N38" s="293"/>
      <c r="O38" s="293"/>
    </row>
    <row r="39" spans="1:16" ht="15.75" customHeight="1" thickBot="1" x14ac:dyDescent="0.3">
      <c r="A39" s="273"/>
      <c r="C39" s="95"/>
      <c r="D39" s="95"/>
      <c r="E39" s="95"/>
      <c r="F39" s="95"/>
      <c r="G39" s="95"/>
      <c r="H39" s="95"/>
      <c r="I39" s="587" t="s">
        <v>359</v>
      </c>
      <c r="J39" s="588"/>
      <c r="K39" s="588" t="s">
        <v>360</v>
      </c>
      <c r="L39" s="294"/>
      <c r="M39" s="294"/>
      <c r="N39" s="591">
        <f>SUM(L35:O35)</f>
        <v>0</v>
      </c>
      <c r="O39" s="592"/>
    </row>
    <row r="40" spans="1:16" ht="16.5" thickBot="1" x14ac:dyDescent="0.3">
      <c r="A40" s="590" t="s">
        <v>221</v>
      </c>
      <c r="B40" s="590"/>
      <c r="C40" s="590"/>
      <c r="D40" s="590"/>
      <c r="E40" s="590"/>
      <c r="F40" s="590"/>
      <c r="G40" s="590"/>
      <c r="H40" s="95"/>
      <c r="I40" s="95"/>
      <c r="J40" s="95"/>
      <c r="K40" s="95"/>
      <c r="L40" s="95"/>
      <c r="M40" s="95"/>
      <c r="N40" s="95"/>
      <c r="O40" s="95"/>
    </row>
    <row r="41" spans="1:16" x14ac:dyDescent="0.25">
      <c r="A41" s="797"/>
      <c r="B41" s="798"/>
      <c r="C41" s="798"/>
      <c r="D41" s="798"/>
      <c r="E41" s="798"/>
      <c r="F41" s="798"/>
      <c r="G41" s="798"/>
      <c r="H41" s="798"/>
      <c r="I41" s="798"/>
      <c r="J41" s="798"/>
      <c r="K41" s="798"/>
      <c r="L41" s="798"/>
      <c r="M41" s="798"/>
      <c r="N41" s="798"/>
      <c r="O41" s="799"/>
    </row>
    <row r="42" spans="1:16" x14ac:dyDescent="0.25">
      <c r="A42" s="800"/>
      <c r="B42" s="801"/>
      <c r="C42" s="801"/>
      <c r="D42" s="801"/>
      <c r="E42" s="801"/>
      <c r="F42" s="801"/>
      <c r="G42" s="801"/>
      <c r="H42" s="801"/>
      <c r="I42" s="801"/>
      <c r="J42" s="801"/>
      <c r="K42" s="801"/>
      <c r="L42" s="801"/>
      <c r="M42" s="801"/>
      <c r="N42" s="801"/>
      <c r="O42" s="802"/>
    </row>
    <row r="43" spans="1:16" x14ac:dyDescent="0.25">
      <c r="A43" s="800"/>
      <c r="B43" s="801"/>
      <c r="C43" s="801"/>
      <c r="D43" s="801"/>
      <c r="E43" s="801"/>
      <c r="F43" s="801"/>
      <c r="G43" s="801"/>
      <c r="H43" s="801"/>
      <c r="I43" s="801"/>
      <c r="J43" s="801"/>
      <c r="K43" s="801"/>
      <c r="L43" s="801"/>
      <c r="M43" s="801"/>
      <c r="N43" s="801"/>
      <c r="O43" s="802"/>
    </row>
    <row r="44" spans="1:16" x14ac:dyDescent="0.25">
      <c r="A44" s="800"/>
      <c r="B44" s="801"/>
      <c r="C44" s="801"/>
      <c r="D44" s="801"/>
      <c r="E44" s="801"/>
      <c r="F44" s="801"/>
      <c r="G44" s="801"/>
      <c r="H44" s="801"/>
      <c r="I44" s="801"/>
      <c r="J44" s="801"/>
      <c r="K44" s="801"/>
      <c r="L44" s="801"/>
      <c r="M44" s="801"/>
      <c r="N44" s="801"/>
      <c r="O44" s="802"/>
    </row>
    <row r="45" spans="1:16" x14ac:dyDescent="0.25">
      <c r="A45" s="800"/>
      <c r="B45" s="801"/>
      <c r="C45" s="801"/>
      <c r="D45" s="801"/>
      <c r="E45" s="801"/>
      <c r="F45" s="801"/>
      <c r="G45" s="801"/>
      <c r="H45" s="801"/>
      <c r="I45" s="801"/>
      <c r="J45" s="801"/>
      <c r="K45" s="801"/>
      <c r="L45" s="801"/>
      <c r="M45" s="801"/>
      <c r="N45" s="801"/>
      <c r="O45" s="802"/>
    </row>
    <row r="46" spans="1:16" x14ac:dyDescent="0.25">
      <c r="A46" s="800"/>
      <c r="B46" s="801"/>
      <c r="C46" s="801"/>
      <c r="D46" s="801"/>
      <c r="E46" s="801"/>
      <c r="F46" s="801"/>
      <c r="G46" s="801"/>
      <c r="H46" s="801"/>
      <c r="I46" s="801"/>
      <c r="J46" s="801"/>
      <c r="K46" s="801"/>
      <c r="L46" s="801"/>
      <c r="M46" s="801"/>
      <c r="N46" s="801"/>
      <c r="O46" s="802"/>
    </row>
    <row r="47" spans="1:16" x14ac:dyDescent="0.25">
      <c r="A47" s="800"/>
      <c r="B47" s="801"/>
      <c r="C47" s="801"/>
      <c r="D47" s="801"/>
      <c r="E47" s="801"/>
      <c r="F47" s="801"/>
      <c r="G47" s="801"/>
      <c r="H47" s="801"/>
      <c r="I47" s="801"/>
      <c r="J47" s="801"/>
      <c r="K47" s="801"/>
      <c r="L47" s="801"/>
      <c r="M47" s="801"/>
      <c r="N47" s="801"/>
      <c r="O47" s="802"/>
    </row>
    <row r="48" spans="1:16" x14ac:dyDescent="0.25">
      <c r="A48" s="800"/>
      <c r="B48" s="801"/>
      <c r="C48" s="801"/>
      <c r="D48" s="801"/>
      <c r="E48" s="801"/>
      <c r="F48" s="801"/>
      <c r="G48" s="801"/>
      <c r="H48" s="801"/>
      <c r="I48" s="801"/>
      <c r="J48" s="801"/>
      <c r="K48" s="801"/>
      <c r="L48" s="801"/>
      <c r="M48" s="801"/>
      <c r="N48" s="801"/>
      <c r="O48" s="802"/>
    </row>
    <row r="49" spans="1:15" ht="16.5" thickBot="1" x14ac:dyDescent="0.3">
      <c r="A49" s="803"/>
      <c r="B49" s="804"/>
      <c r="C49" s="804"/>
      <c r="D49" s="804"/>
      <c r="E49" s="804"/>
      <c r="F49" s="804"/>
      <c r="G49" s="804"/>
      <c r="H49" s="804"/>
      <c r="I49" s="804"/>
      <c r="J49" s="804"/>
      <c r="K49" s="804"/>
      <c r="L49" s="804"/>
      <c r="M49" s="804"/>
      <c r="N49" s="804"/>
      <c r="O49" s="805"/>
    </row>
  </sheetData>
  <sheetProtection algorithmName="SHA-512" hashValue="0TOy/ae32efCgELc60U98W+S5tz048RMw8e1Dz4XSid+iqxnn3clRUE+oATTgJUiuC1MPQrS7P49SX4PPIwQQw==" saltValue="ky41dzN20oxlopgmf7+O1Q==" spinCount="100000" sheet="1" objects="1" scenarios="1"/>
  <mergeCells count="20">
    <mergeCell ref="A6:O6"/>
    <mergeCell ref="A8:O8"/>
    <mergeCell ref="A10:O10"/>
    <mergeCell ref="A11:O11"/>
    <mergeCell ref="A1:I1"/>
    <mergeCell ref="A2:I2"/>
    <mergeCell ref="A5:O5"/>
    <mergeCell ref="A41:O49"/>
    <mergeCell ref="A13:O13"/>
    <mergeCell ref="A15:B15"/>
    <mergeCell ref="C15:G15"/>
    <mergeCell ref="K15:L15"/>
    <mergeCell ref="M15:O15"/>
    <mergeCell ref="A17:O17"/>
    <mergeCell ref="L19:O19"/>
    <mergeCell ref="I35:K35"/>
    <mergeCell ref="I37:K37"/>
    <mergeCell ref="A40:G40"/>
    <mergeCell ref="I39:K39"/>
    <mergeCell ref="N39:O39"/>
  </mergeCells>
  <printOptions horizontalCentered="1"/>
  <pageMargins left="0.51181102362204722" right="0.51181102362204722" top="0.78740157480314965" bottom="0.78740157480314965" header="0.31496062992125984" footer="0.31496062992125984"/>
  <pageSetup paperSize="9" scale="37" orientation="landscape" r:id="rId1"/>
  <headerFooter>
    <oddFooter>&amp;A</oddFooter>
  </headerFooter>
  <drawing r:id="rId2"/>
  <legacyDrawingHF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ilha8">
    <tabColor theme="6" tint="0.59999389629810485"/>
  </sheetPr>
  <dimension ref="A1:K218"/>
  <sheetViews>
    <sheetView showGridLines="0" zoomScaleNormal="100" workbookViewId="0">
      <selection activeCell="K1" sqref="K1"/>
    </sheetView>
  </sheetViews>
  <sheetFormatPr defaultRowHeight="15" x14ac:dyDescent="0.25"/>
  <cols>
    <col min="1" max="1" width="4.7109375" style="3" customWidth="1"/>
    <col min="2" max="2" width="8.85546875" style="3" customWidth="1"/>
    <col min="3" max="3" width="12.7109375" style="3" customWidth="1"/>
    <col min="4" max="4" width="8.85546875" style="3" customWidth="1"/>
    <col min="5" max="5" width="7.42578125" style="3" customWidth="1"/>
    <col min="6" max="6" width="26.140625" style="3" customWidth="1"/>
    <col min="7" max="7" width="18.140625" style="3" customWidth="1"/>
    <col min="8" max="8" width="16.7109375" style="13" customWidth="1"/>
    <col min="9" max="9" width="11.5703125" style="3" customWidth="1"/>
    <col min="10" max="10" width="48.85546875" style="3" bestFit="1" customWidth="1"/>
    <col min="11" max="11" width="12.140625" style="3" customWidth="1"/>
    <col min="12" max="16384" width="9.140625" style="3"/>
  </cols>
  <sheetData>
    <row r="1" spans="1:8" ht="15" customHeight="1" x14ac:dyDescent="0.25">
      <c r="A1" s="381"/>
      <c r="B1" s="381"/>
      <c r="C1" s="381"/>
      <c r="D1" s="381"/>
      <c r="E1" s="381"/>
      <c r="F1" s="381"/>
      <c r="G1" s="381"/>
      <c r="H1" s="381"/>
    </row>
    <row r="2" spans="1:8" ht="15" customHeight="1" x14ac:dyDescent="0.25">
      <c r="A2" s="36"/>
      <c r="B2" s="36"/>
      <c r="C2" s="36"/>
      <c r="D2" s="36"/>
      <c r="E2" s="36"/>
      <c r="F2" s="36"/>
      <c r="G2" s="36"/>
      <c r="H2" s="36"/>
    </row>
    <row r="3" spans="1:8" ht="15" customHeight="1" x14ac:dyDescent="0.25">
      <c r="A3" s="36"/>
      <c r="B3" s="36"/>
      <c r="C3" s="36"/>
      <c r="D3" s="36"/>
      <c r="E3" s="36"/>
      <c r="F3" s="36"/>
      <c r="G3" s="36"/>
      <c r="H3" s="36"/>
    </row>
    <row r="4" spans="1:8" ht="15" customHeight="1" x14ac:dyDescent="0.25">
      <c r="A4" s="36"/>
      <c r="B4" s="36"/>
      <c r="C4" s="36"/>
      <c r="D4" s="36"/>
      <c r="E4" s="36"/>
      <c r="F4" s="36"/>
      <c r="G4" s="36"/>
      <c r="H4" s="36"/>
    </row>
    <row r="5" spans="1:8" ht="15" customHeight="1" x14ac:dyDescent="0.25">
      <c r="A5" s="490" t="str">
        <f>ORIENTAÇÕES!A5</f>
        <v>MINISTÉRIO DA AGRICULTURA E PECUÁRIA</v>
      </c>
      <c r="B5" s="490"/>
      <c r="C5" s="490"/>
      <c r="D5" s="490"/>
      <c r="E5" s="490"/>
      <c r="F5" s="490"/>
      <c r="G5" s="490"/>
      <c r="H5" s="490"/>
    </row>
    <row r="6" spans="1:8" ht="15" customHeight="1" x14ac:dyDescent="0.25">
      <c r="A6" s="490" t="str">
        <f>ORIENTAÇÕES!A6</f>
        <v>LABORATÓRIO FEDERAL DE DEFESA AGROPECUÁRIA NO PARÁ</v>
      </c>
      <c r="B6" s="490"/>
      <c r="C6" s="490"/>
      <c r="D6" s="490"/>
      <c r="E6" s="490"/>
      <c r="F6" s="490"/>
      <c r="G6" s="490"/>
      <c r="H6" s="490"/>
    </row>
    <row r="7" spans="1:8" ht="15" customHeight="1" x14ac:dyDescent="0.25">
      <c r="A7" s="36"/>
      <c r="B7" s="36"/>
      <c r="C7" s="36"/>
      <c r="D7" s="36"/>
      <c r="E7" s="36"/>
      <c r="F7" s="36"/>
      <c r="G7" s="36"/>
      <c r="H7" s="36"/>
    </row>
    <row r="8" spans="1:8" ht="19.5" customHeight="1" x14ac:dyDescent="0.25">
      <c r="A8" s="689" t="str">
        <f>ORIENTAÇÕES!A8</f>
        <v xml:space="preserve">PLANILHA REFERENCIAL DE CUSTO E FORMAÇÃO DE PREÇO </v>
      </c>
      <c r="B8" s="689"/>
      <c r="C8" s="689"/>
      <c r="D8" s="689"/>
      <c r="E8" s="689"/>
      <c r="F8" s="689"/>
      <c r="G8" s="689"/>
      <c r="H8" s="689"/>
    </row>
    <row r="9" spans="1:8" ht="15" customHeight="1" x14ac:dyDescent="0.25">
      <c r="A9" s="690" t="s">
        <v>361</v>
      </c>
      <c r="B9" s="690"/>
      <c r="C9" s="690"/>
      <c r="D9" s="690"/>
      <c r="E9" s="690"/>
      <c r="F9" s="690"/>
      <c r="G9" s="690"/>
      <c r="H9" s="690"/>
    </row>
    <row r="10" spans="1:8" ht="15" customHeight="1" x14ac:dyDescent="0.25">
      <c r="A10" s="487" t="str">
        <f>ORIENTAÇÕES!A10</f>
        <v>Pregão Eletrônico 12/2023</v>
      </c>
      <c r="B10" s="487"/>
      <c r="C10" s="487"/>
      <c r="D10" s="487"/>
      <c r="E10" s="487"/>
      <c r="F10" s="487"/>
      <c r="G10" s="487"/>
      <c r="H10" s="487"/>
    </row>
    <row r="11" spans="1:8" ht="15" customHeight="1" x14ac:dyDescent="0.25">
      <c r="A11" s="487" t="str">
        <f>ORIENTAÇÕES!A11</f>
        <v>PROCESSO Nº. :  21000.001352/2023-57</v>
      </c>
      <c r="B11" s="487"/>
      <c r="C11" s="487"/>
      <c r="D11" s="487"/>
      <c r="E11" s="487"/>
      <c r="F11" s="487"/>
      <c r="G11" s="487"/>
      <c r="H11" s="487"/>
    </row>
    <row r="12" spans="1:8" ht="15" customHeight="1" x14ac:dyDescent="0.25">
      <c r="A12" s="37"/>
      <c r="B12" s="37"/>
      <c r="C12" s="37"/>
      <c r="D12" s="37"/>
      <c r="E12" s="37"/>
      <c r="F12" s="37"/>
      <c r="G12" s="37"/>
      <c r="H12" s="37"/>
    </row>
    <row r="13" spans="1:8" ht="15" customHeight="1" thickBot="1" x14ac:dyDescent="0.3">
      <c r="A13" s="377" t="s">
        <v>362</v>
      </c>
      <c r="B13" s="378"/>
      <c r="C13" s="378"/>
      <c r="D13" s="378"/>
      <c r="E13" s="378"/>
      <c r="F13" s="378"/>
      <c r="G13" s="378"/>
      <c r="H13" s="378"/>
    </row>
    <row r="14" spans="1:8" ht="45" customHeight="1" thickBot="1" x14ac:dyDescent="0.3">
      <c r="A14" s="594" t="s">
        <v>363</v>
      </c>
      <c r="B14" s="595"/>
      <c r="C14" s="595"/>
      <c r="D14" s="595"/>
      <c r="E14" s="595"/>
      <c r="F14" s="595"/>
      <c r="G14" s="595"/>
      <c r="H14" s="596"/>
    </row>
    <row r="15" spans="1:8" ht="19.5" customHeight="1" x14ac:dyDescent="0.25">
      <c r="A15" s="480"/>
      <c r="B15" s="480"/>
      <c r="C15" s="480"/>
      <c r="D15" s="480"/>
      <c r="E15" s="480"/>
      <c r="F15" s="480"/>
      <c r="G15" s="480"/>
      <c r="H15" s="480"/>
    </row>
    <row r="16" spans="1:8" ht="15" customHeight="1" x14ac:dyDescent="0.25">
      <c r="A16" s="635" t="s">
        <v>364</v>
      </c>
      <c r="B16" s="635"/>
      <c r="C16" s="635"/>
      <c r="D16" s="635"/>
      <c r="E16" s="635"/>
      <c r="F16" s="635"/>
      <c r="G16" s="635"/>
      <c r="H16" s="635"/>
    </row>
    <row r="17" spans="1:8" ht="15" customHeight="1" x14ac:dyDescent="0.25">
      <c r="A17" s="369">
        <v>1</v>
      </c>
      <c r="B17" s="593"/>
      <c r="C17" s="593"/>
      <c r="D17" s="593"/>
      <c r="E17" s="593"/>
      <c r="F17" s="593"/>
      <c r="G17" s="678" t="str">
        <f>RESUMO!D29</f>
        <v>Servente</v>
      </c>
      <c r="H17" s="678"/>
    </row>
    <row r="18" spans="1:8" ht="15" customHeight="1" x14ac:dyDescent="0.25">
      <c r="A18" s="369">
        <v>2</v>
      </c>
      <c r="B18" s="593" t="s">
        <v>365</v>
      </c>
      <c r="C18" s="593"/>
      <c r="D18" s="593"/>
      <c r="E18" s="593"/>
      <c r="F18" s="593"/>
      <c r="G18" s="692">
        <f>RESUMO!F29</f>
        <v>0</v>
      </c>
      <c r="H18" s="693"/>
    </row>
    <row r="19" spans="1:8" ht="15" customHeight="1" x14ac:dyDescent="0.25">
      <c r="A19" s="369">
        <v>3</v>
      </c>
      <c r="B19" s="680" t="s">
        <v>366</v>
      </c>
      <c r="C19" s="680"/>
      <c r="D19" s="680"/>
      <c r="E19" s="680"/>
      <c r="F19" s="680"/>
      <c r="G19" s="691">
        <f>RESUMO!G29</f>
        <v>0</v>
      </c>
      <c r="H19" s="691"/>
    </row>
    <row r="20" spans="1:8" ht="15.75" x14ac:dyDescent="0.25">
      <c r="A20" s="369">
        <v>4</v>
      </c>
      <c r="B20" s="681" t="s">
        <v>367</v>
      </c>
      <c r="C20" s="681"/>
      <c r="D20" s="681"/>
      <c r="E20" s="681"/>
      <c r="F20" s="681"/>
      <c r="G20" s="694" t="str">
        <f>RESUMO!C29</f>
        <v>Limpeza e Conservação</v>
      </c>
      <c r="H20" s="694"/>
    </row>
    <row r="21" spans="1:8" ht="15.75" customHeight="1" x14ac:dyDescent="0.25">
      <c r="A21" s="369">
        <v>5</v>
      </c>
      <c r="B21" s="593" t="s">
        <v>368</v>
      </c>
      <c r="C21" s="593"/>
      <c r="D21" s="593"/>
      <c r="E21" s="593"/>
      <c r="F21" s="593"/>
      <c r="G21" s="679" t="str">
        <f>RESUMO!J29</f>
        <v>00/00/0000</v>
      </c>
      <c r="H21" s="682"/>
    </row>
    <row r="22" spans="1:8" ht="15" customHeight="1" x14ac:dyDescent="0.25">
      <c r="A22" s="369">
        <v>6</v>
      </c>
      <c r="B22" s="593" t="s">
        <v>369</v>
      </c>
      <c r="C22" s="593"/>
      <c r="D22" s="593"/>
      <c r="E22" s="593"/>
      <c r="F22" s="593"/>
      <c r="G22" s="683">
        <f>RESUMO!I29</f>
        <v>0</v>
      </c>
      <c r="H22" s="683"/>
    </row>
    <row r="23" spans="1:8" ht="15.75" x14ac:dyDescent="0.25">
      <c r="A23" s="369">
        <v>7</v>
      </c>
      <c r="B23" s="593" t="s">
        <v>370</v>
      </c>
      <c r="C23" s="593"/>
      <c r="D23" s="593"/>
      <c r="E23" s="593"/>
      <c r="F23" s="593"/>
      <c r="G23" s="679" t="str">
        <f>RESUMO!J16</f>
        <v>00/00/0000</v>
      </c>
      <c r="H23" s="679"/>
    </row>
    <row r="24" spans="1:8" ht="15.75" x14ac:dyDescent="0.25">
      <c r="A24" s="369">
        <v>8</v>
      </c>
      <c r="B24" s="593" t="s">
        <v>371</v>
      </c>
      <c r="C24" s="593"/>
      <c r="D24" s="593"/>
      <c r="E24" s="593"/>
      <c r="F24" s="593"/>
      <c r="G24" s="666" t="str">
        <f>RESUMO!D22</f>
        <v>Belém-PA</v>
      </c>
      <c r="H24" s="666"/>
    </row>
    <row r="25" spans="1:8" ht="15.75" customHeight="1" x14ac:dyDescent="0.25">
      <c r="A25" s="621" t="s">
        <v>372</v>
      </c>
      <c r="B25" s="622"/>
      <c r="C25" s="622"/>
      <c r="D25" s="622"/>
      <c r="E25" s="622"/>
      <c r="F25" s="622"/>
      <c r="G25" s="622"/>
      <c r="H25" s="622"/>
    </row>
    <row r="26" spans="1:8" x14ac:dyDescent="0.25">
      <c r="A26" s="625" t="s">
        <v>373</v>
      </c>
      <c r="B26" s="626"/>
      <c r="C26" s="626"/>
      <c r="D26" s="626"/>
      <c r="E26" s="626"/>
      <c r="F26" s="626"/>
      <c r="G26" s="626"/>
      <c r="H26" s="626"/>
    </row>
    <row r="27" spans="1:8" x14ac:dyDescent="0.25">
      <c r="A27" s="625" t="s">
        <v>374</v>
      </c>
      <c r="B27" s="626"/>
      <c r="C27" s="626"/>
      <c r="D27" s="626"/>
      <c r="E27" s="626"/>
      <c r="F27" s="626"/>
      <c r="G27" s="626"/>
      <c r="H27" s="626"/>
    </row>
    <row r="28" spans="1:8" x14ac:dyDescent="0.25">
      <c r="A28" s="670" t="s">
        <v>375</v>
      </c>
      <c r="B28" s="671"/>
      <c r="C28" s="671"/>
      <c r="D28" s="671"/>
      <c r="E28" s="671"/>
      <c r="F28" s="671"/>
      <c r="G28" s="671"/>
      <c r="H28" s="671"/>
    </row>
    <row r="29" spans="1:8" x14ac:dyDescent="0.25">
      <c r="A29" s="625" t="s">
        <v>376</v>
      </c>
      <c r="B29" s="626"/>
      <c r="C29" s="626"/>
      <c r="D29" s="626"/>
      <c r="E29" s="626"/>
      <c r="F29" s="626"/>
      <c r="G29" s="626"/>
      <c r="H29" s="626"/>
    </row>
    <row r="30" spans="1:8" ht="30" customHeight="1" x14ac:dyDescent="0.25">
      <c r="A30" s="672" t="s">
        <v>377</v>
      </c>
      <c r="B30" s="673"/>
      <c r="C30" s="673"/>
      <c r="D30" s="673"/>
      <c r="E30" s="673"/>
      <c r="F30" s="673"/>
      <c r="G30" s="673"/>
      <c r="H30" s="673"/>
    </row>
    <row r="31" spans="1:8" x14ac:dyDescent="0.25">
      <c r="A31" s="674"/>
      <c r="B31" s="674"/>
      <c r="C31" s="674"/>
      <c r="D31" s="674"/>
      <c r="E31" s="674"/>
      <c r="F31" s="674"/>
      <c r="G31" s="674"/>
      <c r="H31" s="674"/>
    </row>
    <row r="32" spans="1:8" ht="18" customHeight="1" x14ac:dyDescent="0.25">
      <c r="A32" s="635" t="s">
        <v>378</v>
      </c>
      <c r="B32" s="635"/>
      <c r="C32" s="635"/>
      <c r="D32" s="635"/>
      <c r="E32" s="635"/>
      <c r="F32" s="635"/>
      <c r="G32" s="635"/>
      <c r="H32" s="635"/>
    </row>
    <row r="33" spans="1:8" ht="18" customHeight="1" x14ac:dyDescent="0.25">
      <c r="A33" s="37"/>
      <c r="B33" s="37"/>
      <c r="C33" s="37"/>
      <c r="D33" s="37"/>
      <c r="E33" s="37"/>
      <c r="F33" s="37"/>
      <c r="G33" s="37"/>
      <c r="H33" s="37"/>
    </row>
    <row r="34" spans="1:8" ht="18" customHeight="1" x14ac:dyDescent="0.25">
      <c r="A34" s="38">
        <v>1</v>
      </c>
      <c r="B34" s="669" t="s">
        <v>379</v>
      </c>
      <c r="C34" s="669"/>
      <c r="D34" s="669"/>
      <c r="E34" s="669"/>
      <c r="F34" s="669"/>
      <c r="G34" s="5" t="s">
        <v>380</v>
      </c>
      <c r="H34" s="5" t="s">
        <v>381</v>
      </c>
    </row>
    <row r="35" spans="1:8" x14ac:dyDescent="0.25">
      <c r="A35" s="6" t="s">
        <v>382</v>
      </c>
      <c r="B35" s="636" t="s">
        <v>383</v>
      </c>
      <c r="C35" s="636"/>
      <c r="D35" s="636"/>
      <c r="E35" s="636"/>
      <c r="F35" s="636"/>
      <c r="G35" s="30" t="s">
        <v>384</v>
      </c>
      <c r="H35" s="7">
        <f>G19</f>
        <v>0</v>
      </c>
    </row>
    <row r="36" spans="1:8" x14ac:dyDescent="0.25">
      <c r="A36" s="6" t="s">
        <v>385</v>
      </c>
      <c r="B36" s="636" t="s">
        <v>386</v>
      </c>
      <c r="C36" s="636"/>
      <c r="D36" s="636"/>
      <c r="E36" s="636"/>
      <c r="F36" s="636"/>
      <c r="G36" s="8" t="s">
        <v>109</v>
      </c>
      <c r="H36" s="9">
        <v>0</v>
      </c>
    </row>
    <row r="37" spans="1:8" x14ac:dyDescent="0.25">
      <c r="A37" s="10" t="s">
        <v>387</v>
      </c>
      <c r="B37" s="636" t="s">
        <v>388</v>
      </c>
      <c r="C37" s="636"/>
      <c r="D37" s="636"/>
      <c r="E37" s="636"/>
      <c r="F37" s="636"/>
      <c r="G37" s="8" t="s">
        <v>109</v>
      </c>
      <c r="H37" s="11">
        <v>0</v>
      </c>
    </row>
    <row r="38" spans="1:8" x14ac:dyDescent="0.25">
      <c r="A38" s="6" t="s">
        <v>389</v>
      </c>
      <c r="B38" s="636" t="s">
        <v>390</v>
      </c>
      <c r="C38" s="636"/>
      <c r="D38" s="636"/>
      <c r="E38" s="636"/>
      <c r="F38" s="636"/>
      <c r="G38" s="222" t="s">
        <v>109</v>
      </c>
      <c r="H38" s="9">
        <v>0</v>
      </c>
    </row>
    <row r="39" spans="1:8" x14ac:dyDescent="0.25">
      <c r="A39" s="6" t="s">
        <v>391</v>
      </c>
      <c r="B39" s="636" t="s">
        <v>392</v>
      </c>
      <c r="C39" s="636"/>
      <c r="D39" s="636"/>
      <c r="E39" s="636"/>
      <c r="F39" s="636"/>
      <c r="G39" s="222" t="s">
        <v>109</v>
      </c>
      <c r="H39" s="9">
        <v>0</v>
      </c>
    </row>
    <row r="40" spans="1:8" x14ac:dyDescent="0.25">
      <c r="A40" s="6" t="s">
        <v>393</v>
      </c>
      <c r="B40" s="685" t="s">
        <v>394</v>
      </c>
      <c r="C40" s="686"/>
      <c r="D40" s="686"/>
      <c r="E40" s="686"/>
      <c r="F40" s="686"/>
      <c r="G40" s="41" t="s">
        <v>109</v>
      </c>
      <c r="H40" s="42">
        <v>0</v>
      </c>
    </row>
    <row r="41" spans="1:8" s="12" customFormat="1" ht="14.25" customHeight="1" x14ac:dyDescent="0.25">
      <c r="A41" s="642" t="s">
        <v>395</v>
      </c>
      <c r="B41" s="642"/>
      <c r="C41" s="642"/>
      <c r="D41" s="642"/>
      <c r="E41" s="642"/>
      <c r="F41" s="642"/>
      <c r="G41" s="642"/>
      <c r="H41" s="31">
        <f>SUM(H35:H40)</f>
        <v>0</v>
      </c>
    </row>
    <row r="42" spans="1:8" s="12" customFormat="1" ht="15" customHeight="1" x14ac:dyDescent="0.25">
      <c r="A42" s="621" t="s">
        <v>372</v>
      </c>
      <c r="B42" s="622"/>
      <c r="C42" s="622"/>
      <c r="D42" s="622"/>
      <c r="E42" s="622"/>
      <c r="F42" s="622"/>
      <c r="G42" s="622"/>
      <c r="H42" s="622"/>
    </row>
    <row r="43" spans="1:8" s="12" customFormat="1" x14ac:dyDescent="0.25">
      <c r="A43" s="625" t="s">
        <v>396</v>
      </c>
      <c r="B43" s="626"/>
      <c r="C43" s="626"/>
      <c r="D43" s="626"/>
      <c r="E43" s="626"/>
      <c r="F43" s="626"/>
      <c r="G43" s="626"/>
      <c r="H43" s="626"/>
    </row>
    <row r="44" spans="1:8" s="12" customFormat="1" x14ac:dyDescent="0.25">
      <c r="A44" s="625" t="s">
        <v>397</v>
      </c>
      <c r="B44" s="626"/>
      <c r="C44" s="626"/>
      <c r="D44" s="626"/>
      <c r="E44" s="626"/>
      <c r="F44" s="626"/>
      <c r="G44" s="626"/>
      <c r="H44" s="626"/>
    </row>
    <row r="45" spans="1:8" s="12" customFormat="1" ht="17.25" customHeight="1" x14ac:dyDescent="0.25">
      <c r="A45" s="3"/>
      <c r="B45" s="3"/>
      <c r="C45" s="3"/>
      <c r="D45" s="3"/>
      <c r="E45" s="3"/>
      <c r="F45" s="3"/>
      <c r="G45" s="3"/>
      <c r="H45" s="13"/>
    </row>
    <row r="46" spans="1:8" x14ac:dyDescent="0.25">
      <c r="A46" s="635" t="s">
        <v>398</v>
      </c>
      <c r="B46" s="635"/>
      <c r="C46" s="635"/>
      <c r="D46" s="635"/>
      <c r="E46" s="635"/>
      <c r="F46" s="635"/>
      <c r="G46" s="635"/>
      <c r="H46" s="635"/>
    </row>
    <row r="47" spans="1:8" ht="16.5" customHeight="1" x14ac:dyDescent="0.25">
      <c r="A47" s="621" t="s">
        <v>372</v>
      </c>
      <c r="B47" s="622"/>
      <c r="C47" s="622"/>
      <c r="D47" s="622"/>
      <c r="E47" s="622"/>
      <c r="F47" s="622"/>
      <c r="G47" s="622"/>
      <c r="H47" s="622"/>
    </row>
    <row r="48" spans="1:8" ht="30" customHeight="1" x14ac:dyDescent="0.25">
      <c r="A48" s="625" t="s">
        <v>399</v>
      </c>
      <c r="B48" s="626"/>
      <c r="C48" s="626"/>
      <c r="D48" s="626"/>
      <c r="E48" s="626"/>
      <c r="F48" s="626"/>
      <c r="G48" s="626"/>
      <c r="H48" s="626"/>
    </row>
    <row r="49" spans="1:9" ht="30" customHeight="1" x14ac:dyDescent="0.25">
      <c r="A49" s="625" t="s">
        <v>400</v>
      </c>
      <c r="B49" s="626"/>
      <c r="C49" s="626"/>
      <c r="D49" s="626"/>
      <c r="E49" s="626"/>
      <c r="F49" s="626"/>
      <c r="G49" s="626"/>
      <c r="H49" s="626"/>
    </row>
    <row r="50" spans="1:9" x14ac:dyDescent="0.25">
      <c r="A50" s="14"/>
      <c r="B50" s="14"/>
      <c r="C50" s="14"/>
      <c r="D50" s="14"/>
      <c r="E50" s="14"/>
      <c r="F50" s="14"/>
      <c r="G50" s="14"/>
      <c r="H50" s="14"/>
      <c r="I50" s="15"/>
    </row>
    <row r="51" spans="1:9" x14ac:dyDescent="0.25">
      <c r="A51" s="688" t="s">
        <v>401</v>
      </c>
      <c r="B51" s="688"/>
      <c r="C51" s="688"/>
      <c r="D51" s="688"/>
      <c r="E51" s="688"/>
      <c r="F51" s="688"/>
      <c r="G51" s="688"/>
      <c r="H51" s="688"/>
      <c r="I51" s="15"/>
    </row>
    <row r="52" spans="1:9" x14ac:dyDescent="0.25">
      <c r="A52" s="49"/>
      <c r="B52" s="49"/>
      <c r="C52" s="49"/>
      <c r="D52" s="49"/>
      <c r="E52" s="49"/>
      <c r="F52" s="49"/>
      <c r="G52" s="49"/>
      <c r="H52" s="49"/>
      <c r="I52" s="15"/>
    </row>
    <row r="53" spans="1:9" x14ac:dyDescent="0.25">
      <c r="A53" s="44" t="s">
        <v>402</v>
      </c>
      <c r="B53" s="637" t="s">
        <v>403</v>
      </c>
      <c r="C53" s="637"/>
      <c r="D53" s="637"/>
      <c r="E53" s="637"/>
      <c r="F53" s="637"/>
      <c r="G53" s="183" t="s">
        <v>404</v>
      </c>
      <c r="H53" s="183" t="s">
        <v>381</v>
      </c>
    </row>
    <row r="54" spans="1:9" x14ac:dyDescent="0.25">
      <c r="A54" s="6" t="s">
        <v>382</v>
      </c>
      <c r="B54" s="636" t="s">
        <v>405</v>
      </c>
      <c r="C54" s="636"/>
      <c r="D54" s="636"/>
      <c r="E54" s="636"/>
      <c r="F54" s="636"/>
      <c r="G54" s="16">
        <f>1/12</f>
        <v>8.3333333333333329E-2</v>
      </c>
      <c r="H54" s="11">
        <f>$H$41*G54</f>
        <v>0</v>
      </c>
      <c r="I54" s="15"/>
    </row>
    <row r="55" spans="1:9" x14ac:dyDescent="0.25">
      <c r="A55" s="6" t="s">
        <v>385</v>
      </c>
      <c r="B55" s="662" t="s">
        <v>406</v>
      </c>
      <c r="C55" s="636"/>
      <c r="D55" s="636"/>
      <c r="E55" s="636"/>
      <c r="F55" s="636"/>
      <c r="G55" s="16">
        <v>0.121</v>
      </c>
      <c r="H55" s="11">
        <f>$H$41*G55</f>
        <v>0</v>
      </c>
    </row>
    <row r="56" spans="1:9" s="12" customFormat="1" ht="18" customHeight="1" x14ac:dyDescent="0.25">
      <c r="A56" s="615" t="s">
        <v>407</v>
      </c>
      <c r="B56" s="616"/>
      <c r="C56" s="616"/>
      <c r="D56" s="616"/>
      <c r="E56" s="616"/>
      <c r="F56" s="617"/>
      <c r="G56" s="396">
        <f>SUM(G54:G55)</f>
        <v>0.20433333333333331</v>
      </c>
      <c r="H56" s="32">
        <f>SUM(H54:H55)</f>
        <v>0</v>
      </c>
    </row>
    <row r="57" spans="1:9" s="12" customFormat="1" ht="18" customHeight="1" x14ac:dyDescent="0.25">
      <c r="A57" s="621" t="s">
        <v>372</v>
      </c>
      <c r="B57" s="622"/>
      <c r="C57" s="622"/>
      <c r="D57" s="622"/>
      <c r="E57" s="622"/>
      <c r="F57" s="622"/>
      <c r="G57" s="622"/>
      <c r="H57" s="622"/>
    </row>
    <row r="58" spans="1:9" s="12" customFormat="1" ht="30" customHeight="1" x14ac:dyDescent="0.25">
      <c r="A58" s="625" t="s">
        <v>408</v>
      </c>
      <c r="B58" s="626"/>
      <c r="C58" s="626"/>
      <c r="D58" s="626"/>
      <c r="E58" s="626"/>
      <c r="F58" s="626"/>
      <c r="G58" s="626"/>
      <c r="H58" s="626"/>
    </row>
    <row r="59" spans="1:9" s="12" customFormat="1" ht="30" customHeight="1" x14ac:dyDescent="0.25">
      <c r="A59" s="625" t="s">
        <v>409</v>
      </c>
      <c r="B59" s="626"/>
      <c r="C59" s="626"/>
      <c r="D59" s="626"/>
      <c r="E59" s="626"/>
      <c r="F59" s="626"/>
      <c r="G59" s="626"/>
      <c r="H59" s="626"/>
    </row>
    <row r="60" spans="1:9" s="12" customFormat="1" ht="17.25" customHeight="1" x14ac:dyDescent="0.25">
      <c r="A60" s="14"/>
      <c r="B60" s="14"/>
      <c r="C60" s="14"/>
      <c r="D60" s="14"/>
      <c r="E60" s="14"/>
      <c r="F60" s="14"/>
      <c r="G60" s="14"/>
      <c r="H60" s="14"/>
    </row>
    <row r="61" spans="1:9" s="12" customFormat="1" ht="33" customHeight="1" x14ac:dyDescent="0.25">
      <c r="A61" s="643" t="s">
        <v>410</v>
      </c>
      <c r="B61" s="643"/>
      <c r="C61" s="643"/>
      <c r="D61" s="643"/>
      <c r="E61" s="643"/>
      <c r="F61" s="643"/>
      <c r="G61" s="643"/>
      <c r="H61" s="643"/>
    </row>
    <row r="62" spans="1:9" s="12" customFormat="1" x14ac:dyDescent="0.25">
      <c r="A62" s="182"/>
      <c r="B62" s="182"/>
      <c r="C62" s="182"/>
      <c r="D62" s="182"/>
      <c r="E62" s="182"/>
      <c r="F62" s="182"/>
      <c r="G62" s="182"/>
      <c r="H62" s="182"/>
    </row>
    <row r="63" spans="1:9" s="12" customFormat="1" x14ac:dyDescent="0.25">
      <c r="A63" s="181"/>
      <c r="B63" s="181"/>
      <c r="C63" s="181"/>
      <c r="D63" s="181"/>
      <c r="E63" s="181"/>
      <c r="G63" s="204" t="s">
        <v>411</v>
      </c>
      <c r="H63" s="184">
        <f>H41+H56</f>
        <v>0</v>
      </c>
    </row>
    <row r="64" spans="1:9" s="12" customFormat="1" ht="17.25" customHeight="1" x14ac:dyDescent="0.25">
      <c r="A64" s="195" t="s">
        <v>412</v>
      </c>
      <c r="B64" s="649" t="s">
        <v>403</v>
      </c>
      <c r="C64" s="649"/>
      <c r="D64" s="649"/>
      <c r="E64" s="649"/>
      <c r="F64" s="649"/>
      <c r="G64" s="196" t="s">
        <v>404</v>
      </c>
      <c r="H64" s="197" t="s">
        <v>381</v>
      </c>
    </row>
    <row r="65" spans="1:8" s="12" customFormat="1" x14ac:dyDescent="0.25">
      <c r="A65" s="6" t="s">
        <v>382</v>
      </c>
      <c r="B65" s="636" t="s">
        <v>413</v>
      </c>
      <c r="C65" s="636"/>
      <c r="D65" s="636"/>
      <c r="E65" s="636"/>
      <c r="F65" s="636"/>
      <c r="G65" s="806">
        <v>0</v>
      </c>
      <c r="H65" s="11">
        <f t="shared" ref="H65:H72" si="0">$H$63*G65</f>
        <v>0</v>
      </c>
    </row>
    <row r="66" spans="1:8" s="12" customFormat="1" x14ac:dyDescent="0.25">
      <c r="A66" s="6" t="s">
        <v>385</v>
      </c>
      <c r="B66" s="636" t="s">
        <v>414</v>
      </c>
      <c r="C66" s="636"/>
      <c r="D66" s="636"/>
      <c r="E66" s="636"/>
      <c r="F66" s="636"/>
      <c r="G66" s="806">
        <v>0</v>
      </c>
      <c r="H66" s="11">
        <f t="shared" si="0"/>
        <v>0</v>
      </c>
    </row>
    <row r="67" spans="1:8" s="12" customFormat="1" x14ac:dyDescent="0.25">
      <c r="A67" s="6" t="s">
        <v>387</v>
      </c>
      <c r="B67" s="636" t="s">
        <v>415</v>
      </c>
      <c r="C67" s="636"/>
      <c r="D67" s="636"/>
      <c r="E67" s="636"/>
      <c r="F67" s="636"/>
      <c r="G67" s="806">
        <v>0</v>
      </c>
      <c r="H67" s="11">
        <f t="shared" si="0"/>
        <v>0</v>
      </c>
    </row>
    <row r="68" spans="1:8" s="12" customFormat="1" x14ac:dyDescent="0.25">
      <c r="A68" s="6" t="s">
        <v>389</v>
      </c>
      <c r="B68" s="636" t="s">
        <v>416</v>
      </c>
      <c r="C68" s="636"/>
      <c r="D68" s="636"/>
      <c r="E68" s="636"/>
      <c r="F68" s="636"/>
      <c r="G68" s="806">
        <v>0</v>
      </c>
      <c r="H68" s="11">
        <f t="shared" si="0"/>
        <v>0</v>
      </c>
    </row>
    <row r="69" spans="1:8" s="12" customFormat="1" x14ac:dyDescent="0.25">
      <c r="A69" s="6" t="s">
        <v>391</v>
      </c>
      <c r="B69" s="636" t="s">
        <v>417</v>
      </c>
      <c r="C69" s="636"/>
      <c r="D69" s="636"/>
      <c r="E69" s="636"/>
      <c r="F69" s="636"/>
      <c r="G69" s="806">
        <v>0</v>
      </c>
      <c r="H69" s="11">
        <f t="shared" si="0"/>
        <v>0</v>
      </c>
    </row>
    <row r="70" spans="1:8" s="12" customFormat="1" x14ac:dyDescent="0.25">
      <c r="A70" s="6" t="s">
        <v>393</v>
      </c>
      <c r="B70" s="636" t="s">
        <v>418</v>
      </c>
      <c r="C70" s="636"/>
      <c r="D70" s="636"/>
      <c r="E70" s="636"/>
      <c r="F70" s="636"/>
      <c r="G70" s="806">
        <v>0</v>
      </c>
      <c r="H70" s="11">
        <f t="shared" si="0"/>
        <v>0</v>
      </c>
    </row>
    <row r="71" spans="1:8" s="12" customFormat="1" x14ac:dyDescent="0.25">
      <c r="A71" s="6" t="s">
        <v>419</v>
      </c>
      <c r="B71" s="636" t="s">
        <v>420</v>
      </c>
      <c r="C71" s="636"/>
      <c r="D71" s="636"/>
      <c r="E71" s="636"/>
      <c r="F71" s="636"/>
      <c r="G71" s="806">
        <v>0</v>
      </c>
      <c r="H71" s="11">
        <f t="shared" si="0"/>
        <v>0</v>
      </c>
    </row>
    <row r="72" spans="1:8" s="12" customFormat="1" x14ac:dyDescent="0.25">
      <c r="A72" s="6" t="s">
        <v>421</v>
      </c>
      <c r="B72" s="636" t="s">
        <v>422</v>
      </c>
      <c r="C72" s="636"/>
      <c r="D72" s="636"/>
      <c r="E72" s="636"/>
      <c r="F72" s="636"/>
      <c r="G72" s="806">
        <v>0</v>
      </c>
      <c r="H72" s="11">
        <f t="shared" si="0"/>
        <v>0</v>
      </c>
    </row>
    <row r="73" spans="1:8" x14ac:dyDescent="0.25">
      <c r="A73" s="659" t="s">
        <v>423</v>
      </c>
      <c r="B73" s="659" t="s">
        <v>424</v>
      </c>
      <c r="C73" s="659"/>
      <c r="D73" s="659"/>
      <c r="E73" s="659"/>
      <c r="F73" s="659"/>
      <c r="G73" s="34">
        <f>SUM(G65:G72)</f>
        <v>0</v>
      </c>
      <c r="H73" s="32">
        <f>SUM(H65:H72)</f>
        <v>0</v>
      </c>
    </row>
    <row r="74" spans="1:8" ht="15.75" customHeight="1" x14ac:dyDescent="0.25">
      <c r="A74" s="621" t="s">
        <v>372</v>
      </c>
      <c r="B74" s="622"/>
      <c r="C74" s="622"/>
      <c r="D74" s="622"/>
      <c r="E74" s="622"/>
      <c r="F74" s="622"/>
      <c r="G74" s="622"/>
      <c r="H74" s="622"/>
    </row>
    <row r="75" spans="1:8" ht="30" customHeight="1" x14ac:dyDescent="0.25">
      <c r="A75" s="625" t="s">
        <v>425</v>
      </c>
      <c r="B75" s="626"/>
      <c r="C75" s="626"/>
      <c r="D75" s="626"/>
      <c r="E75" s="626"/>
      <c r="F75" s="626"/>
      <c r="G75" s="626"/>
      <c r="H75" s="626"/>
    </row>
    <row r="76" spans="1:8" ht="45" customHeight="1" x14ac:dyDescent="0.25">
      <c r="A76" s="625" t="s">
        <v>426</v>
      </c>
      <c r="B76" s="626"/>
      <c r="C76" s="626"/>
      <c r="D76" s="626"/>
      <c r="E76" s="626"/>
      <c r="F76" s="626"/>
      <c r="G76" s="626"/>
      <c r="H76" s="626"/>
    </row>
    <row r="77" spans="1:8" ht="30" customHeight="1" x14ac:dyDescent="0.25">
      <c r="A77" s="625" t="s">
        <v>427</v>
      </c>
      <c r="B77" s="626"/>
      <c r="C77" s="626"/>
      <c r="D77" s="626"/>
      <c r="E77" s="626"/>
      <c r="F77" s="626"/>
      <c r="G77" s="626"/>
      <c r="H77" s="626"/>
    </row>
    <row r="78" spans="1:8" x14ac:dyDescent="0.25">
      <c r="A78" s="625" t="s">
        <v>428</v>
      </c>
      <c r="B78" s="626"/>
      <c r="C78" s="626"/>
      <c r="D78" s="626"/>
      <c r="E78" s="626"/>
      <c r="F78" s="626"/>
      <c r="G78" s="626"/>
      <c r="H78" s="626"/>
    </row>
    <row r="79" spans="1:8" ht="30" customHeight="1" x14ac:dyDescent="0.25">
      <c r="A79" s="621" t="s">
        <v>429</v>
      </c>
      <c r="B79" s="622"/>
      <c r="C79" s="622"/>
      <c r="D79" s="622"/>
      <c r="E79" s="622"/>
      <c r="F79" s="622"/>
      <c r="G79" s="622"/>
      <c r="H79" s="622"/>
    </row>
    <row r="80" spans="1:8" x14ac:dyDescent="0.25">
      <c r="A80" s="667" t="s">
        <v>430</v>
      </c>
      <c r="B80" s="668"/>
      <c r="C80" s="668"/>
      <c r="D80" s="668"/>
      <c r="E80" s="668"/>
      <c r="F80" s="668"/>
      <c r="G80" s="668"/>
      <c r="H80" s="668"/>
    </row>
    <row r="81" spans="1:11" x14ac:dyDescent="0.25">
      <c r="A81" s="625" t="s">
        <v>431</v>
      </c>
      <c r="B81" s="626"/>
      <c r="C81" s="626"/>
      <c r="D81" s="626"/>
      <c r="E81" s="626"/>
      <c r="F81" s="626"/>
      <c r="G81" s="626"/>
      <c r="H81" s="626"/>
    </row>
    <row r="82" spans="1:11" x14ac:dyDescent="0.25">
      <c r="A82" s="625" t="s">
        <v>432</v>
      </c>
      <c r="B82" s="626"/>
      <c r="C82" s="626"/>
      <c r="D82" s="626"/>
      <c r="E82" s="626"/>
      <c r="F82" s="626"/>
      <c r="G82" s="626"/>
      <c r="H82" s="626"/>
    </row>
    <row r="83" spans="1:11" ht="30" customHeight="1" x14ac:dyDescent="0.25">
      <c r="A83" s="676" t="s">
        <v>433</v>
      </c>
      <c r="B83" s="677"/>
      <c r="C83" s="677"/>
      <c r="D83" s="677"/>
      <c r="E83" s="677"/>
      <c r="F83" s="677"/>
      <c r="G83" s="677"/>
      <c r="H83" s="677"/>
    </row>
    <row r="84" spans="1:11" x14ac:dyDescent="0.25">
      <c r="A84" s="37"/>
      <c r="B84" s="37"/>
      <c r="C84" s="37"/>
      <c r="D84" s="37"/>
      <c r="E84" s="37"/>
      <c r="F84" s="37"/>
      <c r="G84" s="185"/>
      <c r="H84" s="180"/>
    </row>
    <row r="85" spans="1:11" ht="16.5" customHeight="1" x14ac:dyDescent="0.25">
      <c r="A85" s="14"/>
      <c r="B85" s="14"/>
      <c r="C85" s="14"/>
      <c r="D85" s="14"/>
      <c r="E85" s="14"/>
      <c r="F85" s="14"/>
      <c r="G85" s="14"/>
      <c r="H85" s="14"/>
    </row>
    <row r="86" spans="1:11" ht="16.5" customHeight="1" x14ac:dyDescent="0.25">
      <c r="A86" s="675" t="s">
        <v>434</v>
      </c>
      <c r="B86" s="675"/>
      <c r="C86" s="675"/>
      <c r="D86" s="675"/>
      <c r="E86" s="675"/>
      <c r="F86" s="675"/>
      <c r="G86" s="675"/>
      <c r="H86" s="675"/>
      <c r="J86" s="654" t="s">
        <v>435</v>
      </c>
      <c r="K86" s="654"/>
    </row>
    <row r="87" spans="1:11" ht="16.5" customHeight="1" x14ac:dyDescent="0.25">
      <c r="A87" s="186"/>
      <c r="B87" s="186"/>
      <c r="C87" s="186"/>
      <c r="D87" s="186"/>
      <c r="E87" s="186"/>
      <c r="F87" s="186"/>
      <c r="G87" s="186"/>
      <c r="H87" s="186"/>
      <c r="J87" s="187" t="s">
        <v>436</v>
      </c>
      <c r="K87" s="811">
        <v>0</v>
      </c>
    </row>
    <row r="88" spans="1:11" ht="16.5" customHeight="1" x14ac:dyDescent="0.25">
      <c r="A88" s="198" t="s">
        <v>437</v>
      </c>
      <c r="B88" s="687" t="s">
        <v>403</v>
      </c>
      <c r="C88" s="687"/>
      <c r="D88" s="687"/>
      <c r="E88" s="687"/>
      <c r="F88" s="687"/>
      <c r="G88" s="199" t="s">
        <v>438</v>
      </c>
      <c r="H88" s="199" t="s">
        <v>381</v>
      </c>
      <c r="J88" s="187" t="s">
        <v>439</v>
      </c>
      <c r="K88" s="811">
        <f>0</f>
        <v>0</v>
      </c>
    </row>
    <row r="89" spans="1:11" ht="16.5" customHeight="1" x14ac:dyDescent="0.25">
      <c r="A89" s="6" t="s">
        <v>382</v>
      </c>
      <c r="B89" s="636" t="s">
        <v>440</v>
      </c>
      <c r="C89" s="636"/>
      <c r="D89" s="636"/>
      <c r="E89" s="636"/>
      <c r="F89" s="636"/>
      <c r="G89" s="808">
        <f>K94</f>
        <v>0</v>
      </c>
      <c r="H89" s="11">
        <f>K99</f>
        <v>0</v>
      </c>
      <c r="J89" s="187" t="s">
        <v>441</v>
      </c>
      <c r="K89" s="188">
        <f>(K87*22)+(K87/2*4)</f>
        <v>0</v>
      </c>
    </row>
    <row r="90" spans="1:11" x14ac:dyDescent="0.25">
      <c r="A90" s="6" t="s">
        <v>385</v>
      </c>
      <c r="B90" s="636" t="s">
        <v>442</v>
      </c>
      <c r="C90" s="636"/>
      <c r="D90" s="636"/>
      <c r="E90" s="636"/>
      <c r="F90" s="636"/>
      <c r="G90" s="808">
        <f>K87</f>
        <v>0</v>
      </c>
      <c r="H90" s="11">
        <f>K91</f>
        <v>0</v>
      </c>
      <c r="J90" s="187" t="s">
        <v>443</v>
      </c>
      <c r="K90" s="188">
        <f>K89*10%</f>
        <v>0</v>
      </c>
    </row>
    <row r="91" spans="1:11" x14ac:dyDescent="0.25">
      <c r="A91" s="6" t="s">
        <v>387</v>
      </c>
      <c r="B91" s="636" t="s">
        <v>444</v>
      </c>
      <c r="C91" s="636"/>
      <c r="D91" s="636"/>
      <c r="E91" s="636"/>
      <c r="F91" s="636"/>
      <c r="G91" s="809"/>
      <c r="H91" s="810">
        <v>0</v>
      </c>
      <c r="J91" s="189" t="s">
        <v>445</v>
      </c>
      <c r="K91" s="190">
        <f>K89-K90</f>
        <v>0</v>
      </c>
    </row>
    <row r="92" spans="1:11" x14ac:dyDescent="0.25">
      <c r="A92" s="17" t="s">
        <v>389</v>
      </c>
      <c r="B92" s="636" t="s">
        <v>446</v>
      </c>
      <c r="C92" s="636"/>
      <c r="D92" s="636"/>
      <c r="E92" s="636"/>
      <c r="F92" s="636"/>
      <c r="G92" s="808">
        <v>0</v>
      </c>
      <c r="H92" s="810">
        <v>0</v>
      </c>
      <c r="J92" s="191"/>
      <c r="K92" s="191"/>
    </row>
    <row r="93" spans="1:11" x14ac:dyDescent="0.25">
      <c r="A93" s="6" t="s">
        <v>391</v>
      </c>
      <c r="B93" s="636" t="s">
        <v>447</v>
      </c>
      <c r="C93" s="636"/>
      <c r="D93" s="636"/>
      <c r="E93" s="636"/>
      <c r="F93" s="636"/>
      <c r="G93" s="809"/>
      <c r="H93" s="810">
        <v>0</v>
      </c>
      <c r="J93" s="654" t="s">
        <v>448</v>
      </c>
      <c r="K93" s="654"/>
    </row>
    <row r="94" spans="1:11" x14ac:dyDescent="0.25">
      <c r="A94" s="6" t="s">
        <v>393</v>
      </c>
      <c r="B94" s="807" t="s">
        <v>449</v>
      </c>
      <c r="C94" s="807"/>
      <c r="D94" s="807"/>
      <c r="E94" s="807"/>
      <c r="F94" s="807"/>
      <c r="G94" s="809"/>
      <c r="H94" s="810">
        <v>0</v>
      </c>
      <c r="J94" s="187" t="s">
        <v>450</v>
      </c>
      <c r="K94" s="811">
        <v>0</v>
      </c>
    </row>
    <row r="95" spans="1:11" ht="15.75" customHeight="1" x14ac:dyDescent="0.25">
      <c r="A95" s="637" t="s">
        <v>451</v>
      </c>
      <c r="B95" s="637"/>
      <c r="C95" s="637"/>
      <c r="D95" s="637"/>
      <c r="E95" s="637"/>
      <c r="F95" s="637"/>
      <c r="G95" s="637"/>
      <c r="H95" s="32">
        <f>SUM(H89:H94)</f>
        <v>0</v>
      </c>
      <c r="J95" s="187" t="s">
        <v>452</v>
      </c>
      <c r="K95" s="811">
        <v>0</v>
      </c>
    </row>
    <row r="96" spans="1:11" ht="15.75" customHeight="1" x14ac:dyDescent="0.25">
      <c r="A96" s="621" t="s">
        <v>372</v>
      </c>
      <c r="B96" s="622"/>
      <c r="C96" s="622"/>
      <c r="D96" s="622"/>
      <c r="E96" s="622"/>
      <c r="F96" s="622"/>
      <c r="G96" s="622"/>
      <c r="H96" s="622"/>
      <c r="J96" s="187" t="s">
        <v>453</v>
      </c>
      <c r="K96" s="811">
        <v>0</v>
      </c>
    </row>
    <row r="97" spans="1:11" x14ac:dyDescent="0.25">
      <c r="A97" s="625" t="s">
        <v>454</v>
      </c>
      <c r="B97" s="626"/>
      <c r="C97" s="626"/>
      <c r="D97" s="626"/>
      <c r="E97" s="626"/>
      <c r="F97" s="626"/>
      <c r="G97" s="626"/>
      <c r="H97" s="626"/>
      <c r="J97" s="187" t="s">
        <v>455</v>
      </c>
      <c r="K97" s="188">
        <f>K94*K95*K96</f>
        <v>0</v>
      </c>
    </row>
    <row r="98" spans="1:11" ht="30" customHeight="1" x14ac:dyDescent="0.25">
      <c r="A98" s="625" t="s">
        <v>456</v>
      </c>
      <c r="B98" s="626"/>
      <c r="C98" s="626"/>
      <c r="D98" s="626"/>
      <c r="E98" s="626"/>
      <c r="F98" s="626"/>
      <c r="G98" s="626"/>
      <c r="H98" s="626"/>
      <c r="J98" s="187" t="s">
        <v>457</v>
      </c>
      <c r="K98" s="188">
        <f>H35*6%</f>
        <v>0</v>
      </c>
    </row>
    <row r="99" spans="1:11" x14ac:dyDescent="0.25">
      <c r="A99" s="625" t="s">
        <v>458</v>
      </c>
      <c r="B99" s="626"/>
      <c r="C99" s="626"/>
      <c r="D99" s="626"/>
      <c r="E99" s="626"/>
      <c r="F99" s="626"/>
      <c r="G99" s="626"/>
      <c r="H99" s="626"/>
      <c r="J99" s="189" t="s">
        <v>445</v>
      </c>
      <c r="K99" s="192">
        <f>K97-K98</f>
        <v>0</v>
      </c>
    </row>
    <row r="101" spans="1:11" ht="15" customHeight="1" x14ac:dyDescent="0.25">
      <c r="A101" s="638" t="s">
        <v>459</v>
      </c>
      <c r="B101" s="639"/>
      <c r="C101" s="639"/>
      <c r="D101" s="639"/>
      <c r="E101" s="639"/>
      <c r="F101" s="639"/>
      <c r="G101" s="639"/>
      <c r="H101" s="640"/>
    </row>
    <row r="102" spans="1:11" ht="15" customHeight="1" x14ac:dyDescent="0.25">
      <c r="A102" s="38"/>
      <c r="B102" s="648" t="s">
        <v>403</v>
      </c>
      <c r="C102" s="648"/>
      <c r="D102" s="648"/>
      <c r="E102" s="648"/>
      <c r="F102" s="648"/>
      <c r="G102" s="648"/>
      <c r="H102" s="5" t="s">
        <v>460</v>
      </c>
    </row>
    <row r="103" spans="1:11" ht="15" customHeight="1" x14ac:dyDescent="0.25">
      <c r="A103" s="6" t="s">
        <v>402</v>
      </c>
      <c r="B103" s="636" t="s">
        <v>461</v>
      </c>
      <c r="C103" s="636"/>
      <c r="D103" s="636"/>
      <c r="E103" s="636"/>
      <c r="F103" s="636"/>
      <c r="G103" s="636"/>
      <c r="H103" s="11">
        <f>H56</f>
        <v>0</v>
      </c>
    </row>
    <row r="104" spans="1:11" ht="15" customHeight="1" x14ac:dyDescent="0.25">
      <c r="A104" s="6" t="s">
        <v>412</v>
      </c>
      <c r="B104" s="641" t="s">
        <v>462</v>
      </c>
      <c r="C104" s="641"/>
      <c r="D104" s="641"/>
      <c r="E104" s="641"/>
      <c r="F104" s="641"/>
      <c r="G104" s="641"/>
      <c r="H104" s="11">
        <f>H73</f>
        <v>0</v>
      </c>
    </row>
    <row r="105" spans="1:11" ht="15" customHeight="1" x14ac:dyDescent="0.25">
      <c r="A105" s="6" t="s">
        <v>437</v>
      </c>
      <c r="B105" s="636" t="s">
        <v>463</v>
      </c>
      <c r="C105" s="636"/>
      <c r="D105" s="636"/>
      <c r="E105" s="636"/>
      <c r="F105" s="636"/>
      <c r="G105" s="636"/>
      <c r="H105" s="11">
        <f>H95</f>
        <v>0</v>
      </c>
    </row>
    <row r="106" spans="1:11" ht="15" customHeight="1" x14ac:dyDescent="0.25">
      <c r="A106" s="642" t="s">
        <v>464</v>
      </c>
      <c r="B106" s="642"/>
      <c r="C106" s="642"/>
      <c r="D106" s="642"/>
      <c r="E106" s="642"/>
      <c r="F106" s="642"/>
      <c r="G106" s="642"/>
      <c r="H106" s="33">
        <f>SUM(H103:H105)</f>
        <v>0</v>
      </c>
    </row>
    <row r="107" spans="1:11" ht="15" customHeight="1" x14ac:dyDescent="0.25"/>
    <row r="108" spans="1:11" ht="15" customHeight="1" x14ac:dyDescent="0.25"/>
    <row r="109" spans="1:11" ht="15" customHeight="1" x14ac:dyDescent="0.25">
      <c r="A109" s="635" t="s">
        <v>465</v>
      </c>
      <c r="B109" s="635"/>
      <c r="C109" s="635"/>
      <c r="D109" s="635"/>
      <c r="E109" s="635"/>
      <c r="F109" s="635"/>
      <c r="G109" s="635"/>
      <c r="H109" s="635"/>
    </row>
    <row r="110" spans="1:11" ht="15" customHeight="1" x14ac:dyDescent="0.25"/>
    <row r="111" spans="1:11" x14ac:dyDescent="0.25">
      <c r="A111" s="661" t="s">
        <v>466</v>
      </c>
      <c r="B111" s="661"/>
      <c r="C111" s="661"/>
      <c r="D111" s="661"/>
      <c r="E111" s="661"/>
      <c r="F111" s="661"/>
      <c r="G111" s="661"/>
      <c r="H111" s="202">
        <f>(H41+H106)-(SUM(H65:H71))</f>
        <v>0</v>
      </c>
    </row>
    <row r="112" spans="1:11" ht="15.75" customHeight="1" x14ac:dyDescent="0.25">
      <c r="A112" s="661" t="s">
        <v>467</v>
      </c>
      <c r="B112" s="661"/>
      <c r="C112" s="661"/>
      <c r="D112" s="661"/>
      <c r="E112" s="661"/>
      <c r="F112" s="661"/>
      <c r="G112" s="661"/>
      <c r="H112" s="203">
        <f>H41+H106</f>
        <v>0</v>
      </c>
    </row>
    <row r="113" spans="1:9" x14ac:dyDescent="0.25">
      <c r="A113" s="195">
        <v>3</v>
      </c>
      <c r="B113" s="649" t="s">
        <v>403</v>
      </c>
      <c r="C113" s="649"/>
      <c r="D113" s="649"/>
      <c r="E113" s="649"/>
      <c r="F113" s="649"/>
      <c r="G113" s="200" t="s">
        <v>468</v>
      </c>
      <c r="H113" s="201" t="s">
        <v>469</v>
      </c>
    </row>
    <row r="114" spans="1:9" ht="15" customHeight="1" x14ac:dyDescent="0.25">
      <c r="A114" s="10" t="s">
        <v>382</v>
      </c>
      <c r="B114" s="632" t="s">
        <v>470</v>
      </c>
      <c r="C114" s="632"/>
      <c r="D114" s="632"/>
      <c r="E114" s="632"/>
      <c r="F114" s="632"/>
      <c r="G114" s="812">
        <v>0</v>
      </c>
      <c r="H114" s="9">
        <f>H111*G114</f>
        <v>0</v>
      </c>
      <c r="I114" s="193"/>
    </row>
    <row r="115" spans="1:9" x14ac:dyDescent="0.25">
      <c r="A115" s="6" t="s">
        <v>385</v>
      </c>
      <c r="B115" s="636" t="s">
        <v>471</v>
      </c>
      <c r="C115" s="636"/>
      <c r="D115" s="636"/>
      <c r="E115" s="636"/>
      <c r="F115" s="636"/>
      <c r="G115" s="813">
        <v>0</v>
      </c>
      <c r="H115" s="11">
        <f>H114*G115</f>
        <v>0</v>
      </c>
      <c r="I115" s="193"/>
    </row>
    <row r="116" spans="1:9" x14ac:dyDescent="0.25">
      <c r="A116" s="53" t="s">
        <v>387</v>
      </c>
      <c r="B116" s="662" t="s">
        <v>472</v>
      </c>
      <c r="C116" s="636"/>
      <c r="D116" s="636"/>
      <c r="E116" s="636"/>
      <c r="F116" s="636"/>
      <c r="G116" s="813">
        <v>0</v>
      </c>
      <c r="H116" s="11">
        <f>H114*G116</f>
        <v>0</v>
      </c>
      <c r="I116" s="193"/>
    </row>
    <row r="117" spans="1:9" x14ac:dyDescent="0.25">
      <c r="A117" s="43" t="s">
        <v>389</v>
      </c>
      <c r="B117" s="636" t="s">
        <v>473</v>
      </c>
      <c r="C117" s="636"/>
      <c r="D117" s="636"/>
      <c r="E117" s="636"/>
      <c r="F117" s="636"/>
      <c r="G117" s="813">
        <v>0</v>
      </c>
      <c r="H117" s="11">
        <f>H112*G117</f>
        <v>0</v>
      </c>
      <c r="I117" s="193"/>
    </row>
    <row r="118" spans="1:9" x14ac:dyDescent="0.25">
      <c r="A118" s="53" t="s">
        <v>391</v>
      </c>
      <c r="B118" s="636" t="s">
        <v>474</v>
      </c>
      <c r="C118" s="636"/>
      <c r="D118" s="636"/>
      <c r="E118" s="636"/>
      <c r="F118" s="636"/>
      <c r="G118" s="813">
        <f>G73</f>
        <v>0</v>
      </c>
      <c r="H118" s="11">
        <f>G118*H117</f>
        <v>0</v>
      </c>
      <c r="I118" s="193"/>
    </row>
    <row r="119" spans="1:9" x14ac:dyDescent="0.25">
      <c r="A119" s="43" t="s">
        <v>393</v>
      </c>
      <c r="B119" s="660" t="s">
        <v>475</v>
      </c>
      <c r="C119" s="641"/>
      <c r="D119" s="641"/>
      <c r="E119" s="641"/>
      <c r="F119" s="641"/>
      <c r="G119" s="813">
        <v>0</v>
      </c>
      <c r="H119" s="11">
        <f>G119*H117</f>
        <v>0</v>
      </c>
      <c r="I119" s="193"/>
    </row>
    <row r="120" spans="1:9" x14ac:dyDescent="0.25">
      <c r="A120" s="663" t="s">
        <v>195</v>
      </c>
      <c r="B120" s="664"/>
      <c r="C120" s="664"/>
      <c r="D120" s="664"/>
      <c r="E120" s="664"/>
      <c r="F120" s="665"/>
      <c r="G120" s="194">
        <f>SUM(G114:G119)</f>
        <v>0</v>
      </c>
      <c r="H120" s="33">
        <f>SUM(H114:H119)</f>
        <v>0</v>
      </c>
      <c r="I120" s="193"/>
    </row>
    <row r="121" spans="1:9" ht="15" customHeight="1" x14ac:dyDescent="0.25">
      <c r="A121" s="621" t="s">
        <v>372</v>
      </c>
      <c r="B121" s="622"/>
      <c r="C121" s="622"/>
      <c r="D121" s="622"/>
      <c r="E121" s="622"/>
      <c r="F121" s="622"/>
      <c r="G121" s="622"/>
      <c r="H121" s="622"/>
    </row>
    <row r="122" spans="1:9" ht="30" customHeight="1" x14ac:dyDescent="0.25">
      <c r="A122" s="625" t="s">
        <v>476</v>
      </c>
      <c r="B122" s="626"/>
      <c r="C122" s="626"/>
      <c r="D122" s="626"/>
      <c r="E122" s="626"/>
      <c r="F122" s="626"/>
      <c r="G122" s="626"/>
      <c r="H122" s="626"/>
    </row>
    <row r="123" spans="1:9" ht="45" customHeight="1" x14ac:dyDescent="0.25">
      <c r="A123" s="625" t="s">
        <v>477</v>
      </c>
      <c r="B123" s="626"/>
      <c r="C123" s="626"/>
      <c r="D123" s="626"/>
      <c r="E123" s="626"/>
      <c r="F123" s="626"/>
      <c r="G123" s="626"/>
      <c r="H123" s="626"/>
    </row>
    <row r="124" spans="1:9" ht="30" customHeight="1" x14ac:dyDescent="0.25">
      <c r="A124" s="625" t="s">
        <v>478</v>
      </c>
      <c r="B124" s="626"/>
      <c r="C124" s="626"/>
      <c r="D124" s="626"/>
      <c r="E124" s="626"/>
      <c r="F124" s="626"/>
      <c r="G124" s="626"/>
      <c r="H124" s="626"/>
    </row>
    <row r="125" spans="1:9" ht="14.25" customHeight="1" x14ac:dyDescent="0.25"/>
    <row r="126" spans="1:9" ht="14.25" customHeight="1" x14ac:dyDescent="0.25"/>
    <row r="127" spans="1:9" x14ac:dyDescent="0.25">
      <c r="A127" s="635" t="s">
        <v>479</v>
      </c>
      <c r="B127" s="635"/>
      <c r="C127" s="635"/>
      <c r="D127" s="635"/>
      <c r="E127" s="635"/>
      <c r="F127" s="635"/>
      <c r="G127" s="635"/>
      <c r="H127" s="635"/>
    </row>
    <row r="128" spans="1:9" ht="16.5" customHeight="1" x14ac:dyDescent="0.25">
      <c r="A128" s="621" t="s">
        <v>372</v>
      </c>
      <c r="B128" s="622"/>
      <c r="C128" s="622"/>
      <c r="D128" s="622"/>
      <c r="E128" s="622"/>
      <c r="F128" s="622"/>
      <c r="G128" s="622"/>
      <c r="H128" s="622"/>
    </row>
    <row r="129" spans="1:10" ht="30" customHeight="1" x14ac:dyDescent="0.25">
      <c r="A129" s="625" t="s">
        <v>480</v>
      </c>
      <c r="B129" s="626"/>
      <c r="C129" s="626"/>
      <c r="D129" s="626"/>
      <c r="E129" s="626"/>
      <c r="F129" s="626"/>
      <c r="G129" s="626"/>
      <c r="H129" s="626"/>
    </row>
    <row r="130" spans="1:10" ht="15.75" x14ac:dyDescent="0.25">
      <c r="A130" s="19"/>
      <c r="B130" s="19"/>
      <c r="C130" s="19"/>
      <c r="D130" s="19"/>
      <c r="E130" s="19"/>
      <c r="F130" s="19"/>
      <c r="G130" s="19"/>
      <c r="H130" s="19"/>
    </row>
    <row r="131" spans="1:10" x14ac:dyDescent="0.25">
      <c r="A131" s="643" t="s">
        <v>481</v>
      </c>
      <c r="B131" s="643"/>
      <c r="C131" s="643"/>
      <c r="D131" s="643"/>
      <c r="E131" s="643"/>
      <c r="F131" s="643"/>
      <c r="G131" s="643"/>
      <c r="H131" s="643"/>
    </row>
    <row r="132" spans="1:10" x14ac:dyDescent="0.25">
      <c r="A132" s="182"/>
      <c r="B132" s="182"/>
      <c r="C132" s="182"/>
      <c r="D132" s="182"/>
      <c r="E132" s="182"/>
      <c r="F132" s="182"/>
      <c r="G132" s="182"/>
      <c r="H132" s="182"/>
    </row>
    <row r="133" spans="1:10" ht="16.5" customHeight="1" x14ac:dyDescent="0.25">
      <c r="A133" s="658" t="s">
        <v>482</v>
      </c>
      <c r="B133" s="658"/>
      <c r="C133" s="658"/>
      <c r="D133" s="658"/>
      <c r="E133" s="658"/>
      <c r="F133" s="658"/>
      <c r="G133" s="658"/>
      <c r="H133" s="205">
        <f>H41+H106+H120</f>
        <v>0</v>
      </c>
    </row>
    <row r="134" spans="1:10" x14ac:dyDescent="0.25">
      <c r="A134" s="195" t="s">
        <v>483</v>
      </c>
      <c r="B134" s="649" t="s">
        <v>403</v>
      </c>
      <c r="C134" s="649"/>
      <c r="D134" s="649"/>
      <c r="E134" s="649"/>
      <c r="F134" s="649"/>
      <c r="G134" s="200" t="s">
        <v>468</v>
      </c>
      <c r="H134" s="201" t="s">
        <v>469</v>
      </c>
      <c r="I134" s="4"/>
    </row>
    <row r="135" spans="1:10" ht="15" customHeight="1" x14ac:dyDescent="0.25">
      <c r="A135" s="10" t="s">
        <v>382</v>
      </c>
      <c r="B135" s="650" t="s">
        <v>484</v>
      </c>
      <c r="C135" s="650"/>
      <c r="D135" s="650"/>
      <c r="E135" s="650"/>
      <c r="F135" s="650"/>
      <c r="G135" s="814">
        <v>0</v>
      </c>
      <c r="H135" s="28">
        <f>$H$133*G135</f>
        <v>0</v>
      </c>
      <c r="I135" s="4"/>
    </row>
    <row r="136" spans="1:10" x14ac:dyDescent="0.25">
      <c r="A136" s="10" t="s">
        <v>385</v>
      </c>
      <c r="B136" s="650" t="s">
        <v>485</v>
      </c>
      <c r="C136" s="650"/>
      <c r="D136" s="650"/>
      <c r="E136" s="650"/>
      <c r="F136" s="650"/>
      <c r="G136" s="814">
        <v>0</v>
      </c>
      <c r="H136" s="28">
        <f t="shared" ref="H136:H141" si="1">$H$133*G136</f>
        <v>0</v>
      </c>
      <c r="I136" s="4"/>
      <c r="J136" s="210"/>
    </row>
    <row r="137" spans="1:10" ht="15" customHeight="1" x14ac:dyDescent="0.25">
      <c r="A137" s="10" t="s">
        <v>387</v>
      </c>
      <c r="B137" s="651" t="s">
        <v>486</v>
      </c>
      <c r="C137" s="652"/>
      <c r="D137" s="652"/>
      <c r="E137" s="652"/>
      <c r="F137" s="653"/>
      <c r="G137" s="814">
        <v>0</v>
      </c>
      <c r="H137" s="28">
        <f t="shared" si="1"/>
        <v>0</v>
      </c>
      <c r="I137" s="4"/>
    </row>
    <row r="138" spans="1:10" ht="14.25" customHeight="1" x14ac:dyDescent="0.25">
      <c r="A138" s="10" t="s">
        <v>389</v>
      </c>
      <c r="B138" s="650" t="s">
        <v>487</v>
      </c>
      <c r="C138" s="650"/>
      <c r="D138" s="650"/>
      <c r="E138" s="650"/>
      <c r="F138" s="650"/>
      <c r="G138" s="814">
        <v>0</v>
      </c>
      <c r="H138" s="28">
        <f t="shared" si="1"/>
        <v>0</v>
      </c>
      <c r="I138" s="4"/>
    </row>
    <row r="139" spans="1:10" x14ac:dyDescent="0.25">
      <c r="A139" s="10" t="s">
        <v>391</v>
      </c>
      <c r="B139" s="651" t="s">
        <v>488</v>
      </c>
      <c r="C139" s="652"/>
      <c r="D139" s="652"/>
      <c r="E139" s="652"/>
      <c r="F139" s="653"/>
      <c r="G139" s="814">
        <v>0</v>
      </c>
      <c r="H139" s="28">
        <f t="shared" si="1"/>
        <v>0</v>
      </c>
      <c r="I139" s="45"/>
      <c r="J139" s="209"/>
    </row>
    <row r="140" spans="1:10" ht="15.75" customHeight="1" x14ac:dyDescent="0.25">
      <c r="A140" s="6" t="s">
        <v>393</v>
      </c>
      <c r="B140" s="655" t="s">
        <v>489</v>
      </c>
      <c r="C140" s="656"/>
      <c r="D140" s="656"/>
      <c r="E140" s="656"/>
      <c r="F140" s="657"/>
      <c r="G140" s="814">
        <v>0</v>
      </c>
      <c r="H140" s="28">
        <f t="shared" si="1"/>
        <v>0</v>
      </c>
      <c r="I140" s="4"/>
    </row>
    <row r="141" spans="1:10" x14ac:dyDescent="0.25">
      <c r="A141" s="6" t="s">
        <v>419</v>
      </c>
      <c r="B141" s="816" t="s">
        <v>490</v>
      </c>
      <c r="C141" s="816"/>
      <c r="D141" s="816"/>
      <c r="E141" s="816"/>
      <c r="F141" s="816"/>
      <c r="G141" s="815"/>
      <c r="H141" s="11">
        <f t="shared" si="1"/>
        <v>0</v>
      </c>
      <c r="I141" s="4"/>
    </row>
    <row r="142" spans="1:10" x14ac:dyDescent="0.25">
      <c r="A142" s="659" t="s">
        <v>491</v>
      </c>
      <c r="B142" s="659" t="s">
        <v>424</v>
      </c>
      <c r="C142" s="659"/>
      <c r="D142" s="659"/>
      <c r="E142" s="659"/>
      <c r="F142" s="659"/>
      <c r="G142" s="20"/>
      <c r="H142" s="32">
        <f>H135+H136+H137+H138+H139+H140+H141</f>
        <v>0</v>
      </c>
      <c r="I142" s="4"/>
    </row>
    <row r="143" spans="1:10" ht="15.75" customHeight="1" x14ac:dyDescent="0.25">
      <c r="A143" s="621" t="s">
        <v>372</v>
      </c>
      <c r="B143" s="622"/>
      <c r="C143" s="622"/>
      <c r="D143" s="622"/>
      <c r="E143" s="622"/>
      <c r="F143" s="622"/>
      <c r="G143" s="622"/>
      <c r="H143" s="622"/>
    </row>
    <row r="144" spans="1:10" x14ac:dyDescent="0.25">
      <c r="A144" s="625" t="s">
        <v>492</v>
      </c>
      <c r="B144" s="626"/>
      <c r="C144" s="626"/>
      <c r="D144" s="626"/>
      <c r="E144" s="626"/>
      <c r="F144" s="626"/>
      <c r="G144" s="626"/>
      <c r="H144" s="626"/>
    </row>
    <row r="145" spans="1:11" ht="86.25" customHeight="1" x14ac:dyDescent="0.25">
      <c r="A145" s="625" t="s">
        <v>493</v>
      </c>
      <c r="B145" s="626"/>
      <c r="C145" s="626"/>
      <c r="D145" s="626"/>
      <c r="E145" s="626"/>
      <c r="F145" s="626"/>
      <c r="G145" s="626"/>
      <c r="H145" s="626"/>
      <c r="J145" s="208"/>
      <c r="K145" s="209"/>
    </row>
    <row r="146" spans="1:11" ht="37.5" customHeight="1" x14ac:dyDescent="0.25">
      <c r="A146" s="625" t="s">
        <v>494</v>
      </c>
      <c r="B146" s="626"/>
      <c r="C146" s="626"/>
      <c r="D146" s="626"/>
      <c r="E146" s="626"/>
      <c r="F146" s="626"/>
      <c r="G146" s="626"/>
      <c r="H146" s="626"/>
    </row>
    <row r="147" spans="1:11" ht="37.5" customHeight="1" x14ac:dyDescent="0.25">
      <c r="A147" s="625" t="s">
        <v>495</v>
      </c>
      <c r="B147" s="626"/>
      <c r="C147" s="626"/>
      <c r="D147" s="626"/>
      <c r="E147" s="626"/>
      <c r="F147" s="626"/>
      <c r="G147" s="626"/>
      <c r="H147" s="626"/>
    </row>
    <row r="148" spans="1:11" ht="37.5" customHeight="1" x14ac:dyDescent="0.25">
      <c r="A148" s="625" t="s">
        <v>496</v>
      </c>
      <c r="B148" s="626"/>
      <c r="C148" s="626"/>
      <c r="D148" s="626"/>
      <c r="E148" s="626"/>
      <c r="F148" s="626"/>
      <c r="G148" s="626"/>
      <c r="H148" s="626"/>
    </row>
    <row r="150" spans="1:11" x14ac:dyDescent="0.25">
      <c r="A150" s="644" t="s">
        <v>497</v>
      </c>
      <c r="B150" s="644"/>
      <c r="C150" s="644"/>
      <c r="D150" s="644"/>
      <c r="E150" s="644"/>
      <c r="F150" s="644"/>
      <c r="G150" s="644"/>
      <c r="H150" s="644"/>
    </row>
    <row r="151" spans="1:11" ht="15" customHeight="1" x14ac:dyDescent="0.25">
      <c r="A151" s="38" t="s">
        <v>498</v>
      </c>
      <c r="B151" s="600" t="s">
        <v>403</v>
      </c>
      <c r="C151" s="601"/>
      <c r="D151" s="601"/>
      <c r="E151" s="601"/>
      <c r="F151" s="601"/>
      <c r="G151" s="602"/>
      <c r="H151" s="18" t="s">
        <v>469</v>
      </c>
    </row>
    <row r="152" spans="1:11" ht="15" customHeight="1" x14ac:dyDescent="0.25">
      <c r="A152" s="10" t="s">
        <v>382</v>
      </c>
      <c r="B152" s="603" t="s">
        <v>499</v>
      </c>
      <c r="C152" s="604"/>
      <c r="D152" s="604"/>
      <c r="E152" s="604"/>
      <c r="F152" s="604"/>
      <c r="G152" s="605"/>
      <c r="H152" s="11">
        <f>G152*H41</f>
        <v>0</v>
      </c>
      <c r="J152" s="15"/>
      <c r="K152" s="15"/>
    </row>
    <row r="153" spans="1:11" x14ac:dyDescent="0.25">
      <c r="A153" s="615" t="s">
        <v>500</v>
      </c>
      <c r="B153" s="616"/>
      <c r="C153" s="616"/>
      <c r="D153" s="616"/>
      <c r="E153" s="616"/>
      <c r="F153" s="616"/>
      <c r="G153" s="617"/>
      <c r="H153" s="32">
        <f>SUM(H152)</f>
        <v>0</v>
      </c>
      <c r="J153" s="15"/>
    </row>
    <row r="154" spans="1:11" x14ac:dyDescent="0.25">
      <c r="J154" s="15"/>
    </row>
    <row r="155" spans="1:11" x14ac:dyDescent="0.25">
      <c r="J155" s="15"/>
    </row>
    <row r="156" spans="1:11" ht="18" customHeight="1" x14ac:dyDescent="0.25">
      <c r="A156" s="645" t="s">
        <v>501</v>
      </c>
      <c r="B156" s="646"/>
      <c r="C156" s="646"/>
      <c r="D156" s="646"/>
      <c r="E156" s="646"/>
      <c r="F156" s="646"/>
      <c r="G156" s="646"/>
      <c r="H156" s="647"/>
      <c r="J156" s="15"/>
    </row>
    <row r="157" spans="1:11" ht="15.95" customHeight="1" x14ac:dyDescent="0.25">
      <c r="A157" s="38"/>
      <c r="B157" s="648" t="s">
        <v>403</v>
      </c>
      <c r="C157" s="648"/>
      <c r="D157" s="648"/>
      <c r="E157" s="648"/>
      <c r="F157" s="648"/>
      <c r="G157" s="648"/>
      <c r="H157" s="5" t="s">
        <v>460</v>
      </c>
    </row>
    <row r="158" spans="1:11" x14ac:dyDescent="0.25">
      <c r="A158" s="6" t="s">
        <v>483</v>
      </c>
      <c r="B158" s="636" t="s">
        <v>502</v>
      </c>
      <c r="C158" s="636"/>
      <c r="D158" s="636"/>
      <c r="E158" s="636"/>
      <c r="F158" s="636"/>
      <c r="G158" s="636"/>
      <c r="H158" s="11">
        <f>H142</f>
        <v>0</v>
      </c>
    </row>
    <row r="159" spans="1:11" x14ac:dyDescent="0.25">
      <c r="A159" s="6" t="s">
        <v>498</v>
      </c>
      <c r="B159" s="641" t="s">
        <v>499</v>
      </c>
      <c r="C159" s="641"/>
      <c r="D159" s="641"/>
      <c r="E159" s="641"/>
      <c r="F159" s="641"/>
      <c r="G159" s="641"/>
      <c r="H159" s="11">
        <f>H153</f>
        <v>0</v>
      </c>
    </row>
    <row r="160" spans="1:11" x14ac:dyDescent="0.25">
      <c r="A160" s="642" t="s">
        <v>503</v>
      </c>
      <c r="B160" s="642"/>
      <c r="C160" s="642"/>
      <c r="D160" s="642"/>
      <c r="E160" s="642"/>
      <c r="F160" s="642"/>
      <c r="G160" s="642"/>
      <c r="H160" s="33">
        <f>SUM(H158:H159)</f>
        <v>0</v>
      </c>
    </row>
    <row r="161" spans="1:10" ht="15.75" customHeight="1" x14ac:dyDescent="0.25"/>
    <row r="162" spans="1:10" ht="15.75" customHeight="1" x14ac:dyDescent="0.25"/>
    <row r="163" spans="1:10" ht="15.75" customHeight="1" x14ac:dyDescent="0.25">
      <c r="A163" s="635" t="s">
        <v>504</v>
      </c>
      <c r="B163" s="635"/>
      <c r="C163" s="635"/>
      <c r="D163" s="635"/>
      <c r="E163" s="635"/>
      <c r="F163" s="635"/>
      <c r="G163" s="635"/>
      <c r="H163" s="635"/>
    </row>
    <row r="164" spans="1:10" ht="15" customHeight="1" x14ac:dyDescent="0.25"/>
    <row r="165" spans="1:10" ht="15" customHeight="1" x14ac:dyDescent="0.25">
      <c r="A165" s="38">
        <v>5</v>
      </c>
      <c r="B165" s="600" t="s">
        <v>403</v>
      </c>
      <c r="C165" s="601"/>
      <c r="D165" s="601"/>
      <c r="E165" s="601"/>
      <c r="F165" s="601"/>
      <c r="G165" s="602"/>
      <c r="H165" s="18" t="s">
        <v>460</v>
      </c>
    </row>
    <row r="166" spans="1:10" ht="15" customHeight="1" x14ac:dyDescent="0.25">
      <c r="A166" s="10" t="s">
        <v>382</v>
      </c>
      <c r="B166" s="606" t="s">
        <v>505</v>
      </c>
      <c r="C166" s="607"/>
      <c r="D166" s="607"/>
      <c r="E166" s="607"/>
      <c r="F166" s="607"/>
      <c r="G166" s="608"/>
      <c r="H166" s="9">
        <f>Uniforme!M29</f>
        <v>0</v>
      </c>
    </row>
    <row r="167" spans="1:10" ht="15" customHeight="1" x14ac:dyDescent="0.25">
      <c r="A167" s="6" t="s">
        <v>385</v>
      </c>
      <c r="B167" s="609" t="s">
        <v>506</v>
      </c>
      <c r="C167" s="610"/>
      <c r="D167" s="610"/>
      <c r="E167" s="610"/>
      <c r="F167" s="610"/>
      <c r="G167" s="611"/>
      <c r="H167" s="21" t="e">
        <f>'Mat Limpeza'!H85</f>
        <v>#DIV/0!</v>
      </c>
      <c r="J167" s="15"/>
    </row>
    <row r="168" spans="1:10" ht="15" customHeight="1" x14ac:dyDescent="0.25">
      <c r="A168" s="6" t="s">
        <v>387</v>
      </c>
      <c r="B168" s="609" t="s">
        <v>507</v>
      </c>
      <c r="C168" s="610"/>
      <c r="D168" s="610"/>
      <c r="E168" s="610"/>
      <c r="F168" s="610"/>
      <c r="G168" s="611"/>
      <c r="H168" s="21" t="e">
        <f>Equipamentos!I30</f>
        <v>#DIV/0!</v>
      </c>
      <c r="J168" s="15"/>
    </row>
    <row r="169" spans="1:10" ht="15" customHeight="1" x14ac:dyDescent="0.25">
      <c r="A169" s="43" t="s">
        <v>389</v>
      </c>
      <c r="B169" s="612" t="s">
        <v>508</v>
      </c>
      <c r="C169" s="613"/>
      <c r="D169" s="613"/>
      <c r="E169" s="613"/>
      <c r="F169" s="613"/>
      <c r="G169" s="614"/>
      <c r="H169" s="21">
        <f>'EPI''s e EPC''s'!M37</f>
        <v>0</v>
      </c>
    </row>
    <row r="170" spans="1:10" ht="15" customHeight="1" x14ac:dyDescent="0.25">
      <c r="A170" s="43" t="s">
        <v>391</v>
      </c>
      <c r="B170" s="817" t="s">
        <v>509</v>
      </c>
      <c r="C170" s="818"/>
      <c r="D170" s="818"/>
      <c r="E170" s="818"/>
      <c r="F170" s="818"/>
      <c r="G170" s="819"/>
      <c r="H170" s="810">
        <v>0</v>
      </c>
      <c r="I170" s="23"/>
    </row>
    <row r="171" spans="1:10" ht="15" customHeight="1" x14ac:dyDescent="0.25">
      <c r="A171" s="642" t="s">
        <v>510</v>
      </c>
      <c r="B171" s="642"/>
      <c r="C171" s="642"/>
      <c r="D171" s="642"/>
      <c r="E171" s="642"/>
      <c r="F171" s="642"/>
      <c r="G171" s="642"/>
      <c r="H171" s="33" t="e">
        <f>SUM(H166:H170)</f>
        <v>#DIV/0!</v>
      </c>
    </row>
    <row r="172" spans="1:10" ht="15" customHeight="1" x14ac:dyDescent="0.25">
      <c r="A172" s="621" t="s">
        <v>372</v>
      </c>
      <c r="B172" s="622"/>
      <c r="C172" s="622"/>
      <c r="D172" s="622"/>
      <c r="E172" s="622"/>
      <c r="F172" s="622"/>
      <c r="G172" s="622"/>
      <c r="H172" s="622"/>
    </row>
    <row r="173" spans="1:10" ht="30" customHeight="1" x14ac:dyDescent="0.25">
      <c r="A173" s="625" t="s">
        <v>511</v>
      </c>
      <c r="B173" s="626"/>
      <c r="C173" s="626"/>
      <c r="D173" s="626"/>
      <c r="E173" s="626"/>
      <c r="F173" s="626"/>
      <c r="G173" s="626"/>
      <c r="H173" s="626"/>
    </row>
    <row r="174" spans="1:10" x14ac:dyDescent="0.25">
      <c r="A174" s="625" t="s">
        <v>512</v>
      </c>
      <c r="B174" s="626"/>
      <c r="C174" s="626"/>
      <c r="D174" s="626"/>
      <c r="E174" s="626"/>
      <c r="F174" s="626"/>
      <c r="G174" s="626"/>
      <c r="H174" s="626"/>
    </row>
    <row r="175" spans="1:10" ht="30" customHeight="1" x14ac:dyDescent="0.25">
      <c r="A175" s="625" t="s">
        <v>513</v>
      </c>
      <c r="B175" s="626"/>
      <c r="C175" s="626"/>
      <c r="D175" s="626"/>
      <c r="E175" s="626"/>
      <c r="F175" s="626"/>
      <c r="G175" s="626"/>
      <c r="H175" s="626"/>
    </row>
    <row r="176" spans="1:10" ht="15" customHeight="1" x14ac:dyDescent="0.25">
      <c r="A176" s="35"/>
      <c r="B176" s="35"/>
      <c r="C176" s="35"/>
      <c r="D176" s="35"/>
      <c r="E176" s="35"/>
      <c r="F176" s="35"/>
      <c r="G176" s="35"/>
      <c r="H176" s="22"/>
    </row>
    <row r="177" spans="1:11" ht="15" customHeight="1" x14ac:dyDescent="0.25">
      <c r="A177" s="35"/>
      <c r="B177" s="35"/>
      <c r="C177" s="35"/>
      <c r="D177" s="35"/>
      <c r="E177" s="35"/>
      <c r="F177" s="35"/>
      <c r="G177" s="35"/>
      <c r="H177" s="22"/>
      <c r="J177" s="24"/>
      <c r="K177" s="24"/>
    </row>
    <row r="178" spans="1:11" ht="15.75" customHeight="1" x14ac:dyDescent="0.25">
      <c r="A178" s="635" t="s">
        <v>514</v>
      </c>
      <c r="B178" s="635"/>
      <c r="C178" s="635"/>
      <c r="D178" s="635"/>
      <c r="E178" s="635"/>
      <c r="F178" s="635"/>
      <c r="G178" s="635"/>
      <c r="H178" s="635"/>
      <c r="I178" s="24"/>
      <c r="J178" s="24"/>
      <c r="K178" s="24"/>
    </row>
    <row r="179" spans="1:11" ht="15.75" customHeight="1" x14ac:dyDescent="0.25">
      <c r="A179" s="179"/>
      <c r="B179" s="179"/>
      <c r="C179" s="179"/>
      <c r="D179" s="179"/>
      <c r="E179" s="179"/>
      <c r="F179" s="179"/>
      <c r="G179" s="179"/>
      <c r="H179" s="179"/>
      <c r="I179" s="24"/>
      <c r="J179" s="24"/>
      <c r="K179" s="24"/>
    </row>
    <row r="180" spans="1:11" ht="15.75" customHeight="1" x14ac:dyDescent="0.25">
      <c r="A180" s="631" t="s">
        <v>515</v>
      </c>
      <c r="B180" s="631"/>
      <c r="C180" s="631"/>
      <c r="D180" s="631"/>
      <c r="E180" s="631"/>
      <c r="F180" s="631"/>
      <c r="G180" s="631"/>
      <c r="H180" s="213" t="e">
        <f>SUM(H41,H106,H120,H160,H171)</f>
        <v>#DIV/0!</v>
      </c>
      <c r="I180" s="24"/>
    </row>
    <row r="181" spans="1:11" ht="15.75" customHeight="1" x14ac:dyDescent="0.25">
      <c r="A181" s="631" t="s">
        <v>516</v>
      </c>
      <c r="B181" s="631"/>
      <c r="C181" s="631"/>
      <c r="D181" s="631"/>
      <c r="E181" s="631"/>
      <c r="F181" s="631"/>
      <c r="G181" s="631"/>
      <c r="H181" s="213" t="e">
        <f>H180+H184</f>
        <v>#DIV/0!</v>
      </c>
      <c r="I181" s="24"/>
    </row>
    <row r="182" spans="1:11" x14ac:dyDescent="0.25">
      <c r="A182" s="631" t="s">
        <v>517</v>
      </c>
      <c r="B182" s="631"/>
      <c r="C182" s="631"/>
      <c r="D182" s="631"/>
      <c r="E182" s="631"/>
      <c r="F182" s="631"/>
      <c r="G182" s="631"/>
      <c r="H182" s="214" t="e">
        <f>(H181+H185)/(1-G186)</f>
        <v>#DIV/0!</v>
      </c>
      <c r="I182" s="24"/>
    </row>
    <row r="183" spans="1:11" ht="15.75" customHeight="1" x14ac:dyDescent="0.25">
      <c r="A183" s="633" t="s">
        <v>403</v>
      </c>
      <c r="B183" s="633"/>
      <c r="C183" s="633"/>
      <c r="D183" s="633"/>
      <c r="E183" s="633"/>
      <c r="F183" s="633"/>
      <c r="G183" s="25" t="s">
        <v>468</v>
      </c>
      <c r="H183" s="211" t="s">
        <v>469</v>
      </c>
      <c r="I183" s="24"/>
      <c r="J183" s="29"/>
    </row>
    <row r="184" spans="1:11" ht="15.75" customHeight="1" x14ac:dyDescent="0.25">
      <c r="A184" s="40" t="s">
        <v>382</v>
      </c>
      <c r="B184" s="632" t="s">
        <v>518</v>
      </c>
      <c r="C184" s="632"/>
      <c r="D184" s="632"/>
      <c r="E184" s="632"/>
      <c r="F184" s="632"/>
      <c r="G184" s="820">
        <v>0</v>
      </c>
      <c r="H184" s="221" t="e">
        <f>H180*G184</f>
        <v>#DIV/0!</v>
      </c>
      <c r="I184" s="24"/>
    </row>
    <row r="185" spans="1:11" x14ac:dyDescent="0.25">
      <c r="A185" s="40" t="s">
        <v>385</v>
      </c>
      <c r="B185" s="632" t="s">
        <v>519</v>
      </c>
      <c r="C185" s="632"/>
      <c r="D185" s="632"/>
      <c r="E185" s="632"/>
      <c r="F185" s="632"/>
      <c r="G185" s="820">
        <v>0</v>
      </c>
      <c r="H185" s="221" t="e">
        <f>H181*G185</f>
        <v>#DIV/0!</v>
      </c>
      <c r="I185" s="24"/>
    </row>
    <row r="186" spans="1:11" x14ac:dyDescent="0.25">
      <c r="A186" s="27" t="s">
        <v>387</v>
      </c>
      <c r="B186" s="634" t="s">
        <v>520</v>
      </c>
      <c r="C186" s="634"/>
      <c r="D186" s="634"/>
      <c r="E186" s="634"/>
      <c r="F186" s="634"/>
      <c r="G186" s="821">
        <f>SUM(G187:G192)</f>
        <v>0</v>
      </c>
      <c r="H186" s="26"/>
      <c r="I186" s="15"/>
    </row>
    <row r="187" spans="1:11" x14ac:dyDescent="0.25">
      <c r="A187" s="684" t="s">
        <v>521</v>
      </c>
      <c r="B187" s="634" t="s">
        <v>522</v>
      </c>
      <c r="C187" s="634"/>
      <c r="D187" s="634"/>
      <c r="E187" s="634"/>
      <c r="F187" s="634"/>
      <c r="G187" s="821"/>
      <c r="H187" s="28"/>
    </row>
    <row r="188" spans="1:11" x14ac:dyDescent="0.25">
      <c r="A188" s="684"/>
      <c r="B188" s="39"/>
      <c r="C188" s="655" t="s">
        <v>523</v>
      </c>
      <c r="D188" s="656"/>
      <c r="E188" s="656"/>
      <c r="F188" s="657"/>
      <c r="G188" s="821">
        <v>0</v>
      </c>
      <c r="H188" s="26" t="e">
        <f>$H$182*G188</f>
        <v>#DIV/0!</v>
      </c>
      <c r="I188" s="15"/>
    </row>
    <row r="189" spans="1:11" x14ac:dyDescent="0.25">
      <c r="A189" s="684"/>
      <c r="B189" s="39"/>
      <c r="C189" s="655" t="s">
        <v>524</v>
      </c>
      <c r="D189" s="656"/>
      <c r="E189" s="656"/>
      <c r="F189" s="657"/>
      <c r="G189" s="821">
        <v>0</v>
      </c>
      <c r="H189" s="26" t="e">
        <f t="shared" ref="H189:H192" si="2">$H$182*G189</f>
        <v>#DIV/0!</v>
      </c>
      <c r="I189" s="15"/>
    </row>
    <row r="190" spans="1:11" x14ac:dyDescent="0.25">
      <c r="A190" s="684"/>
      <c r="B190" s="807" t="s">
        <v>525</v>
      </c>
      <c r="C190" s="807"/>
      <c r="D190" s="807"/>
      <c r="E190" s="807"/>
      <c r="F190" s="807"/>
      <c r="G190" s="821">
        <v>0</v>
      </c>
      <c r="H190" s="26" t="e">
        <f t="shared" si="2"/>
        <v>#DIV/0!</v>
      </c>
      <c r="I190" s="15"/>
    </row>
    <row r="191" spans="1:11" x14ac:dyDescent="0.25">
      <c r="A191" s="684"/>
      <c r="B191" s="650" t="s">
        <v>526</v>
      </c>
      <c r="C191" s="650"/>
      <c r="D191" s="650"/>
      <c r="E191" s="650"/>
      <c r="F191" s="650"/>
      <c r="G191" s="821">
        <v>0</v>
      </c>
      <c r="H191" s="26" t="e">
        <f t="shared" si="2"/>
        <v>#DIV/0!</v>
      </c>
      <c r="I191" s="15"/>
    </row>
    <row r="192" spans="1:11" x14ac:dyDescent="0.25">
      <c r="A192" s="684"/>
      <c r="B192" s="807" t="s">
        <v>527</v>
      </c>
      <c r="C192" s="807"/>
      <c r="D192" s="807"/>
      <c r="E192" s="807"/>
      <c r="F192" s="807"/>
      <c r="G192" s="821">
        <v>0</v>
      </c>
      <c r="H192" s="26" t="e">
        <f t="shared" si="2"/>
        <v>#DIV/0!</v>
      </c>
      <c r="I192" s="15"/>
    </row>
    <row r="193" spans="1:8" x14ac:dyDescent="0.25">
      <c r="A193" s="642" t="s">
        <v>528</v>
      </c>
      <c r="B193" s="642"/>
      <c r="C193" s="642"/>
      <c r="D193" s="642"/>
      <c r="E193" s="642"/>
      <c r="F193" s="642"/>
      <c r="G193" s="642"/>
      <c r="H193" s="33" t="e">
        <f>SUM(H184:H192)</f>
        <v>#DIV/0!</v>
      </c>
    </row>
    <row r="194" spans="1:8" ht="15.75" customHeight="1" x14ac:dyDescent="0.25">
      <c r="A194" s="621" t="s">
        <v>372</v>
      </c>
      <c r="B194" s="622"/>
      <c r="C194" s="622"/>
      <c r="D194" s="622"/>
      <c r="E194" s="622"/>
      <c r="F194" s="622"/>
      <c r="G194" s="622"/>
      <c r="H194" s="622"/>
    </row>
    <row r="195" spans="1:8" ht="48.75" customHeight="1" x14ac:dyDescent="0.25">
      <c r="A195" s="623" t="s">
        <v>529</v>
      </c>
      <c r="B195" s="624"/>
      <c r="C195" s="624"/>
      <c r="D195" s="624"/>
      <c r="E195" s="624"/>
      <c r="F195" s="624"/>
      <c r="G195" s="624"/>
      <c r="H195" s="624"/>
    </row>
    <row r="196" spans="1:8" x14ac:dyDescent="0.25">
      <c r="A196" s="625" t="s">
        <v>530</v>
      </c>
      <c r="B196" s="626"/>
      <c r="C196" s="626"/>
      <c r="D196" s="626"/>
      <c r="E196" s="626"/>
      <c r="F196" s="626"/>
      <c r="G196" s="626"/>
      <c r="H196" s="626"/>
    </row>
    <row r="197" spans="1:8" x14ac:dyDescent="0.25">
      <c r="A197" s="625"/>
      <c r="B197" s="626"/>
      <c r="C197" s="626"/>
      <c r="D197" s="626"/>
      <c r="E197" s="626"/>
      <c r="F197" s="626"/>
      <c r="G197" s="626"/>
      <c r="H197" s="626"/>
    </row>
    <row r="198" spans="1:8" x14ac:dyDescent="0.25">
      <c r="A198" s="627"/>
      <c r="B198" s="628"/>
      <c r="C198" s="628"/>
      <c r="D198" s="628"/>
      <c r="E198" s="628"/>
      <c r="F198" s="628"/>
      <c r="G198" s="628"/>
      <c r="H198" s="628"/>
    </row>
    <row r="199" spans="1:8" x14ac:dyDescent="0.25">
      <c r="A199" s="629" t="s">
        <v>531</v>
      </c>
      <c r="B199" s="630"/>
      <c r="C199" s="630"/>
      <c r="D199" s="630"/>
      <c r="E199" s="630"/>
      <c r="F199" s="630"/>
      <c r="G199" s="630"/>
      <c r="H199" s="630"/>
    </row>
    <row r="200" spans="1:8" x14ac:dyDescent="0.25">
      <c r="A200" s="206"/>
      <c r="B200" s="207"/>
      <c r="C200" s="207"/>
      <c r="D200" s="207"/>
      <c r="E200" s="207"/>
      <c r="F200" s="207"/>
      <c r="G200" s="207"/>
      <c r="H200" s="207"/>
    </row>
    <row r="201" spans="1:8" ht="15" customHeight="1" x14ac:dyDescent="0.25">
      <c r="A201" s="370"/>
      <c r="B201" s="599" t="s">
        <v>532</v>
      </c>
      <c r="C201" s="599"/>
      <c r="D201" s="599"/>
      <c r="E201" s="599"/>
      <c r="F201" s="599"/>
      <c r="G201" s="599"/>
      <c r="H201" s="371" t="s">
        <v>381</v>
      </c>
    </row>
    <row r="202" spans="1:8" ht="15.75" customHeight="1" x14ac:dyDescent="0.25">
      <c r="A202" s="372" t="s">
        <v>382</v>
      </c>
      <c r="B202" s="597" t="s">
        <v>533</v>
      </c>
      <c r="C202" s="597"/>
      <c r="D202" s="597"/>
      <c r="E202" s="597"/>
      <c r="F202" s="597"/>
      <c r="G202" s="597"/>
      <c r="H202" s="373">
        <f>H41</f>
        <v>0</v>
      </c>
    </row>
    <row r="203" spans="1:8" ht="15.75" customHeight="1" x14ac:dyDescent="0.25">
      <c r="A203" s="372" t="s">
        <v>385</v>
      </c>
      <c r="B203" s="618" t="s">
        <v>534</v>
      </c>
      <c r="C203" s="619"/>
      <c r="D203" s="619"/>
      <c r="E203" s="619"/>
      <c r="F203" s="619"/>
      <c r="G203" s="620"/>
      <c r="H203" s="373">
        <f>H106</f>
        <v>0</v>
      </c>
    </row>
    <row r="204" spans="1:8" ht="15.75" customHeight="1" x14ac:dyDescent="0.25">
      <c r="A204" s="372" t="s">
        <v>387</v>
      </c>
      <c r="B204" s="618" t="s">
        <v>535</v>
      </c>
      <c r="C204" s="619"/>
      <c r="D204" s="619"/>
      <c r="E204" s="619"/>
      <c r="F204" s="619"/>
      <c r="G204" s="620"/>
      <c r="H204" s="373">
        <f>H120</f>
        <v>0</v>
      </c>
    </row>
    <row r="205" spans="1:8" ht="15.75" customHeight="1" x14ac:dyDescent="0.25">
      <c r="A205" s="372" t="s">
        <v>389</v>
      </c>
      <c r="B205" s="597" t="s">
        <v>536</v>
      </c>
      <c r="C205" s="597"/>
      <c r="D205" s="597"/>
      <c r="E205" s="597"/>
      <c r="F205" s="597"/>
      <c r="G205" s="597"/>
      <c r="H205" s="373">
        <f>H142</f>
        <v>0</v>
      </c>
    </row>
    <row r="206" spans="1:8" ht="15.75" customHeight="1" x14ac:dyDescent="0.25">
      <c r="A206" s="372" t="s">
        <v>391</v>
      </c>
      <c r="B206" s="597" t="s">
        <v>537</v>
      </c>
      <c r="C206" s="597"/>
      <c r="D206" s="597"/>
      <c r="E206" s="597"/>
      <c r="F206" s="597"/>
      <c r="G206" s="597"/>
      <c r="H206" s="373" t="e">
        <f>H171</f>
        <v>#DIV/0!</v>
      </c>
    </row>
    <row r="207" spans="1:8" ht="15.75" customHeight="1" x14ac:dyDescent="0.25">
      <c r="A207" s="598" t="s">
        <v>538</v>
      </c>
      <c r="B207" s="598"/>
      <c r="C207" s="598"/>
      <c r="D207" s="598"/>
      <c r="E207" s="598"/>
      <c r="F207" s="598"/>
      <c r="G207" s="598"/>
      <c r="H207" s="374" t="e">
        <f>SUM(H202:H206)</f>
        <v>#DIV/0!</v>
      </c>
    </row>
    <row r="208" spans="1:8" ht="15.75" customHeight="1" x14ac:dyDescent="0.25">
      <c r="A208" s="372" t="s">
        <v>393</v>
      </c>
      <c r="B208" s="597" t="s">
        <v>539</v>
      </c>
      <c r="C208" s="597"/>
      <c r="D208" s="597"/>
      <c r="E208" s="597"/>
      <c r="F208" s="597"/>
      <c r="G208" s="597"/>
      <c r="H208" s="373" t="e">
        <f>H193</f>
        <v>#DIV/0!</v>
      </c>
    </row>
    <row r="209" spans="1:8" ht="15.75" customHeight="1" x14ac:dyDescent="0.25">
      <c r="A209" s="598" t="s">
        <v>540</v>
      </c>
      <c r="B209" s="598"/>
      <c r="C209" s="598"/>
      <c r="D209" s="598"/>
      <c r="E209" s="598"/>
      <c r="F209" s="598"/>
      <c r="G209" s="598"/>
      <c r="H209" s="374" t="e">
        <f>H207+H208</f>
        <v>#DIV/0!</v>
      </c>
    </row>
    <row r="210" spans="1:8" ht="15.75" customHeight="1" x14ac:dyDescent="0.25">
      <c r="A210" s="598" t="s">
        <v>541</v>
      </c>
      <c r="B210" s="598"/>
      <c r="C210" s="598"/>
      <c r="D210" s="598"/>
      <c r="E210" s="598"/>
      <c r="F210" s="598"/>
      <c r="G210" s="598"/>
      <c r="H210" s="375" t="e">
        <f>Produtividade!J31</f>
        <v>#DIV/0!</v>
      </c>
    </row>
    <row r="211" spans="1:8" ht="15.75" customHeight="1" x14ac:dyDescent="0.25">
      <c r="A211" s="598" t="s">
        <v>542</v>
      </c>
      <c r="B211" s="598"/>
      <c r="C211" s="598"/>
      <c r="D211" s="598"/>
      <c r="E211" s="598"/>
      <c r="F211" s="598"/>
      <c r="G211" s="598"/>
      <c r="H211" s="376" t="e">
        <f>H209*H210</f>
        <v>#DIV/0!</v>
      </c>
    </row>
    <row r="212" spans="1:8" ht="15.75" customHeight="1" x14ac:dyDescent="0.25">
      <c r="A212" s="598" t="s">
        <v>543</v>
      </c>
      <c r="B212" s="598"/>
      <c r="C212" s="598"/>
      <c r="D212" s="598"/>
      <c r="E212" s="598"/>
      <c r="F212" s="598"/>
      <c r="G212" s="598"/>
      <c r="H212" s="376" t="e">
        <f>H211*12</f>
        <v>#DIV/0!</v>
      </c>
    </row>
    <row r="213" spans="1:8" x14ac:dyDescent="0.25">
      <c r="A213"/>
      <c r="B213"/>
      <c r="C213"/>
      <c r="D213"/>
      <c r="E213"/>
      <c r="F213"/>
      <c r="G213"/>
      <c r="H213"/>
    </row>
    <row r="214" spans="1:8" x14ac:dyDescent="0.25">
      <c r="A214"/>
      <c r="B214"/>
      <c r="C214"/>
      <c r="D214"/>
      <c r="E214"/>
      <c r="F214"/>
      <c r="G214"/>
      <c r="H214"/>
    </row>
    <row r="215" spans="1:8" x14ac:dyDescent="0.25">
      <c r="A215"/>
      <c r="B215"/>
      <c r="C215"/>
      <c r="D215"/>
      <c r="E215"/>
      <c r="F215"/>
      <c r="G215"/>
      <c r="H215"/>
    </row>
    <row r="216" spans="1:8" x14ac:dyDescent="0.25">
      <c r="A216"/>
      <c r="B216"/>
      <c r="C216"/>
      <c r="D216"/>
      <c r="E216"/>
      <c r="F216"/>
      <c r="G216"/>
      <c r="H216"/>
    </row>
    <row r="217" spans="1:8" x14ac:dyDescent="0.25">
      <c r="A217"/>
      <c r="B217"/>
      <c r="C217"/>
      <c r="D217"/>
      <c r="E217"/>
      <c r="F217"/>
      <c r="G217"/>
      <c r="H217"/>
    </row>
    <row r="218" spans="1:8" x14ac:dyDescent="0.25">
      <c r="A218"/>
      <c r="B218"/>
      <c r="C218"/>
      <c r="D218"/>
      <c r="E218"/>
      <c r="F218"/>
      <c r="G218"/>
      <c r="H218"/>
    </row>
  </sheetData>
  <sheetProtection algorithmName="SHA-512" hashValue="4abQOMHpRNjs2L9Yi3BR6G9+WXIx+dGUmt+2ieSGnAYxnkQ7xR6JwVfu7uptqoQkV71OaaEaKc+RgC/yGUrC6A==" saltValue="GdiM58OB4fushVDwBb2Mpw==" spinCount="100000" sheet="1" objects="1" scenarios="1"/>
  <mergeCells count="188">
    <mergeCell ref="A5:H5"/>
    <mergeCell ref="A6:H6"/>
    <mergeCell ref="A171:G171"/>
    <mergeCell ref="B37:F37"/>
    <mergeCell ref="B38:F38"/>
    <mergeCell ref="B39:F39"/>
    <mergeCell ref="B40:F40"/>
    <mergeCell ref="A163:H163"/>
    <mergeCell ref="A41:G41"/>
    <mergeCell ref="A46:H46"/>
    <mergeCell ref="B88:F88"/>
    <mergeCell ref="B89:F89"/>
    <mergeCell ref="A51:H51"/>
    <mergeCell ref="B53:F53"/>
    <mergeCell ref="A56:F56"/>
    <mergeCell ref="B103:G103"/>
    <mergeCell ref="A106:G106"/>
    <mergeCell ref="A11:H11"/>
    <mergeCell ref="A10:H10"/>
    <mergeCell ref="A8:H8"/>
    <mergeCell ref="A9:H9"/>
    <mergeCell ref="G19:H19"/>
    <mergeCell ref="G18:H18"/>
    <mergeCell ref="G20:H20"/>
    <mergeCell ref="A178:H178"/>
    <mergeCell ref="A193:G193"/>
    <mergeCell ref="B191:F191"/>
    <mergeCell ref="A187:A192"/>
    <mergeCell ref="B187:F187"/>
    <mergeCell ref="B190:F190"/>
    <mergeCell ref="B192:F192"/>
    <mergeCell ref="C188:F188"/>
    <mergeCell ref="C189:F189"/>
    <mergeCell ref="A15:H15"/>
    <mergeCell ref="A16:H16"/>
    <mergeCell ref="G17:H17"/>
    <mergeCell ref="G23:H23"/>
    <mergeCell ref="B17:F17"/>
    <mergeCell ref="B18:F18"/>
    <mergeCell ref="B19:F19"/>
    <mergeCell ref="B20:F20"/>
    <mergeCell ref="B21:F21"/>
    <mergeCell ref="B22:F22"/>
    <mergeCell ref="G21:H21"/>
    <mergeCell ref="G22:H22"/>
    <mergeCell ref="B23:F23"/>
    <mergeCell ref="A31:H31"/>
    <mergeCell ref="B36:F36"/>
    <mergeCell ref="A32:H32"/>
    <mergeCell ref="A86:H86"/>
    <mergeCell ref="B54:F54"/>
    <mergeCell ref="B55:F55"/>
    <mergeCell ref="B64:F64"/>
    <mergeCell ref="B65:F65"/>
    <mergeCell ref="B67:F67"/>
    <mergeCell ref="B68:F68"/>
    <mergeCell ref="B69:F69"/>
    <mergeCell ref="A42:H42"/>
    <mergeCell ref="A43:H43"/>
    <mergeCell ref="A44:H44"/>
    <mergeCell ref="A47:H47"/>
    <mergeCell ref="A48:H48"/>
    <mergeCell ref="A49:H49"/>
    <mergeCell ref="B66:F66"/>
    <mergeCell ref="B70:F70"/>
    <mergeCell ref="A82:H82"/>
    <mergeCell ref="A83:H83"/>
    <mergeCell ref="G24:H24"/>
    <mergeCell ref="A77:H77"/>
    <mergeCell ref="A78:H78"/>
    <mergeCell ref="A79:H79"/>
    <mergeCell ref="A80:H80"/>
    <mergeCell ref="A81:H81"/>
    <mergeCell ref="B34:F34"/>
    <mergeCell ref="B35:F35"/>
    <mergeCell ref="A73:F73"/>
    <mergeCell ref="A61:H61"/>
    <mergeCell ref="B71:F71"/>
    <mergeCell ref="B72:F72"/>
    <mergeCell ref="A25:H25"/>
    <mergeCell ref="A26:H26"/>
    <mergeCell ref="A27:H27"/>
    <mergeCell ref="A28:H28"/>
    <mergeCell ref="A29:H29"/>
    <mergeCell ref="A30:H30"/>
    <mergeCell ref="A57:H57"/>
    <mergeCell ref="A58:H58"/>
    <mergeCell ref="A59:H59"/>
    <mergeCell ref="A74:H74"/>
    <mergeCell ref="A75:H75"/>
    <mergeCell ref="A76:H76"/>
    <mergeCell ref="B140:F140"/>
    <mergeCell ref="A128:H128"/>
    <mergeCell ref="A129:H129"/>
    <mergeCell ref="A133:G133"/>
    <mergeCell ref="A142:F142"/>
    <mergeCell ref="B119:F119"/>
    <mergeCell ref="A111:G111"/>
    <mergeCell ref="A112:G112"/>
    <mergeCell ref="B116:F116"/>
    <mergeCell ref="A121:H121"/>
    <mergeCell ref="A122:H122"/>
    <mergeCell ref="A123:H123"/>
    <mergeCell ref="A124:H124"/>
    <mergeCell ref="B113:F113"/>
    <mergeCell ref="B114:F114"/>
    <mergeCell ref="B115:F115"/>
    <mergeCell ref="B117:F117"/>
    <mergeCell ref="B118:F118"/>
    <mergeCell ref="A120:F120"/>
    <mergeCell ref="J86:K86"/>
    <mergeCell ref="J93:K93"/>
    <mergeCell ref="A96:H96"/>
    <mergeCell ref="A97:H97"/>
    <mergeCell ref="A98:H98"/>
    <mergeCell ref="A99:H99"/>
    <mergeCell ref="B104:G104"/>
    <mergeCell ref="B102:G102"/>
    <mergeCell ref="B105:G105"/>
    <mergeCell ref="A109:H109"/>
    <mergeCell ref="B93:F93"/>
    <mergeCell ref="B94:F94"/>
    <mergeCell ref="B91:F91"/>
    <mergeCell ref="A95:G95"/>
    <mergeCell ref="A101:H101"/>
    <mergeCell ref="B90:F90"/>
    <mergeCell ref="B92:F92"/>
    <mergeCell ref="A172:H172"/>
    <mergeCell ref="B158:G158"/>
    <mergeCell ref="B159:G159"/>
    <mergeCell ref="A160:G160"/>
    <mergeCell ref="B141:F141"/>
    <mergeCell ref="A127:H127"/>
    <mergeCell ref="A131:H131"/>
    <mergeCell ref="A150:H150"/>
    <mergeCell ref="A156:H156"/>
    <mergeCell ref="B157:G157"/>
    <mergeCell ref="B134:F134"/>
    <mergeCell ref="B135:F135"/>
    <mergeCell ref="B136:F136"/>
    <mergeCell ref="B137:F137"/>
    <mergeCell ref="B138:F138"/>
    <mergeCell ref="B139:F139"/>
    <mergeCell ref="A173:H173"/>
    <mergeCell ref="A174:H174"/>
    <mergeCell ref="A175:H175"/>
    <mergeCell ref="A143:H143"/>
    <mergeCell ref="A144:H144"/>
    <mergeCell ref="A145:H145"/>
    <mergeCell ref="A146:H146"/>
    <mergeCell ref="A147:H147"/>
    <mergeCell ref="A148:H148"/>
    <mergeCell ref="A195:H195"/>
    <mergeCell ref="A196:H196"/>
    <mergeCell ref="A197:H197"/>
    <mergeCell ref="A198:H198"/>
    <mergeCell ref="A199:H199"/>
    <mergeCell ref="A180:G180"/>
    <mergeCell ref="A181:G181"/>
    <mergeCell ref="A182:G182"/>
    <mergeCell ref="B185:F185"/>
    <mergeCell ref="B184:F184"/>
    <mergeCell ref="A183:F183"/>
    <mergeCell ref="B186:F186"/>
    <mergeCell ref="B24:F24"/>
    <mergeCell ref="A14:H14"/>
    <mergeCell ref="B206:G206"/>
    <mergeCell ref="A209:G209"/>
    <mergeCell ref="A210:G210"/>
    <mergeCell ref="A211:G211"/>
    <mergeCell ref="A212:G212"/>
    <mergeCell ref="A207:G207"/>
    <mergeCell ref="B208:G208"/>
    <mergeCell ref="B201:G201"/>
    <mergeCell ref="B151:G151"/>
    <mergeCell ref="B152:G152"/>
    <mergeCell ref="B166:G166"/>
    <mergeCell ref="B167:G167"/>
    <mergeCell ref="B168:G168"/>
    <mergeCell ref="B169:G169"/>
    <mergeCell ref="B170:G170"/>
    <mergeCell ref="B165:G165"/>
    <mergeCell ref="A153:G153"/>
    <mergeCell ref="B202:G202"/>
    <mergeCell ref="B203:G203"/>
    <mergeCell ref="B204:G204"/>
    <mergeCell ref="B205:G205"/>
    <mergeCell ref="A194:H194"/>
  </mergeCells>
  <printOptions horizontalCentered="1" verticalCentered="1"/>
  <pageMargins left="0.51181102362204722" right="0.51181102362204722" top="0.74803149606299213" bottom="0.74803149606299213" header="0.31496062992125984" footer="0.31496062992125984"/>
  <pageSetup paperSize="9" scale="72" fitToWidth="0" fitToHeight="0" orientation="portrait" r:id="rId1"/>
  <headerFooter alignWithMargins="0">
    <oddFooter>&amp;A</oddFooter>
  </headerFooter>
  <rowBreaks count="3" manualBreakCount="3">
    <brk id="50" max="7" man="1"/>
    <brk id="99" max="7" man="1"/>
    <brk id="148" max="7" man="1"/>
  </rowBreaks>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59999389629810485"/>
  </sheetPr>
  <dimension ref="A1:K219"/>
  <sheetViews>
    <sheetView showGridLines="0" zoomScaleNormal="100" workbookViewId="0">
      <selection activeCell="G67" sqref="G67"/>
    </sheetView>
  </sheetViews>
  <sheetFormatPr defaultRowHeight="15" x14ac:dyDescent="0.25"/>
  <cols>
    <col min="1" max="1" width="4.7109375" style="3" customWidth="1"/>
    <col min="2" max="2" width="8.85546875" style="3" customWidth="1"/>
    <col min="3" max="3" width="12.7109375" style="3" customWidth="1"/>
    <col min="4" max="4" width="8.85546875" style="3" customWidth="1"/>
    <col min="5" max="5" width="7.42578125" style="3" customWidth="1"/>
    <col min="6" max="6" width="26.140625" style="3" customWidth="1"/>
    <col min="7" max="7" width="18.140625" style="3" customWidth="1"/>
    <col min="8" max="8" width="16.7109375" style="13" customWidth="1"/>
    <col min="9" max="9" width="11.5703125" style="3" customWidth="1"/>
    <col min="10" max="10" width="48.85546875" style="3" bestFit="1" customWidth="1"/>
    <col min="11" max="11" width="12.140625" style="3" customWidth="1"/>
    <col min="12" max="16384" width="9.140625" style="3"/>
  </cols>
  <sheetData>
    <row r="1" spans="1:8" ht="15" customHeight="1" x14ac:dyDescent="0.25">
      <c r="A1" s="36"/>
      <c r="B1" s="36"/>
      <c r="C1" s="36"/>
      <c r="D1" s="36"/>
      <c r="E1" s="36"/>
      <c r="F1" s="36"/>
      <c r="G1" s="36"/>
      <c r="H1" s="36"/>
    </row>
    <row r="2" spans="1:8" ht="15" customHeight="1" x14ac:dyDescent="0.25">
      <c r="A2" s="36"/>
      <c r="B2" s="36"/>
      <c r="C2" s="36"/>
      <c r="D2" s="36"/>
      <c r="E2" s="36"/>
      <c r="F2" s="36"/>
      <c r="G2" s="36"/>
      <c r="H2" s="36"/>
    </row>
    <row r="3" spans="1:8" ht="15" customHeight="1" x14ac:dyDescent="0.25">
      <c r="A3" s="36"/>
      <c r="B3" s="36"/>
      <c r="C3" s="36"/>
      <c r="D3" s="36"/>
      <c r="E3" s="36"/>
      <c r="F3" s="36"/>
      <c r="G3" s="36"/>
      <c r="H3" s="36"/>
    </row>
    <row r="4" spans="1:8" ht="15" customHeight="1" x14ac:dyDescent="0.25">
      <c r="A4" s="36"/>
      <c r="B4" s="36"/>
      <c r="C4" s="36"/>
      <c r="D4" s="36"/>
      <c r="E4" s="36"/>
      <c r="F4" s="36"/>
      <c r="G4" s="36"/>
      <c r="H4" s="36"/>
    </row>
    <row r="5" spans="1:8" ht="15" customHeight="1" x14ac:dyDescent="0.25">
      <c r="A5" s="490" t="str">
        <f>ORIENTAÇÕES!A5</f>
        <v>MINISTÉRIO DA AGRICULTURA E PECUÁRIA</v>
      </c>
      <c r="B5" s="490"/>
      <c r="C5" s="490"/>
      <c r="D5" s="490"/>
      <c r="E5" s="490"/>
      <c r="F5" s="490"/>
      <c r="G5" s="490"/>
      <c r="H5" s="490"/>
    </row>
    <row r="6" spans="1:8" ht="15" customHeight="1" x14ac:dyDescent="0.25">
      <c r="A6" s="490" t="str">
        <f>ORIENTAÇÕES!A6</f>
        <v>LABORATÓRIO FEDERAL DE DEFESA AGROPECUÁRIA NO PARÁ</v>
      </c>
      <c r="B6" s="490"/>
      <c r="C6" s="490"/>
      <c r="D6" s="490"/>
      <c r="E6" s="490"/>
      <c r="F6" s="490"/>
      <c r="G6" s="490"/>
      <c r="H6" s="490"/>
    </row>
    <row r="7" spans="1:8" ht="15" customHeight="1" x14ac:dyDescent="0.25">
      <c r="A7" s="36"/>
      <c r="B7" s="36"/>
      <c r="C7" s="36"/>
      <c r="D7" s="36"/>
      <c r="E7" s="36"/>
      <c r="F7" s="36"/>
      <c r="G7" s="36"/>
      <c r="H7" s="36"/>
    </row>
    <row r="8" spans="1:8" ht="19.5" customHeight="1" x14ac:dyDescent="0.25">
      <c r="A8" s="689" t="str">
        <f>ORIENTAÇÕES!A8</f>
        <v xml:space="preserve">PLANILHA REFERENCIAL DE CUSTO E FORMAÇÃO DE PREÇO </v>
      </c>
      <c r="B8" s="689"/>
      <c r="C8" s="689"/>
      <c r="D8" s="689"/>
      <c r="E8" s="689"/>
      <c r="F8" s="689"/>
      <c r="G8" s="689"/>
      <c r="H8" s="689"/>
    </row>
    <row r="9" spans="1:8" ht="15" customHeight="1" x14ac:dyDescent="0.25">
      <c r="A9" s="690" t="s">
        <v>361</v>
      </c>
      <c r="B9" s="690"/>
      <c r="C9" s="690"/>
      <c r="D9" s="690"/>
      <c r="E9" s="690"/>
      <c r="F9" s="690"/>
      <c r="G9" s="690"/>
      <c r="H9" s="690"/>
    </row>
    <row r="10" spans="1:8" ht="15" customHeight="1" x14ac:dyDescent="0.25">
      <c r="A10" s="487" t="str">
        <f>ORIENTAÇÕES!A10</f>
        <v>Pregão Eletrônico 12/2023</v>
      </c>
      <c r="B10" s="487"/>
      <c r="C10" s="487"/>
      <c r="D10" s="487"/>
      <c r="E10" s="487"/>
      <c r="F10" s="487"/>
      <c r="G10" s="487"/>
      <c r="H10" s="487"/>
    </row>
    <row r="11" spans="1:8" ht="15" customHeight="1" x14ac:dyDescent="0.25">
      <c r="A11" s="487" t="str">
        <f>ORIENTAÇÕES!A11</f>
        <v>PROCESSO Nº. :  21000.001352/2023-57</v>
      </c>
      <c r="B11" s="487"/>
      <c r="C11" s="487"/>
      <c r="D11" s="487"/>
      <c r="E11" s="487"/>
      <c r="F11" s="487"/>
      <c r="G11" s="487"/>
      <c r="H11" s="487"/>
    </row>
    <row r="12" spans="1:8" ht="15" customHeight="1" x14ac:dyDescent="0.25">
      <c r="A12" s="480"/>
      <c r="B12" s="480"/>
      <c r="C12" s="480"/>
      <c r="D12" s="480"/>
      <c r="E12" s="480"/>
      <c r="F12" s="480"/>
      <c r="G12" s="480"/>
      <c r="H12" s="480"/>
    </row>
    <row r="13" spans="1:8" ht="15" customHeight="1" thickBot="1" x14ac:dyDescent="0.3">
      <c r="A13" s="377" t="s">
        <v>362</v>
      </c>
      <c r="B13" s="378"/>
      <c r="C13" s="378"/>
      <c r="D13" s="378"/>
      <c r="E13" s="378"/>
      <c r="F13" s="378"/>
      <c r="G13" s="378"/>
      <c r="H13" s="378"/>
    </row>
    <row r="14" spans="1:8" ht="45" customHeight="1" thickBot="1" x14ac:dyDescent="0.3">
      <c r="A14" s="594" t="s">
        <v>363</v>
      </c>
      <c r="B14" s="595"/>
      <c r="C14" s="595"/>
      <c r="D14" s="595"/>
      <c r="E14" s="595"/>
      <c r="F14" s="595"/>
      <c r="G14" s="595"/>
      <c r="H14" s="596"/>
    </row>
    <row r="15" spans="1:8" x14ac:dyDescent="0.25">
      <c r="A15" s="480"/>
      <c r="B15" s="480"/>
      <c r="C15" s="480"/>
      <c r="D15" s="480"/>
      <c r="E15" s="480"/>
      <c r="F15" s="480"/>
      <c r="G15" s="480"/>
      <c r="H15" s="480"/>
    </row>
    <row r="16" spans="1:8" x14ac:dyDescent="0.25">
      <c r="A16" s="635" t="s">
        <v>364</v>
      </c>
      <c r="B16" s="635"/>
      <c r="C16" s="635"/>
      <c r="D16" s="635"/>
      <c r="E16" s="635"/>
      <c r="F16" s="635"/>
      <c r="G16" s="635"/>
      <c r="H16" s="635"/>
    </row>
    <row r="17" spans="1:8" ht="15.75" x14ac:dyDescent="0.25">
      <c r="A17" s="369">
        <v>1</v>
      </c>
      <c r="B17" s="593"/>
      <c r="C17" s="593"/>
      <c r="D17" s="593"/>
      <c r="E17" s="593"/>
      <c r="F17" s="593"/>
      <c r="G17" s="678" t="str">
        <f>RESUMO!D29</f>
        <v>Servente</v>
      </c>
      <c r="H17" s="678"/>
    </row>
    <row r="18" spans="1:8" ht="15.75" customHeight="1" x14ac:dyDescent="0.25">
      <c r="A18" s="369">
        <v>2</v>
      </c>
      <c r="B18" s="593" t="s">
        <v>365</v>
      </c>
      <c r="C18" s="593"/>
      <c r="D18" s="593"/>
      <c r="E18" s="593"/>
      <c r="F18" s="593"/>
      <c r="G18" s="692">
        <f>RESUMO!F29</f>
        <v>0</v>
      </c>
      <c r="H18" s="693"/>
    </row>
    <row r="19" spans="1:8" ht="15.75" customHeight="1" x14ac:dyDescent="0.25">
      <c r="A19" s="369">
        <v>3</v>
      </c>
      <c r="B19" s="680" t="s">
        <v>366</v>
      </c>
      <c r="C19" s="680"/>
      <c r="D19" s="680"/>
      <c r="E19" s="680"/>
      <c r="F19" s="680"/>
      <c r="G19" s="691">
        <f>RESUMO!G29</f>
        <v>0</v>
      </c>
      <c r="H19" s="691"/>
    </row>
    <row r="20" spans="1:8" ht="15.75" x14ac:dyDescent="0.25">
      <c r="A20" s="369">
        <v>4</v>
      </c>
      <c r="B20" s="681" t="s">
        <v>367</v>
      </c>
      <c r="C20" s="681"/>
      <c r="D20" s="681"/>
      <c r="E20" s="681"/>
      <c r="F20" s="681"/>
      <c r="G20" s="694" t="str">
        <f>RESUMO!C29</f>
        <v>Limpeza e Conservação</v>
      </c>
      <c r="H20" s="694"/>
    </row>
    <row r="21" spans="1:8" ht="15.75" x14ac:dyDescent="0.25">
      <c r="A21" s="369">
        <v>5</v>
      </c>
      <c r="B21" s="593" t="s">
        <v>368</v>
      </c>
      <c r="C21" s="593"/>
      <c r="D21" s="593"/>
      <c r="E21" s="593"/>
      <c r="F21" s="593"/>
      <c r="G21" s="679" t="str">
        <f>RESUMO!J29</f>
        <v>00/00/0000</v>
      </c>
      <c r="H21" s="682"/>
    </row>
    <row r="22" spans="1:8" ht="15.75" x14ac:dyDescent="0.25">
      <c r="A22" s="369">
        <v>6</v>
      </c>
      <c r="B22" s="593" t="s">
        <v>369</v>
      </c>
      <c r="C22" s="593"/>
      <c r="D22" s="593"/>
      <c r="E22" s="593"/>
      <c r="F22" s="593"/>
      <c r="G22" s="683">
        <f>RESUMO!I29</f>
        <v>0</v>
      </c>
      <c r="H22" s="683"/>
    </row>
    <row r="23" spans="1:8" ht="15.75" x14ac:dyDescent="0.25">
      <c r="A23" s="369">
        <v>7</v>
      </c>
      <c r="B23" s="593" t="s">
        <v>370</v>
      </c>
      <c r="C23" s="593"/>
      <c r="D23" s="593"/>
      <c r="E23" s="593"/>
      <c r="F23" s="593"/>
      <c r="G23" s="679" t="str">
        <f>RESUMO!J16</f>
        <v>00/00/0000</v>
      </c>
      <c r="H23" s="679"/>
    </row>
    <row r="24" spans="1:8" ht="15.75" x14ac:dyDescent="0.25">
      <c r="A24" s="369">
        <v>8</v>
      </c>
      <c r="B24" s="593" t="s">
        <v>371</v>
      </c>
      <c r="C24" s="593"/>
      <c r="D24" s="593"/>
      <c r="E24" s="593"/>
      <c r="F24" s="593"/>
      <c r="G24" s="666" t="str">
        <f>RESUMO!D22</f>
        <v>Belém-PA</v>
      </c>
      <c r="H24" s="666"/>
    </row>
    <row r="25" spans="1:8" ht="15.75" customHeight="1" x14ac:dyDescent="0.25">
      <c r="A25" s="621" t="s">
        <v>372</v>
      </c>
      <c r="B25" s="622"/>
      <c r="C25" s="622"/>
      <c r="D25" s="622"/>
      <c r="E25" s="622"/>
      <c r="F25" s="622"/>
      <c r="G25" s="622"/>
      <c r="H25" s="622"/>
    </row>
    <row r="26" spans="1:8" x14ac:dyDescent="0.25">
      <c r="A26" s="625" t="s">
        <v>373</v>
      </c>
      <c r="B26" s="626"/>
      <c r="C26" s="626"/>
      <c r="D26" s="626"/>
      <c r="E26" s="626"/>
      <c r="F26" s="626"/>
      <c r="G26" s="626"/>
      <c r="H26" s="626"/>
    </row>
    <row r="27" spans="1:8" x14ac:dyDescent="0.25">
      <c r="A27" s="625" t="s">
        <v>374</v>
      </c>
      <c r="B27" s="626"/>
      <c r="C27" s="626"/>
      <c r="D27" s="626"/>
      <c r="E27" s="626"/>
      <c r="F27" s="626"/>
      <c r="G27" s="626"/>
      <c r="H27" s="626"/>
    </row>
    <row r="28" spans="1:8" x14ac:dyDescent="0.25">
      <c r="A28" s="670" t="s">
        <v>375</v>
      </c>
      <c r="B28" s="671"/>
      <c r="C28" s="671"/>
      <c r="D28" s="671"/>
      <c r="E28" s="671"/>
      <c r="F28" s="671"/>
      <c r="G28" s="671"/>
      <c r="H28" s="671"/>
    </row>
    <row r="29" spans="1:8" x14ac:dyDescent="0.25">
      <c r="A29" s="625" t="s">
        <v>376</v>
      </c>
      <c r="B29" s="626"/>
      <c r="C29" s="626"/>
      <c r="D29" s="626"/>
      <c r="E29" s="626"/>
      <c r="F29" s="626"/>
      <c r="G29" s="626"/>
      <c r="H29" s="626"/>
    </row>
    <row r="30" spans="1:8" ht="30" customHeight="1" x14ac:dyDescent="0.25">
      <c r="A30" s="672" t="s">
        <v>377</v>
      </c>
      <c r="B30" s="673"/>
      <c r="C30" s="673"/>
      <c r="D30" s="673"/>
      <c r="E30" s="673"/>
      <c r="F30" s="673"/>
      <c r="G30" s="673"/>
      <c r="H30" s="673"/>
    </row>
    <row r="31" spans="1:8" x14ac:dyDescent="0.25">
      <c r="A31" s="674"/>
      <c r="B31" s="674"/>
      <c r="C31" s="674"/>
      <c r="D31" s="674"/>
      <c r="E31" s="674"/>
      <c r="F31" s="674"/>
      <c r="G31" s="674"/>
      <c r="H31" s="674"/>
    </row>
    <row r="32" spans="1:8" ht="18" customHeight="1" x14ac:dyDescent="0.25">
      <c r="A32" s="565" t="s">
        <v>378</v>
      </c>
      <c r="B32" s="565"/>
      <c r="C32" s="565"/>
      <c r="D32" s="565"/>
      <c r="E32" s="565"/>
      <c r="F32" s="565"/>
      <c r="G32" s="565"/>
      <c r="H32" s="565"/>
    </row>
    <row r="33" spans="1:8" ht="18" customHeight="1" x14ac:dyDescent="0.25">
      <c r="A33" s="37"/>
      <c r="B33" s="37"/>
      <c r="C33" s="37"/>
      <c r="D33" s="37"/>
      <c r="E33" s="37"/>
      <c r="F33" s="37"/>
      <c r="G33" s="37"/>
      <c r="H33" s="37"/>
    </row>
    <row r="34" spans="1:8" ht="18" customHeight="1" x14ac:dyDescent="0.25">
      <c r="A34" s="38">
        <v>1</v>
      </c>
      <c r="B34" s="669" t="s">
        <v>379</v>
      </c>
      <c r="C34" s="669"/>
      <c r="D34" s="669"/>
      <c r="E34" s="669"/>
      <c r="F34" s="669"/>
      <c r="G34" s="5" t="s">
        <v>380</v>
      </c>
      <c r="H34" s="5" t="s">
        <v>381</v>
      </c>
    </row>
    <row r="35" spans="1:8" x14ac:dyDescent="0.25">
      <c r="A35" s="6" t="s">
        <v>382</v>
      </c>
      <c r="B35" s="636" t="s">
        <v>383</v>
      </c>
      <c r="C35" s="636"/>
      <c r="D35" s="636"/>
      <c r="E35" s="636"/>
      <c r="F35" s="636"/>
      <c r="G35" s="30" t="s">
        <v>384</v>
      </c>
      <c r="H35" s="7">
        <f>G19</f>
        <v>0</v>
      </c>
    </row>
    <row r="36" spans="1:8" x14ac:dyDescent="0.25">
      <c r="A36" s="6" t="s">
        <v>385</v>
      </c>
      <c r="B36" s="636" t="s">
        <v>386</v>
      </c>
      <c r="C36" s="636"/>
      <c r="D36" s="636"/>
      <c r="E36" s="636"/>
      <c r="F36" s="636"/>
      <c r="G36" s="8" t="s">
        <v>109</v>
      </c>
      <c r="H36" s="9">
        <v>0</v>
      </c>
    </row>
    <row r="37" spans="1:8" x14ac:dyDescent="0.25">
      <c r="A37" s="10" t="s">
        <v>387</v>
      </c>
      <c r="B37" s="636" t="s">
        <v>388</v>
      </c>
      <c r="C37" s="636"/>
      <c r="D37" s="636"/>
      <c r="E37" s="636"/>
      <c r="F37" s="636"/>
      <c r="G37" s="822" t="s">
        <v>544</v>
      </c>
      <c r="H37" s="11">
        <f>H35*G37</f>
        <v>0</v>
      </c>
    </row>
    <row r="38" spans="1:8" x14ac:dyDescent="0.25">
      <c r="A38" s="6" t="s">
        <v>389</v>
      </c>
      <c r="B38" s="636" t="s">
        <v>390</v>
      </c>
      <c r="C38" s="636"/>
      <c r="D38" s="636"/>
      <c r="E38" s="636"/>
      <c r="F38" s="636"/>
      <c r="G38" s="222" t="s">
        <v>109</v>
      </c>
      <c r="H38" s="9">
        <v>0</v>
      </c>
    </row>
    <row r="39" spans="1:8" x14ac:dyDescent="0.25">
      <c r="A39" s="6" t="s">
        <v>391</v>
      </c>
      <c r="B39" s="636" t="s">
        <v>392</v>
      </c>
      <c r="C39" s="636"/>
      <c r="D39" s="636"/>
      <c r="E39" s="636"/>
      <c r="F39" s="636"/>
      <c r="G39" s="222" t="s">
        <v>109</v>
      </c>
      <c r="H39" s="9">
        <v>0</v>
      </c>
    </row>
    <row r="40" spans="1:8" x14ac:dyDescent="0.25">
      <c r="A40" s="6" t="s">
        <v>393</v>
      </c>
      <c r="B40" s="685" t="s">
        <v>394</v>
      </c>
      <c r="C40" s="686"/>
      <c r="D40" s="686"/>
      <c r="E40" s="686"/>
      <c r="F40" s="686"/>
      <c r="G40" s="41" t="s">
        <v>109</v>
      </c>
      <c r="H40" s="42">
        <v>0</v>
      </c>
    </row>
    <row r="41" spans="1:8" s="12" customFormat="1" ht="14.25" customHeight="1" x14ac:dyDescent="0.25">
      <c r="A41" s="642" t="s">
        <v>395</v>
      </c>
      <c r="B41" s="642"/>
      <c r="C41" s="642"/>
      <c r="D41" s="642"/>
      <c r="E41" s="642"/>
      <c r="F41" s="642"/>
      <c r="G41" s="642"/>
      <c r="H41" s="31">
        <f>SUM(H35:H40)</f>
        <v>0</v>
      </c>
    </row>
    <row r="42" spans="1:8" s="12" customFormat="1" ht="15" customHeight="1" x14ac:dyDescent="0.25">
      <c r="A42" s="621" t="s">
        <v>372</v>
      </c>
      <c r="B42" s="622"/>
      <c r="C42" s="622"/>
      <c r="D42" s="622"/>
      <c r="E42" s="622"/>
      <c r="F42" s="622"/>
      <c r="G42" s="622"/>
      <c r="H42" s="622"/>
    </row>
    <row r="43" spans="1:8" s="12" customFormat="1" x14ac:dyDescent="0.25">
      <c r="A43" s="625" t="s">
        <v>396</v>
      </c>
      <c r="B43" s="626"/>
      <c r="C43" s="626"/>
      <c r="D43" s="626"/>
      <c r="E43" s="626"/>
      <c r="F43" s="626"/>
      <c r="G43" s="626"/>
      <c r="H43" s="626"/>
    </row>
    <row r="44" spans="1:8" s="12" customFormat="1" x14ac:dyDescent="0.25">
      <c r="A44" s="625" t="s">
        <v>397</v>
      </c>
      <c r="B44" s="626"/>
      <c r="C44" s="626"/>
      <c r="D44" s="626"/>
      <c r="E44" s="626"/>
      <c r="F44" s="626"/>
      <c r="G44" s="626"/>
      <c r="H44" s="626"/>
    </row>
    <row r="45" spans="1:8" s="12" customFormat="1" ht="90" customHeight="1" x14ac:dyDescent="0.25">
      <c r="A45" s="672" t="s">
        <v>545</v>
      </c>
      <c r="B45" s="673"/>
      <c r="C45" s="673"/>
      <c r="D45" s="673"/>
      <c r="E45" s="673"/>
      <c r="F45" s="673"/>
      <c r="G45" s="673"/>
      <c r="H45" s="673"/>
    </row>
    <row r="46" spans="1:8" s="12" customFormat="1" ht="17.25" customHeight="1" x14ac:dyDescent="0.25">
      <c r="A46" s="3"/>
      <c r="B46" s="3"/>
      <c r="C46" s="3"/>
      <c r="D46" s="3"/>
      <c r="E46" s="3"/>
      <c r="F46" s="3"/>
      <c r="G46" s="3"/>
      <c r="H46" s="13"/>
    </row>
    <row r="47" spans="1:8" ht="15.75" x14ac:dyDescent="0.25">
      <c r="A47" s="565" t="s">
        <v>398</v>
      </c>
      <c r="B47" s="565"/>
      <c r="C47" s="565"/>
      <c r="D47" s="565"/>
      <c r="E47" s="565"/>
      <c r="F47" s="565"/>
      <c r="G47" s="565"/>
      <c r="H47" s="565"/>
    </row>
    <row r="48" spans="1:8" ht="16.5" customHeight="1" x14ac:dyDescent="0.25">
      <c r="A48" s="621" t="s">
        <v>372</v>
      </c>
      <c r="B48" s="622"/>
      <c r="C48" s="622"/>
      <c r="D48" s="622"/>
      <c r="E48" s="622"/>
      <c r="F48" s="622"/>
      <c r="G48" s="622"/>
      <c r="H48" s="622"/>
    </row>
    <row r="49" spans="1:9" ht="30" customHeight="1" x14ac:dyDescent="0.25">
      <c r="A49" s="625" t="s">
        <v>399</v>
      </c>
      <c r="B49" s="626"/>
      <c r="C49" s="626"/>
      <c r="D49" s="626"/>
      <c r="E49" s="626"/>
      <c r="F49" s="626"/>
      <c r="G49" s="626"/>
      <c r="H49" s="626"/>
    </row>
    <row r="50" spans="1:9" ht="30" customHeight="1" x14ac:dyDescent="0.25">
      <c r="A50" s="625" t="s">
        <v>400</v>
      </c>
      <c r="B50" s="626"/>
      <c r="C50" s="626"/>
      <c r="D50" s="626"/>
      <c r="E50" s="626"/>
      <c r="F50" s="626"/>
      <c r="G50" s="626"/>
      <c r="H50" s="626"/>
    </row>
    <row r="51" spans="1:9" x14ac:dyDescent="0.25">
      <c r="A51" s="14"/>
      <c r="B51" s="14"/>
      <c r="C51" s="14"/>
      <c r="D51" s="14"/>
      <c r="E51" s="14"/>
      <c r="F51" s="14"/>
      <c r="G51" s="14"/>
      <c r="H51" s="14"/>
      <c r="I51" s="15"/>
    </row>
    <row r="52" spans="1:9" x14ac:dyDescent="0.25">
      <c r="A52" s="688" t="s">
        <v>401</v>
      </c>
      <c r="B52" s="688"/>
      <c r="C52" s="688"/>
      <c r="D52" s="688"/>
      <c r="E52" s="688"/>
      <c r="F52" s="688"/>
      <c r="G52" s="688"/>
      <c r="H52" s="688"/>
      <c r="I52" s="15"/>
    </row>
    <row r="53" spans="1:9" x14ac:dyDescent="0.25">
      <c r="A53" s="49"/>
      <c r="B53" s="49"/>
      <c r="C53" s="49"/>
      <c r="D53" s="49"/>
      <c r="E53" s="49"/>
      <c r="F53" s="49"/>
      <c r="G53" s="49"/>
      <c r="H53" s="49"/>
      <c r="I53" s="15"/>
    </row>
    <row r="54" spans="1:9" x14ac:dyDescent="0.25">
      <c r="A54" s="44" t="s">
        <v>402</v>
      </c>
      <c r="B54" s="637" t="s">
        <v>403</v>
      </c>
      <c r="C54" s="637"/>
      <c r="D54" s="637"/>
      <c r="E54" s="637"/>
      <c r="F54" s="637"/>
      <c r="G54" s="183" t="s">
        <v>404</v>
      </c>
      <c r="H54" s="183" t="s">
        <v>381</v>
      </c>
    </row>
    <row r="55" spans="1:9" x14ac:dyDescent="0.25">
      <c r="A55" s="6" t="s">
        <v>382</v>
      </c>
      <c r="B55" s="636" t="s">
        <v>405</v>
      </c>
      <c r="C55" s="636"/>
      <c r="D55" s="636"/>
      <c r="E55" s="636"/>
      <c r="F55" s="636"/>
      <c r="G55" s="16">
        <f>1/12</f>
        <v>8.3333333333333329E-2</v>
      </c>
      <c r="H55" s="11">
        <f>$H$41*G55</f>
        <v>0</v>
      </c>
      <c r="I55" s="15"/>
    </row>
    <row r="56" spans="1:9" x14ac:dyDescent="0.25">
      <c r="A56" s="6" t="s">
        <v>385</v>
      </c>
      <c r="B56" s="636" t="s">
        <v>546</v>
      </c>
      <c r="C56" s="636"/>
      <c r="D56" s="636"/>
      <c r="E56" s="636"/>
      <c r="F56" s="636"/>
      <c r="G56" s="16">
        <v>0.121</v>
      </c>
      <c r="H56" s="11">
        <f>$H$41*G56</f>
        <v>0</v>
      </c>
    </row>
    <row r="57" spans="1:9" s="12" customFormat="1" ht="18" customHeight="1" x14ac:dyDescent="0.25">
      <c r="A57" s="615" t="s">
        <v>407</v>
      </c>
      <c r="B57" s="616"/>
      <c r="C57" s="616"/>
      <c r="D57" s="616"/>
      <c r="E57" s="616"/>
      <c r="F57" s="617"/>
      <c r="G57" s="396">
        <f>SUM(G55:G56)</f>
        <v>0.20433333333333331</v>
      </c>
      <c r="H57" s="32">
        <f>SUM(H55:H56)</f>
        <v>0</v>
      </c>
    </row>
    <row r="58" spans="1:9" s="12" customFormat="1" ht="18" customHeight="1" x14ac:dyDescent="0.25">
      <c r="A58" s="621" t="s">
        <v>372</v>
      </c>
      <c r="B58" s="622"/>
      <c r="C58" s="622"/>
      <c r="D58" s="622"/>
      <c r="E58" s="622"/>
      <c r="F58" s="622"/>
      <c r="G58" s="622"/>
      <c r="H58" s="622"/>
    </row>
    <row r="59" spans="1:9" s="12" customFormat="1" ht="30" customHeight="1" x14ac:dyDescent="0.25">
      <c r="A59" s="625" t="s">
        <v>408</v>
      </c>
      <c r="B59" s="626"/>
      <c r="C59" s="626"/>
      <c r="D59" s="626"/>
      <c r="E59" s="626"/>
      <c r="F59" s="626"/>
      <c r="G59" s="626"/>
      <c r="H59" s="626"/>
    </row>
    <row r="60" spans="1:9" s="12" customFormat="1" ht="30" customHeight="1" x14ac:dyDescent="0.25">
      <c r="A60" s="625" t="s">
        <v>409</v>
      </c>
      <c r="B60" s="626"/>
      <c r="C60" s="626"/>
      <c r="D60" s="626"/>
      <c r="E60" s="626"/>
      <c r="F60" s="626"/>
      <c r="G60" s="626"/>
      <c r="H60" s="626"/>
    </row>
    <row r="61" spans="1:9" s="12" customFormat="1" ht="17.25" customHeight="1" x14ac:dyDescent="0.25">
      <c r="A61" s="14"/>
      <c r="B61" s="14"/>
      <c r="C61" s="14"/>
      <c r="D61" s="14"/>
      <c r="E61" s="14"/>
      <c r="F61" s="14"/>
      <c r="G61" s="14"/>
      <c r="H61" s="14"/>
    </row>
    <row r="62" spans="1:9" s="12" customFormat="1" ht="33" customHeight="1" x14ac:dyDescent="0.25">
      <c r="A62" s="643" t="s">
        <v>410</v>
      </c>
      <c r="B62" s="643"/>
      <c r="C62" s="643"/>
      <c r="D62" s="643"/>
      <c r="E62" s="643"/>
      <c r="F62" s="643"/>
      <c r="G62" s="643"/>
      <c r="H62" s="643"/>
    </row>
    <row r="63" spans="1:9" s="12" customFormat="1" x14ac:dyDescent="0.25">
      <c r="A63" s="182"/>
      <c r="B63" s="182"/>
      <c r="C63" s="182"/>
      <c r="D63" s="182"/>
      <c r="E63" s="182"/>
      <c r="F63" s="182"/>
      <c r="G63" s="182"/>
      <c r="H63" s="182"/>
    </row>
    <row r="64" spans="1:9" s="12" customFormat="1" x14ac:dyDescent="0.25">
      <c r="A64" s="181"/>
      <c r="B64" s="181"/>
      <c r="C64" s="181"/>
      <c r="D64" s="181"/>
      <c r="E64" s="181"/>
      <c r="G64" s="204" t="s">
        <v>411</v>
      </c>
      <c r="H64" s="184">
        <f>H41+H57</f>
        <v>0</v>
      </c>
    </row>
    <row r="65" spans="1:8" s="12" customFormat="1" ht="17.25" customHeight="1" x14ac:dyDescent="0.25">
      <c r="A65" s="195" t="s">
        <v>412</v>
      </c>
      <c r="B65" s="649" t="s">
        <v>403</v>
      </c>
      <c r="C65" s="649"/>
      <c r="D65" s="649"/>
      <c r="E65" s="649"/>
      <c r="F65" s="649"/>
      <c r="G65" s="196" t="s">
        <v>404</v>
      </c>
      <c r="H65" s="197" t="s">
        <v>381</v>
      </c>
    </row>
    <row r="66" spans="1:8" s="12" customFormat="1" x14ac:dyDescent="0.25">
      <c r="A66" s="6" t="s">
        <v>382</v>
      </c>
      <c r="B66" s="636" t="s">
        <v>413</v>
      </c>
      <c r="C66" s="636"/>
      <c r="D66" s="636"/>
      <c r="E66" s="636"/>
      <c r="F66" s="636"/>
      <c r="G66" s="806">
        <v>0</v>
      </c>
      <c r="H66" s="11">
        <f t="shared" ref="H66:H73" si="0">$H$64*G66</f>
        <v>0</v>
      </c>
    </row>
    <row r="67" spans="1:8" s="12" customFormat="1" x14ac:dyDescent="0.25">
      <c r="A67" s="6" t="s">
        <v>385</v>
      </c>
      <c r="B67" s="636" t="s">
        <v>414</v>
      </c>
      <c r="C67" s="636"/>
      <c r="D67" s="636"/>
      <c r="E67" s="636"/>
      <c r="F67" s="636"/>
      <c r="G67" s="806">
        <v>0</v>
      </c>
      <c r="H67" s="11">
        <f t="shared" si="0"/>
        <v>0</v>
      </c>
    </row>
    <row r="68" spans="1:8" s="12" customFormat="1" x14ac:dyDescent="0.25">
      <c r="A68" s="6" t="s">
        <v>387</v>
      </c>
      <c r="B68" s="636" t="s">
        <v>415</v>
      </c>
      <c r="C68" s="636"/>
      <c r="D68" s="636"/>
      <c r="E68" s="636"/>
      <c r="F68" s="636"/>
      <c r="G68" s="806">
        <v>0</v>
      </c>
      <c r="H68" s="11">
        <f t="shared" si="0"/>
        <v>0</v>
      </c>
    </row>
    <row r="69" spans="1:8" s="12" customFormat="1" x14ac:dyDescent="0.25">
      <c r="A69" s="6" t="s">
        <v>389</v>
      </c>
      <c r="B69" s="636" t="s">
        <v>416</v>
      </c>
      <c r="C69" s="636"/>
      <c r="D69" s="636"/>
      <c r="E69" s="636"/>
      <c r="F69" s="636"/>
      <c r="G69" s="806">
        <v>0</v>
      </c>
      <c r="H69" s="11">
        <f t="shared" si="0"/>
        <v>0</v>
      </c>
    </row>
    <row r="70" spans="1:8" s="12" customFormat="1" x14ac:dyDescent="0.25">
      <c r="A70" s="6" t="s">
        <v>391</v>
      </c>
      <c r="B70" s="636" t="s">
        <v>417</v>
      </c>
      <c r="C70" s="636"/>
      <c r="D70" s="636"/>
      <c r="E70" s="636"/>
      <c r="F70" s="636"/>
      <c r="G70" s="806">
        <v>0</v>
      </c>
      <c r="H70" s="11">
        <f t="shared" si="0"/>
        <v>0</v>
      </c>
    </row>
    <row r="71" spans="1:8" s="12" customFormat="1" x14ac:dyDescent="0.25">
      <c r="A71" s="6" t="s">
        <v>393</v>
      </c>
      <c r="B71" s="636" t="s">
        <v>418</v>
      </c>
      <c r="C71" s="636"/>
      <c r="D71" s="636"/>
      <c r="E71" s="636"/>
      <c r="F71" s="636"/>
      <c r="G71" s="806">
        <v>0</v>
      </c>
      <c r="H71" s="11">
        <f t="shared" si="0"/>
        <v>0</v>
      </c>
    </row>
    <row r="72" spans="1:8" s="12" customFormat="1" x14ac:dyDescent="0.25">
      <c r="A72" s="6" t="s">
        <v>419</v>
      </c>
      <c r="B72" s="636" t="s">
        <v>420</v>
      </c>
      <c r="C72" s="636"/>
      <c r="D72" s="636"/>
      <c r="E72" s="636"/>
      <c r="F72" s="636"/>
      <c r="G72" s="806">
        <v>0</v>
      </c>
      <c r="H72" s="11">
        <f t="shared" si="0"/>
        <v>0</v>
      </c>
    </row>
    <row r="73" spans="1:8" s="12" customFormat="1" x14ac:dyDescent="0.25">
      <c r="A73" s="6" t="s">
        <v>421</v>
      </c>
      <c r="B73" s="636" t="s">
        <v>422</v>
      </c>
      <c r="C73" s="636"/>
      <c r="D73" s="636"/>
      <c r="E73" s="636"/>
      <c r="F73" s="636"/>
      <c r="G73" s="806">
        <v>0</v>
      </c>
      <c r="H73" s="11">
        <f t="shared" si="0"/>
        <v>0</v>
      </c>
    </row>
    <row r="74" spans="1:8" x14ac:dyDescent="0.25">
      <c r="A74" s="659" t="s">
        <v>423</v>
      </c>
      <c r="B74" s="659" t="s">
        <v>424</v>
      </c>
      <c r="C74" s="659"/>
      <c r="D74" s="659"/>
      <c r="E74" s="659"/>
      <c r="F74" s="659"/>
      <c r="G74" s="34">
        <f>SUM(G66:G73)</f>
        <v>0</v>
      </c>
      <c r="H74" s="32">
        <f>SUM(H66:H73)</f>
        <v>0</v>
      </c>
    </row>
    <row r="75" spans="1:8" ht="15.75" customHeight="1" x14ac:dyDescent="0.25">
      <c r="A75" s="621" t="s">
        <v>372</v>
      </c>
      <c r="B75" s="622"/>
      <c r="C75" s="622"/>
      <c r="D75" s="622"/>
      <c r="E75" s="622"/>
      <c r="F75" s="622"/>
      <c r="G75" s="622"/>
      <c r="H75" s="622"/>
    </row>
    <row r="76" spans="1:8" ht="30" customHeight="1" x14ac:dyDescent="0.25">
      <c r="A76" s="625" t="s">
        <v>425</v>
      </c>
      <c r="B76" s="626"/>
      <c r="C76" s="626"/>
      <c r="D76" s="626"/>
      <c r="E76" s="626"/>
      <c r="F76" s="626"/>
      <c r="G76" s="626"/>
      <c r="H76" s="626"/>
    </row>
    <row r="77" spans="1:8" ht="45" customHeight="1" x14ac:dyDescent="0.25">
      <c r="A77" s="625" t="s">
        <v>426</v>
      </c>
      <c r="B77" s="626"/>
      <c r="C77" s="626"/>
      <c r="D77" s="626"/>
      <c r="E77" s="626"/>
      <c r="F77" s="626"/>
      <c r="G77" s="626"/>
      <c r="H77" s="626"/>
    </row>
    <row r="78" spans="1:8" ht="30" customHeight="1" x14ac:dyDescent="0.25">
      <c r="A78" s="625" t="s">
        <v>427</v>
      </c>
      <c r="B78" s="626"/>
      <c r="C78" s="626"/>
      <c r="D78" s="626"/>
      <c r="E78" s="626"/>
      <c r="F78" s="626"/>
      <c r="G78" s="626"/>
      <c r="H78" s="626"/>
    </row>
    <row r="79" spans="1:8" x14ac:dyDescent="0.25">
      <c r="A79" s="625" t="s">
        <v>428</v>
      </c>
      <c r="B79" s="626"/>
      <c r="C79" s="626"/>
      <c r="D79" s="626"/>
      <c r="E79" s="626"/>
      <c r="F79" s="626"/>
      <c r="G79" s="626"/>
      <c r="H79" s="626"/>
    </row>
    <row r="80" spans="1:8" ht="30" customHeight="1" x14ac:dyDescent="0.25">
      <c r="A80" s="621" t="s">
        <v>429</v>
      </c>
      <c r="B80" s="622"/>
      <c r="C80" s="622"/>
      <c r="D80" s="622"/>
      <c r="E80" s="622"/>
      <c r="F80" s="622"/>
      <c r="G80" s="622"/>
      <c r="H80" s="622"/>
    </row>
    <row r="81" spans="1:11" x14ac:dyDescent="0.25">
      <c r="A81" s="667" t="s">
        <v>430</v>
      </c>
      <c r="B81" s="668"/>
      <c r="C81" s="668"/>
      <c r="D81" s="668"/>
      <c r="E81" s="668"/>
      <c r="F81" s="668"/>
      <c r="G81" s="668"/>
      <c r="H81" s="668"/>
    </row>
    <row r="82" spans="1:11" x14ac:dyDescent="0.25">
      <c r="A82" s="625" t="s">
        <v>431</v>
      </c>
      <c r="B82" s="626"/>
      <c r="C82" s="626"/>
      <c r="D82" s="626"/>
      <c r="E82" s="626"/>
      <c r="F82" s="626"/>
      <c r="G82" s="626"/>
      <c r="H82" s="626"/>
    </row>
    <row r="83" spans="1:11" x14ac:dyDescent="0.25">
      <c r="A83" s="625" t="s">
        <v>432</v>
      </c>
      <c r="B83" s="626"/>
      <c r="C83" s="626"/>
      <c r="D83" s="626"/>
      <c r="E83" s="626"/>
      <c r="F83" s="626"/>
      <c r="G83" s="626"/>
      <c r="H83" s="626"/>
    </row>
    <row r="84" spans="1:11" ht="30" customHeight="1" x14ac:dyDescent="0.25">
      <c r="A84" s="676" t="s">
        <v>433</v>
      </c>
      <c r="B84" s="677"/>
      <c r="C84" s="677"/>
      <c r="D84" s="677"/>
      <c r="E84" s="677"/>
      <c r="F84" s="677"/>
      <c r="G84" s="677"/>
      <c r="H84" s="677"/>
    </row>
    <row r="85" spans="1:11" x14ac:dyDescent="0.25">
      <c r="A85" s="37"/>
      <c r="B85" s="37"/>
      <c r="C85" s="37"/>
      <c r="D85" s="37"/>
      <c r="E85" s="37"/>
      <c r="F85" s="37"/>
      <c r="G85" s="185"/>
      <c r="H85" s="180"/>
    </row>
    <row r="86" spans="1:11" ht="16.5" customHeight="1" x14ac:dyDescent="0.25">
      <c r="A86" s="14"/>
      <c r="B86" s="14"/>
      <c r="C86" s="14"/>
      <c r="D86" s="14"/>
      <c r="E86" s="14"/>
      <c r="F86" s="14"/>
      <c r="G86" s="14"/>
      <c r="H86" s="14"/>
    </row>
    <row r="87" spans="1:11" ht="16.5" customHeight="1" x14ac:dyDescent="0.25">
      <c r="A87" s="712" t="s">
        <v>434</v>
      </c>
      <c r="B87" s="712"/>
      <c r="C87" s="712"/>
      <c r="D87" s="712"/>
      <c r="E87" s="712"/>
      <c r="F87" s="712"/>
      <c r="G87" s="712"/>
      <c r="H87" s="712"/>
      <c r="J87" s="654" t="s">
        <v>435</v>
      </c>
      <c r="K87" s="654"/>
    </row>
    <row r="88" spans="1:11" ht="16.5" customHeight="1" x14ac:dyDescent="0.25">
      <c r="A88" s="186"/>
      <c r="B88" s="186"/>
      <c r="C88" s="186"/>
      <c r="D88" s="186"/>
      <c r="E88" s="186"/>
      <c r="F88" s="186"/>
      <c r="G88" s="186"/>
      <c r="H88" s="186"/>
      <c r="J88" s="187" t="s">
        <v>436</v>
      </c>
      <c r="K88" s="811">
        <v>0</v>
      </c>
    </row>
    <row r="89" spans="1:11" ht="16.5" customHeight="1" x14ac:dyDescent="0.25">
      <c r="A89" s="198" t="s">
        <v>437</v>
      </c>
      <c r="B89" s="687" t="s">
        <v>403</v>
      </c>
      <c r="C89" s="687"/>
      <c r="D89" s="687"/>
      <c r="E89" s="687"/>
      <c r="F89" s="687"/>
      <c r="G89" s="199" t="s">
        <v>438</v>
      </c>
      <c r="H89" s="199" t="s">
        <v>381</v>
      </c>
      <c r="J89" s="187" t="s">
        <v>439</v>
      </c>
      <c r="K89" s="811">
        <f>0</f>
        <v>0</v>
      </c>
    </row>
    <row r="90" spans="1:11" ht="16.5" customHeight="1" x14ac:dyDescent="0.25">
      <c r="A90" s="6" t="s">
        <v>382</v>
      </c>
      <c r="B90" s="636" t="s">
        <v>440</v>
      </c>
      <c r="C90" s="636"/>
      <c r="D90" s="636"/>
      <c r="E90" s="636"/>
      <c r="F90" s="636"/>
      <c r="G90" s="808">
        <f>K95</f>
        <v>0</v>
      </c>
      <c r="H90" s="11">
        <f>K100</f>
        <v>0</v>
      </c>
      <c r="J90" s="187" t="s">
        <v>441</v>
      </c>
      <c r="K90" s="188">
        <f>(K88*22)+(K88/2*4)</f>
        <v>0</v>
      </c>
    </row>
    <row r="91" spans="1:11" x14ac:dyDescent="0.25">
      <c r="A91" s="6" t="s">
        <v>385</v>
      </c>
      <c r="B91" s="636" t="s">
        <v>442</v>
      </c>
      <c r="C91" s="636"/>
      <c r="D91" s="636"/>
      <c r="E91" s="636"/>
      <c r="F91" s="636"/>
      <c r="G91" s="808">
        <f>K88</f>
        <v>0</v>
      </c>
      <c r="H91" s="11">
        <f>K92</f>
        <v>0</v>
      </c>
      <c r="J91" s="187" t="s">
        <v>443</v>
      </c>
      <c r="K91" s="188">
        <f>K90*10%</f>
        <v>0</v>
      </c>
    </row>
    <row r="92" spans="1:11" x14ac:dyDescent="0.25">
      <c r="A92" s="6" t="s">
        <v>387</v>
      </c>
      <c r="B92" s="636" t="s">
        <v>444</v>
      </c>
      <c r="C92" s="636"/>
      <c r="D92" s="636"/>
      <c r="E92" s="636"/>
      <c r="F92" s="636"/>
      <c r="G92" s="809"/>
      <c r="H92" s="810">
        <v>0</v>
      </c>
      <c r="J92" s="189" t="s">
        <v>445</v>
      </c>
      <c r="K92" s="190">
        <f>K90-K91</f>
        <v>0</v>
      </c>
    </row>
    <row r="93" spans="1:11" x14ac:dyDescent="0.25">
      <c r="A93" s="17" t="s">
        <v>389</v>
      </c>
      <c r="B93" s="636" t="s">
        <v>446</v>
      </c>
      <c r="C93" s="636"/>
      <c r="D93" s="636"/>
      <c r="E93" s="636"/>
      <c r="F93" s="636"/>
      <c r="G93" s="808">
        <v>0</v>
      </c>
      <c r="H93" s="810">
        <v>0</v>
      </c>
      <c r="J93" s="191"/>
      <c r="K93" s="191"/>
    </row>
    <row r="94" spans="1:11" x14ac:dyDescent="0.25">
      <c r="A94" s="6" t="s">
        <v>391</v>
      </c>
      <c r="B94" s="636" t="s">
        <v>447</v>
      </c>
      <c r="C94" s="636"/>
      <c r="D94" s="636"/>
      <c r="E94" s="636"/>
      <c r="F94" s="636"/>
      <c r="G94" s="809"/>
      <c r="H94" s="810">
        <v>0</v>
      </c>
      <c r="J94" s="654" t="s">
        <v>448</v>
      </c>
      <c r="K94" s="654"/>
    </row>
    <row r="95" spans="1:11" x14ac:dyDescent="0.25">
      <c r="A95" s="6" t="s">
        <v>393</v>
      </c>
      <c r="B95" s="807" t="s">
        <v>449</v>
      </c>
      <c r="C95" s="807"/>
      <c r="D95" s="807"/>
      <c r="E95" s="807"/>
      <c r="F95" s="807"/>
      <c r="G95" s="809"/>
      <c r="H95" s="810">
        <v>0</v>
      </c>
      <c r="J95" s="187" t="s">
        <v>450</v>
      </c>
      <c r="K95" s="811">
        <v>0</v>
      </c>
    </row>
    <row r="96" spans="1:11" ht="15.75" customHeight="1" x14ac:dyDescent="0.25">
      <c r="A96" s="637" t="s">
        <v>451</v>
      </c>
      <c r="B96" s="637"/>
      <c r="C96" s="637"/>
      <c r="D96" s="637"/>
      <c r="E96" s="637"/>
      <c r="F96" s="637"/>
      <c r="G96" s="637"/>
      <c r="H96" s="32">
        <f>SUM(H90:H95)</f>
        <v>0</v>
      </c>
      <c r="J96" s="187" t="s">
        <v>452</v>
      </c>
      <c r="K96" s="811">
        <v>0</v>
      </c>
    </row>
    <row r="97" spans="1:11" ht="15.75" customHeight="1" x14ac:dyDescent="0.25">
      <c r="A97" s="621" t="s">
        <v>372</v>
      </c>
      <c r="B97" s="622"/>
      <c r="C97" s="622"/>
      <c r="D97" s="622"/>
      <c r="E97" s="622"/>
      <c r="F97" s="622"/>
      <c r="G97" s="622"/>
      <c r="H97" s="622"/>
      <c r="J97" s="187" t="s">
        <v>453</v>
      </c>
      <c r="K97" s="811">
        <v>0</v>
      </c>
    </row>
    <row r="98" spans="1:11" ht="30" customHeight="1" x14ac:dyDescent="0.25">
      <c r="A98" s="625" t="s">
        <v>454</v>
      </c>
      <c r="B98" s="626"/>
      <c r="C98" s="626"/>
      <c r="D98" s="626"/>
      <c r="E98" s="626"/>
      <c r="F98" s="626"/>
      <c r="G98" s="626"/>
      <c r="H98" s="626"/>
      <c r="J98" s="187" t="s">
        <v>455</v>
      </c>
      <c r="K98" s="188">
        <f>K95*K96*K97</f>
        <v>0</v>
      </c>
    </row>
    <row r="99" spans="1:11" ht="30" customHeight="1" x14ac:dyDescent="0.25">
      <c r="A99" s="625" t="s">
        <v>456</v>
      </c>
      <c r="B99" s="626"/>
      <c r="C99" s="626"/>
      <c r="D99" s="626"/>
      <c r="E99" s="626"/>
      <c r="F99" s="626"/>
      <c r="G99" s="626"/>
      <c r="H99" s="626"/>
      <c r="J99" s="187" t="s">
        <v>457</v>
      </c>
      <c r="K99" s="188">
        <f>H35*6%</f>
        <v>0</v>
      </c>
    </row>
    <row r="100" spans="1:11" x14ac:dyDescent="0.25">
      <c r="A100" s="625" t="s">
        <v>458</v>
      </c>
      <c r="B100" s="626"/>
      <c r="C100" s="626"/>
      <c r="D100" s="626"/>
      <c r="E100" s="626"/>
      <c r="F100" s="626"/>
      <c r="G100" s="626"/>
      <c r="H100" s="626"/>
      <c r="J100" s="189" t="s">
        <v>445</v>
      </c>
      <c r="K100" s="192">
        <f>K98-K99</f>
        <v>0</v>
      </c>
    </row>
    <row r="102" spans="1:11" ht="15" customHeight="1" x14ac:dyDescent="0.25">
      <c r="A102" s="709" t="s">
        <v>459</v>
      </c>
      <c r="B102" s="710"/>
      <c r="C102" s="710"/>
      <c r="D102" s="710"/>
      <c r="E102" s="710"/>
      <c r="F102" s="710"/>
      <c r="G102" s="710"/>
      <c r="H102" s="711"/>
    </row>
    <row r="103" spans="1:11" ht="15" customHeight="1" x14ac:dyDescent="0.25">
      <c r="A103" s="38"/>
      <c r="B103" s="648" t="s">
        <v>403</v>
      </c>
      <c r="C103" s="648"/>
      <c r="D103" s="648"/>
      <c r="E103" s="648"/>
      <c r="F103" s="648"/>
      <c r="G103" s="648"/>
      <c r="H103" s="5" t="s">
        <v>460</v>
      </c>
    </row>
    <row r="104" spans="1:11" ht="15" customHeight="1" x14ac:dyDescent="0.25">
      <c r="A104" s="6" t="s">
        <v>402</v>
      </c>
      <c r="B104" s="636" t="s">
        <v>461</v>
      </c>
      <c r="C104" s="636"/>
      <c r="D104" s="636"/>
      <c r="E104" s="636"/>
      <c r="F104" s="636"/>
      <c r="G104" s="636"/>
      <c r="H104" s="11">
        <f>H57</f>
        <v>0</v>
      </c>
    </row>
    <row r="105" spans="1:11" ht="15" customHeight="1" x14ac:dyDescent="0.25">
      <c r="A105" s="6" t="s">
        <v>412</v>
      </c>
      <c r="B105" s="641" t="s">
        <v>462</v>
      </c>
      <c r="C105" s="641"/>
      <c r="D105" s="641"/>
      <c r="E105" s="641"/>
      <c r="F105" s="641"/>
      <c r="G105" s="641"/>
      <c r="H105" s="11">
        <f>H74</f>
        <v>0</v>
      </c>
    </row>
    <row r="106" spans="1:11" ht="15" customHeight="1" x14ac:dyDescent="0.25">
      <c r="A106" s="6" t="s">
        <v>437</v>
      </c>
      <c r="B106" s="636" t="s">
        <v>463</v>
      </c>
      <c r="C106" s="636"/>
      <c r="D106" s="636"/>
      <c r="E106" s="636"/>
      <c r="F106" s="636"/>
      <c r="G106" s="636"/>
      <c r="H106" s="11">
        <f>H96</f>
        <v>0</v>
      </c>
    </row>
    <row r="107" spans="1:11" ht="15" customHeight="1" x14ac:dyDescent="0.25">
      <c r="A107" s="642" t="s">
        <v>195</v>
      </c>
      <c r="B107" s="642"/>
      <c r="C107" s="642"/>
      <c r="D107" s="642"/>
      <c r="E107" s="642"/>
      <c r="F107" s="642"/>
      <c r="G107" s="642"/>
      <c r="H107" s="33">
        <f>SUM(H104:H106)</f>
        <v>0</v>
      </c>
    </row>
    <row r="108" spans="1:11" ht="15" customHeight="1" x14ac:dyDescent="0.25"/>
    <row r="109" spans="1:11" ht="15" customHeight="1" x14ac:dyDescent="0.25"/>
    <row r="110" spans="1:11" ht="15" customHeight="1" x14ac:dyDescent="0.25">
      <c r="A110" s="565" t="s">
        <v>465</v>
      </c>
      <c r="B110" s="565"/>
      <c r="C110" s="565"/>
      <c r="D110" s="565"/>
      <c r="E110" s="565"/>
      <c r="F110" s="565"/>
      <c r="G110" s="565"/>
      <c r="H110" s="565"/>
    </row>
    <row r="111" spans="1:11" ht="15" customHeight="1" x14ac:dyDescent="0.25"/>
    <row r="112" spans="1:11" x14ac:dyDescent="0.25">
      <c r="A112" s="661" t="s">
        <v>466</v>
      </c>
      <c r="B112" s="661"/>
      <c r="C112" s="661"/>
      <c r="D112" s="661"/>
      <c r="E112" s="661"/>
      <c r="F112" s="661"/>
      <c r="G112" s="661"/>
      <c r="H112" s="202">
        <f>(H41+H107)-(SUM(H66:H72))</f>
        <v>0</v>
      </c>
    </row>
    <row r="113" spans="1:9" ht="15.75" customHeight="1" x14ac:dyDescent="0.25">
      <c r="A113" s="661" t="s">
        <v>467</v>
      </c>
      <c r="B113" s="661"/>
      <c r="C113" s="661"/>
      <c r="D113" s="661"/>
      <c r="E113" s="661"/>
      <c r="F113" s="661"/>
      <c r="G113" s="661"/>
      <c r="H113" s="203">
        <f>H41+H107</f>
        <v>0</v>
      </c>
    </row>
    <row r="114" spans="1:9" x14ac:dyDescent="0.25">
      <c r="A114" s="195">
        <v>3</v>
      </c>
      <c r="B114" s="649" t="s">
        <v>403</v>
      </c>
      <c r="C114" s="649"/>
      <c r="D114" s="649"/>
      <c r="E114" s="649"/>
      <c r="F114" s="649"/>
      <c r="G114" s="200" t="s">
        <v>468</v>
      </c>
      <c r="H114" s="201" t="s">
        <v>469</v>
      </c>
    </row>
    <row r="115" spans="1:9" ht="15" customHeight="1" x14ac:dyDescent="0.25">
      <c r="A115" s="10" t="s">
        <v>382</v>
      </c>
      <c r="B115" s="632" t="s">
        <v>470</v>
      </c>
      <c r="C115" s="632"/>
      <c r="D115" s="632"/>
      <c r="E115" s="632"/>
      <c r="F115" s="632"/>
      <c r="G115" s="812">
        <v>0</v>
      </c>
      <c r="H115" s="9">
        <f>H112*G115</f>
        <v>0</v>
      </c>
      <c r="I115" s="193"/>
    </row>
    <row r="116" spans="1:9" x14ac:dyDescent="0.25">
      <c r="A116" s="6" t="s">
        <v>385</v>
      </c>
      <c r="B116" s="636" t="s">
        <v>471</v>
      </c>
      <c r="C116" s="636"/>
      <c r="D116" s="636"/>
      <c r="E116" s="636"/>
      <c r="F116" s="636"/>
      <c r="G116" s="813">
        <v>0</v>
      </c>
      <c r="H116" s="11">
        <f>H115*G116</f>
        <v>0</v>
      </c>
      <c r="I116" s="193"/>
    </row>
    <row r="117" spans="1:9" x14ac:dyDescent="0.25">
      <c r="A117" s="53" t="s">
        <v>387</v>
      </c>
      <c r="B117" s="662" t="s">
        <v>472</v>
      </c>
      <c r="C117" s="636"/>
      <c r="D117" s="636"/>
      <c r="E117" s="636"/>
      <c r="F117" s="636"/>
      <c r="G117" s="813">
        <v>0</v>
      </c>
      <c r="H117" s="11">
        <f>H115*G117</f>
        <v>0</v>
      </c>
      <c r="I117" s="193"/>
    </row>
    <row r="118" spans="1:9" x14ac:dyDescent="0.25">
      <c r="A118" s="43" t="s">
        <v>389</v>
      </c>
      <c r="B118" s="636" t="s">
        <v>473</v>
      </c>
      <c r="C118" s="636"/>
      <c r="D118" s="636"/>
      <c r="E118" s="636"/>
      <c r="F118" s="636"/>
      <c r="G118" s="813">
        <v>0</v>
      </c>
      <c r="H118" s="11">
        <f>H113*G118</f>
        <v>0</v>
      </c>
      <c r="I118" s="193"/>
    </row>
    <row r="119" spans="1:9" x14ac:dyDescent="0.25">
      <c r="A119" s="53" t="s">
        <v>391</v>
      </c>
      <c r="B119" s="636" t="s">
        <v>474</v>
      </c>
      <c r="C119" s="636"/>
      <c r="D119" s="636"/>
      <c r="E119" s="636"/>
      <c r="F119" s="636"/>
      <c r="G119" s="813">
        <f>G74</f>
        <v>0</v>
      </c>
      <c r="H119" s="11">
        <f>G119*H118</f>
        <v>0</v>
      </c>
      <c r="I119" s="193"/>
    </row>
    <row r="120" spans="1:9" x14ac:dyDescent="0.25">
      <c r="A120" s="43" t="s">
        <v>393</v>
      </c>
      <c r="B120" s="660" t="s">
        <v>475</v>
      </c>
      <c r="C120" s="641"/>
      <c r="D120" s="641"/>
      <c r="E120" s="641"/>
      <c r="F120" s="641"/>
      <c r="G120" s="813">
        <v>0</v>
      </c>
      <c r="H120" s="11">
        <f>G120*H118</f>
        <v>0</v>
      </c>
      <c r="I120" s="193"/>
    </row>
    <row r="121" spans="1:9" x14ac:dyDescent="0.25">
      <c r="A121" s="663" t="s">
        <v>195</v>
      </c>
      <c r="B121" s="664"/>
      <c r="C121" s="664"/>
      <c r="D121" s="664"/>
      <c r="E121" s="664"/>
      <c r="F121" s="665"/>
      <c r="G121" s="194">
        <f>SUM(G115:G120)</f>
        <v>0</v>
      </c>
      <c r="H121" s="33">
        <f>SUM(H115:H120)</f>
        <v>0</v>
      </c>
      <c r="I121" s="193"/>
    </row>
    <row r="122" spans="1:9" ht="15" customHeight="1" x14ac:dyDescent="0.25">
      <c r="A122" s="621" t="s">
        <v>372</v>
      </c>
      <c r="B122" s="622"/>
      <c r="C122" s="622"/>
      <c r="D122" s="622"/>
      <c r="E122" s="622"/>
      <c r="F122" s="622"/>
      <c r="G122" s="622"/>
      <c r="H122" s="622"/>
    </row>
    <row r="123" spans="1:9" ht="30" customHeight="1" x14ac:dyDescent="0.25">
      <c r="A123" s="625" t="s">
        <v>476</v>
      </c>
      <c r="B123" s="626"/>
      <c r="C123" s="626"/>
      <c r="D123" s="626"/>
      <c r="E123" s="626"/>
      <c r="F123" s="626"/>
      <c r="G123" s="626"/>
      <c r="H123" s="626"/>
    </row>
    <row r="124" spans="1:9" ht="45" customHeight="1" x14ac:dyDescent="0.25">
      <c r="A124" s="625" t="s">
        <v>477</v>
      </c>
      <c r="B124" s="626"/>
      <c r="C124" s="626"/>
      <c r="D124" s="626"/>
      <c r="E124" s="626"/>
      <c r="F124" s="626"/>
      <c r="G124" s="626"/>
      <c r="H124" s="626"/>
    </row>
    <row r="125" spans="1:9" ht="30" customHeight="1" x14ac:dyDescent="0.25">
      <c r="A125" s="625" t="s">
        <v>478</v>
      </c>
      <c r="B125" s="626"/>
      <c r="C125" s="626"/>
      <c r="D125" s="626"/>
      <c r="E125" s="626"/>
      <c r="F125" s="626"/>
      <c r="G125" s="626"/>
      <c r="H125" s="626"/>
    </row>
    <row r="126" spans="1:9" ht="14.25" customHeight="1" x14ac:dyDescent="0.25"/>
    <row r="127" spans="1:9" ht="14.25" customHeight="1" x14ac:dyDescent="0.25"/>
    <row r="128" spans="1:9" ht="15.75" x14ac:dyDescent="0.25">
      <c r="A128" s="565" t="s">
        <v>479</v>
      </c>
      <c r="B128" s="565"/>
      <c r="C128" s="565"/>
      <c r="D128" s="565"/>
      <c r="E128" s="565"/>
      <c r="F128" s="565"/>
      <c r="G128" s="565"/>
      <c r="H128" s="565"/>
    </row>
    <row r="129" spans="1:10" ht="16.5" customHeight="1" x14ac:dyDescent="0.25">
      <c r="A129" s="621" t="s">
        <v>372</v>
      </c>
      <c r="B129" s="622"/>
      <c r="C129" s="622"/>
      <c r="D129" s="622"/>
      <c r="E129" s="622"/>
      <c r="F129" s="622"/>
      <c r="G129" s="622"/>
      <c r="H129" s="622"/>
    </row>
    <row r="130" spans="1:10" ht="30" customHeight="1" x14ac:dyDescent="0.25">
      <c r="A130" s="625" t="s">
        <v>480</v>
      </c>
      <c r="B130" s="626"/>
      <c r="C130" s="626"/>
      <c r="D130" s="626"/>
      <c r="E130" s="626"/>
      <c r="F130" s="626"/>
      <c r="G130" s="626"/>
      <c r="H130" s="626"/>
    </row>
    <row r="131" spans="1:10" ht="15.75" x14ac:dyDescent="0.25">
      <c r="A131" s="19"/>
      <c r="B131" s="19"/>
      <c r="C131" s="19"/>
      <c r="D131" s="19"/>
      <c r="E131" s="19"/>
      <c r="F131" s="19"/>
      <c r="G131" s="19"/>
      <c r="H131" s="19"/>
    </row>
    <row r="132" spans="1:10" ht="15.75" x14ac:dyDescent="0.25">
      <c r="A132" s="708" t="s">
        <v>481</v>
      </c>
      <c r="B132" s="708"/>
      <c r="C132" s="708"/>
      <c r="D132" s="708"/>
      <c r="E132" s="708"/>
      <c r="F132" s="708"/>
      <c r="G132" s="708"/>
      <c r="H132" s="708"/>
    </row>
    <row r="133" spans="1:10" x14ac:dyDescent="0.25">
      <c r="A133" s="182"/>
      <c r="B133" s="182"/>
      <c r="C133" s="182"/>
      <c r="D133" s="182"/>
      <c r="E133" s="182"/>
      <c r="F133" s="182"/>
      <c r="G133" s="182"/>
      <c r="H133" s="182"/>
    </row>
    <row r="134" spans="1:10" ht="16.5" customHeight="1" x14ac:dyDescent="0.25">
      <c r="A134" s="658" t="s">
        <v>482</v>
      </c>
      <c r="B134" s="658"/>
      <c r="C134" s="658"/>
      <c r="D134" s="658"/>
      <c r="E134" s="658"/>
      <c r="F134" s="658"/>
      <c r="G134" s="658"/>
      <c r="H134" s="205">
        <f>H41+H107+H121</f>
        <v>0</v>
      </c>
    </row>
    <row r="135" spans="1:10" x14ac:dyDescent="0.25">
      <c r="A135" s="195" t="s">
        <v>483</v>
      </c>
      <c r="B135" s="649" t="s">
        <v>403</v>
      </c>
      <c r="C135" s="649"/>
      <c r="D135" s="649"/>
      <c r="E135" s="649"/>
      <c r="F135" s="649"/>
      <c r="G135" s="200" t="s">
        <v>468</v>
      </c>
      <c r="H135" s="201" t="s">
        <v>381</v>
      </c>
      <c r="I135" s="4"/>
    </row>
    <row r="136" spans="1:10" ht="15" customHeight="1" x14ac:dyDescent="0.25">
      <c r="A136" s="10" t="s">
        <v>382</v>
      </c>
      <c r="B136" s="650" t="s">
        <v>484</v>
      </c>
      <c r="C136" s="650"/>
      <c r="D136" s="650"/>
      <c r="E136" s="650"/>
      <c r="F136" s="650"/>
      <c r="G136" s="814">
        <v>0</v>
      </c>
      <c r="H136" s="28">
        <f>$H$134*G136</f>
        <v>0</v>
      </c>
      <c r="I136" s="4"/>
    </row>
    <row r="137" spans="1:10" x14ac:dyDescent="0.25">
      <c r="A137" s="10" t="s">
        <v>385</v>
      </c>
      <c r="B137" s="650" t="s">
        <v>485</v>
      </c>
      <c r="C137" s="650"/>
      <c r="D137" s="650"/>
      <c r="E137" s="650"/>
      <c r="F137" s="650"/>
      <c r="G137" s="814">
        <v>0</v>
      </c>
      <c r="H137" s="28">
        <f t="shared" ref="H137:H142" si="1">$H$134*G137</f>
        <v>0</v>
      </c>
      <c r="I137" s="4"/>
      <c r="J137" s="210"/>
    </row>
    <row r="138" spans="1:10" ht="15" customHeight="1" x14ac:dyDescent="0.25">
      <c r="A138" s="10" t="s">
        <v>387</v>
      </c>
      <c r="B138" s="651" t="s">
        <v>486</v>
      </c>
      <c r="C138" s="652"/>
      <c r="D138" s="652"/>
      <c r="E138" s="652"/>
      <c r="F138" s="653"/>
      <c r="G138" s="814">
        <v>0</v>
      </c>
      <c r="H138" s="28">
        <f t="shared" si="1"/>
        <v>0</v>
      </c>
      <c r="I138" s="4"/>
    </row>
    <row r="139" spans="1:10" ht="14.25" customHeight="1" x14ac:dyDescent="0.25">
      <c r="A139" s="10" t="s">
        <v>389</v>
      </c>
      <c r="B139" s="650" t="s">
        <v>487</v>
      </c>
      <c r="C139" s="650"/>
      <c r="D139" s="650"/>
      <c r="E139" s="650"/>
      <c r="F139" s="650"/>
      <c r="G139" s="814">
        <v>0</v>
      </c>
      <c r="H139" s="28">
        <f t="shared" si="1"/>
        <v>0</v>
      </c>
      <c r="I139" s="4"/>
    </row>
    <row r="140" spans="1:10" x14ac:dyDescent="0.25">
      <c r="A140" s="10" t="s">
        <v>391</v>
      </c>
      <c r="B140" s="651" t="s">
        <v>488</v>
      </c>
      <c r="C140" s="652"/>
      <c r="D140" s="652"/>
      <c r="E140" s="652"/>
      <c r="F140" s="653"/>
      <c r="G140" s="814">
        <f>(4/12)/12*0.02</f>
        <v>5.5555555555555556E-4</v>
      </c>
      <c r="H140" s="28">
        <f t="shared" si="1"/>
        <v>0</v>
      </c>
      <c r="I140" s="45"/>
      <c r="J140" s="209"/>
    </row>
    <row r="141" spans="1:10" ht="15.75" customHeight="1" x14ac:dyDescent="0.25">
      <c r="A141" s="6" t="s">
        <v>393</v>
      </c>
      <c r="B141" s="655" t="s">
        <v>489</v>
      </c>
      <c r="C141" s="656"/>
      <c r="D141" s="656"/>
      <c r="E141" s="656"/>
      <c r="F141" s="657"/>
      <c r="G141" s="814">
        <v>0</v>
      </c>
      <c r="H141" s="28">
        <f t="shared" si="1"/>
        <v>0</v>
      </c>
      <c r="I141" s="4"/>
    </row>
    <row r="142" spans="1:10" x14ac:dyDescent="0.25">
      <c r="A142" s="6" t="s">
        <v>419</v>
      </c>
      <c r="B142" s="816" t="s">
        <v>490</v>
      </c>
      <c r="C142" s="816"/>
      <c r="D142" s="816"/>
      <c r="E142" s="816"/>
      <c r="F142" s="816"/>
      <c r="G142" s="815"/>
      <c r="H142" s="11">
        <f t="shared" si="1"/>
        <v>0</v>
      </c>
      <c r="I142" s="4"/>
    </row>
    <row r="143" spans="1:10" x14ac:dyDescent="0.25">
      <c r="A143" s="659" t="s">
        <v>491</v>
      </c>
      <c r="B143" s="659" t="s">
        <v>424</v>
      </c>
      <c r="C143" s="659"/>
      <c r="D143" s="659"/>
      <c r="E143" s="659"/>
      <c r="F143" s="659"/>
      <c r="G143" s="20"/>
      <c r="H143" s="32">
        <f>H136+H137+H138+H139+H140+H141+H142</f>
        <v>0</v>
      </c>
      <c r="I143" s="4"/>
    </row>
    <row r="144" spans="1:10" ht="15.75" customHeight="1" x14ac:dyDescent="0.25">
      <c r="A144" s="621" t="s">
        <v>372</v>
      </c>
      <c r="B144" s="622"/>
      <c r="C144" s="622"/>
      <c r="D144" s="622"/>
      <c r="E144" s="622"/>
      <c r="F144" s="622"/>
      <c r="G144" s="622"/>
      <c r="H144" s="622"/>
    </row>
    <row r="145" spans="1:11" x14ac:dyDescent="0.25">
      <c r="A145" s="625" t="s">
        <v>492</v>
      </c>
      <c r="B145" s="626"/>
      <c r="C145" s="626"/>
      <c r="D145" s="626"/>
      <c r="E145" s="626"/>
      <c r="F145" s="626"/>
      <c r="G145" s="626"/>
      <c r="H145" s="626"/>
    </row>
    <row r="146" spans="1:11" ht="86.25" customHeight="1" x14ac:dyDescent="0.25">
      <c r="A146" s="625" t="s">
        <v>493</v>
      </c>
      <c r="B146" s="626"/>
      <c r="C146" s="626"/>
      <c r="D146" s="626"/>
      <c r="E146" s="626"/>
      <c r="F146" s="626"/>
      <c r="G146" s="626"/>
      <c r="H146" s="626"/>
      <c r="J146" s="208"/>
      <c r="K146" s="209"/>
    </row>
    <row r="147" spans="1:11" ht="37.5" customHeight="1" x14ac:dyDescent="0.25">
      <c r="A147" s="625" t="s">
        <v>494</v>
      </c>
      <c r="B147" s="626"/>
      <c r="C147" s="626"/>
      <c r="D147" s="626"/>
      <c r="E147" s="626"/>
      <c r="F147" s="626"/>
      <c r="G147" s="626"/>
      <c r="H147" s="626"/>
    </row>
    <row r="148" spans="1:11" ht="37.5" customHeight="1" x14ac:dyDescent="0.25">
      <c r="A148" s="625" t="s">
        <v>495</v>
      </c>
      <c r="B148" s="626"/>
      <c r="C148" s="626"/>
      <c r="D148" s="626"/>
      <c r="E148" s="626"/>
      <c r="F148" s="626"/>
      <c r="G148" s="626"/>
      <c r="H148" s="626"/>
    </row>
    <row r="149" spans="1:11" ht="37.5" customHeight="1" x14ac:dyDescent="0.25">
      <c r="A149" s="625" t="s">
        <v>496</v>
      </c>
      <c r="B149" s="626"/>
      <c r="C149" s="626"/>
      <c r="D149" s="626"/>
      <c r="E149" s="626"/>
      <c r="F149" s="626"/>
      <c r="G149" s="626"/>
      <c r="H149" s="626"/>
    </row>
    <row r="151" spans="1:11" x14ac:dyDescent="0.25">
      <c r="A151" s="644" t="s">
        <v>497</v>
      </c>
      <c r="B151" s="644"/>
      <c r="C151" s="644"/>
      <c r="D151" s="644"/>
      <c r="E151" s="644"/>
      <c r="F151" s="644"/>
      <c r="G151" s="644"/>
      <c r="H151" s="644"/>
    </row>
    <row r="152" spans="1:11" ht="15" customHeight="1" x14ac:dyDescent="0.25">
      <c r="A152" s="38" t="s">
        <v>498</v>
      </c>
      <c r="B152" s="600" t="s">
        <v>403</v>
      </c>
      <c r="C152" s="601"/>
      <c r="D152" s="601"/>
      <c r="E152" s="601"/>
      <c r="F152" s="601"/>
      <c r="G152" s="602"/>
      <c r="H152" s="363" t="s">
        <v>381</v>
      </c>
    </row>
    <row r="153" spans="1:11" ht="15" customHeight="1" x14ac:dyDescent="0.25">
      <c r="A153" s="10" t="s">
        <v>382</v>
      </c>
      <c r="B153" s="707" t="s">
        <v>547</v>
      </c>
      <c r="C153" s="604"/>
      <c r="D153" s="604"/>
      <c r="E153" s="604"/>
      <c r="F153" s="604"/>
      <c r="G153" s="605"/>
      <c r="H153" s="11">
        <f>G153*H41</f>
        <v>0</v>
      </c>
      <c r="J153" s="15"/>
      <c r="K153" s="15"/>
    </row>
    <row r="154" spans="1:11" x14ac:dyDescent="0.25">
      <c r="A154" s="615" t="s">
        <v>500</v>
      </c>
      <c r="B154" s="616"/>
      <c r="C154" s="616"/>
      <c r="D154" s="616"/>
      <c r="E154" s="616"/>
      <c r="F154" s="616"/>
      <c r="G154" s="617"/>
      <c r="H154" s="32">
        <f>SUM(H153)</f>
        <v>0</v>
      </c>
      <c r="J154" s="15"/>
    </row>
    <row r="155" spans="1:11" x14ac:dyDescent="0.25">
      <c r="J155" s="15"/>
    </row>
    <row r="156" spans="1:11" x14ac:dyDescent="0.25">
      <c r="J156" s="15"/>
    </row>
    <row r="157" spans="1:11" ht="18" customHeight="1" x14ac:dyDescent="0.25">
      <c r="A157" s="703" t="s">
        <v>501</v>
      </c>
      <c r="B157" s="704"/>
      <c r="C157" s="704"/>
      <c r="D157" s="704"/>
      <c r="E157" s="704"/>
      <c r="F157" s="704"/>
      <c r="G157" s="704"/>
      <c r="H157" s="705"/>
      <c r="J157" s="15"/>
    </row>
    <row r="158" spans="1:11" ht="15.95" customHeight="1" x14ac:dyDescent="0.25">
      <c r="A158" s="38"/>
      <c r="B158" s="648" t="s">
        <v>403</v>
      </c>
      <c r="C158" s="648"/>
      <c r="D158" s="648"/>
      <c r="E158" s="648"/>
      <c r="F158" s="648"/>
      <c r="G158" s="648"/>
      <c r="H158" s="363" t="s">
        <v>381</v>
      </c>
    </row>
    <row r="159" spans="1:11" x14ac:dyDescent="0.25">
      <c r="A159" s="6" t="s">
        <v>483</v>
      </c>
      <c r="B159" s="662" t="s">
        <v>548</v>
      </c>
      <c r="C159" s="636"/>
      <c r="D159" s="636"/>
      <c r="E159" s="636"/>
      <c r="F159" s="636"/>
      <c r="G159" s="636"/>
      <c r="H159" s="11">
        <f>H143</f>
        <v>0</v>
      </c>
    </row>
    <row r="160" spans="1:11" x14ac:dyDescent="0.25">
      <c r="A160" s="6" t="s">
        <v>498</v>
      </c>
      <c r="B160" s="706" t="s">
        <v>549</v>
      </c>
      <c r="C160" s="641"/>
      <c r="D160" s="641"/>
      <c r="E160" s="641"/>
      <c r="F160" s="641"/>
      <c r="G160" s="641"/>
      <c r="H160" s="11">
        <f>H154</f>
        <v>0</v>
      </c>
    </row>
    <row r="161" spans="1:10" x14ac:dyDescent="0.25">
      <c r="A161" s="642" t="s">
        <v>503</v>
      </c>
      <c r="B161" s="642"/>
      <c r="C161" s="642"/>
      <c r="D161" s="642"/>
      <c r="E161" s="642"/>
      <c r="F161" s="642"/>
      <c r="G161" s="642"/>
      <c r="H161" s="33">
        <f>SUM(H159:H160)</f>
        <v>0</v>
      </c>
    </row>
    <row r="162" spans="1:10" ht="15.75" customHeight="1" x14ac:dyDescent="0.25"/>
    <row r="163" spans="1:10" ht="15.75" customHeight="1" x14ac:dyDescent="0.25"/>
    <row r="164" spans="1:10" ht="15.75" customHeight="1" x14ac:dyDescent="0.25">
      <c r="A164" s="565" t="s">
        <v>504</v>
      </c>
      <c r="B164" s="565"/>
      <c r="C164" s="565"/>
      <c r="D164" s="565"/>
      <c r="E164" s="565"/>
      <c r="F164" s="565"/>
      <c r="G164" s="565"/>
      <c r="H164" s="565"/>
    </row>
    <row r="165" spans="1:10" ht="15" customHeight="1" x14ac:dyDescent="0.25"/>
    <row r="166" spans="1:10" ht="15" customHeight="1" x14ac:dyDescent="0.25">
      <c r="A166" s="38">
        <v>5</v>
      </c>
      <c r="B166" s="600" t="s">
        <v>403</v>
      </c>
      <c r="C166" s="601"/>
      <c r="D166" s="601"/>
      <c r="E166" s="601"/>
      <c r="F166" s="601"/>
      <c r="G166" s="602"/>
      <c r="H166" s="18" t="s">
        <v>381</v>
      </c>
    </row>
    <row r="167" spans="1:10" ht="15" customHeight="1" x14ac:dyDescent="0.25">
      <c r="A167" s="10" t="s">
        <v>382</v>
      </c>
      <c r="B167" s="606" t="s">
        <v>505</v>
      </c>
      <c r="C167" s="607"/>
      <c r="D167" s="607"/>
      <c r="E167" s="607"/>
      <c r="F167" s="607"/>
      <c r="G167" s="608"/>
      <c r="H167" s="9">
        <f>Uniforme!L29</f>
        <v>0</v>
      </c>
    </row>
    <row r="168" spans="1:10" ht="15" customHeight="1" x14ac:dyDescent="0.25">
      <c r="A168" s="6" t="s">
        <v>385</v>
      </c>
      <c r="B168" s="609" t="s">
        <v>506</v>
      </c>
      <c r="C168" s="610"/>
      <c r="D168" s="610"/>
      <c r="E168" s="610"/>
      <c r="F168" s="610"/>
      <c r="G168" s="611"/>
      <c r="H168" s="21" t="e">
        <f>'Mat Limpeza'!H85</f>
        <v>#DIV/0!</v>
      </c>
      <c r="J168" s="15"/>
    </row>
    <row r="169" spans="1:10" ht="15" customHeight="1" x14ac:dyDescent="0.25">
      <c r="A169" s="6" t="s">
        <v>387</v>
      </c>
      <c r="B169" s="609" t="s">
        <v>507</v>
      </c>
      <c r="C169" s="610"/>
      <c r="D169" s="610"/>
      <c r="E169" s="610"/>
      <c r="F169" s="610"/>
      <c r="G169" s="611"/>
      <c r="H169" s="21" t="e">
        <f>Equipamentos!I30</f>
        <v>#DIV/0!</v>
      </c>
      <c r="J169" s="15"/>
    </row>
    <row r="170" spans="1:10" ht="15" customHeight="1" x14ac:dyDescent="0.25">
      <c r="A170" s="43" t="s">
        <v>389</v>
      </c>
      <c r="B170" s="612" t="s">
        <v>508</v>
      </c>
      <c r="C170" s="613"/>
      <c r="D170" s="613"/>
      <c r="E170" s="613"/>
      <c r="F170" s="613"/>
      <c r="G170" s="614"/>
      <c r="H170" s="21">
        <f>'EPI''s e EPC''s'!L37</f>
        <v>0</v>
      </c>
    </row>
    <row r="171" spans="1:10" ht="15" customHeight="1" x14ac:dyDescent="0.25">
      <c r="A171" s="43" t="s">
        <v>391</v>
      </c>
      <c r="B171" s="817" t="s">
        <v>509</v>
      </c>
      <c r="C171" s="818"/>
      <c r="D171" s="818"/>
      <c r="E171" s="818"/>
      <c r="F171" s="818"/>
      <c r="G171" s="819"/>
      <c r="H171" s="810">
        <v>0</v>
      </c>
      <c r="I171" s="23"/>
    </row>
    <row r="172" spans="1:10" ht="15" customHeight="1" x14ac:dyDescent="0.25">
      <c r="A172" s="642" t="s">
        <v>510</v>
      </c>
      <c r="B172" s="642"/>
      <c r="C172" s="642"/>
      <c r="D172" s="642"/>
      <c r="E172" s="642"/>
      <c r="F172" s="642"/>
      <c r="G172" s="642"/>
      <c r="H172" s="33" t="e">
        <f>SUM(H167:H171)</f>
        <v>#DIV/0!</v>
      </c>
    </row>
    <row r="173" spans="1:10" ht="15" customHeight="1" x14ac:dyDescent="0.25">
      <c r="A173" s="621" t="s">
        <v>372</v>
      </c>
      <c r="B173" s="622"/>
      <c r="C173" s="622"/>
      <c r="D173" s="622"/>
      <c r="E173" s="622"/>
      <c r="F173" s="622"/>
      <c r="G173" s="622"/>
      <c r="H173" s="622"/>
    </row>
    <row r="174" spans="1:10" ht="30" customHeight="1" x14ac:dyDescent="0.25">
      <c r="A174" s="625" t="s">
        <v>511</v>
      </c>
      <c r="B174" s="626"/>
      <c r="C174" s="626"/>
      <c r="D174" s="626"/>
      <c r="E174" s="626"/>
      <c r="F174" s="626"/>
      <c r="G174" s="626"/>
      <c r="H174" s="626"/>
    </row>
    <row r="175" spans="1:10" x14ac:dyDescent="0.25">
      <c r="A175" s="625" t="s">
        <v>512</v>
      </c>
      <c r="B175" s="626"/>
      <c r="C175" s="626"/>
      <c r="D175" s="626"/>
      <c r="E175" s="626"/>
      <c r="F175" s="626"/>
      <c r="G175" s="626"/>
      <c r="H175" s="626"/>
    </row>
    <row r="176" spans="1:10" ht="30" customHeight="1" x14ac:dyDescent="0.25">
      <c r="A176" s="625" t="s">
        <v>513</v>
      </c>
      <c r="B176" s="626"/>
      <c r="C176" s="626"/>
      <c r="D176" s="626"/>
      <c r="E176" s="626"/>
      <c r="F176" s="626"/>
      <c r="G176" s="626"/>
      <c r="H176" s="626"/>
    </row>
    <row r="177" spans="1:11" ht="15" customHeight="1" x14ac:dyDescent="0.25">
      <c r="A177" s="35"/>
      <c r="B177" s="35"/>
      <c r="C177" s="35"/>
      <c r="D177" s="35"/>
      <c r="E177" s="35"/>
      <c r="F177" s="35"/>
      <c r="G177" s="35"/>
      <c r="H177" s="22"/>
    </row>
    <row r="178" spans="1:11" ht="15" customHeight="1" x14ac:dyDescent="0.25">
      <c r="A178" s="35"/>
      <c r="B178" s="35"/>
      <c r="C178" s="35"/>
      <c r="D178" s="35"/>
      <c r="E178" s="35"/>
      <c r="F178" s="35"/>
      <c r="G178" s="35"/>
      <c r="H178" s="22"/>
      <c r="J178" s="24"/>
      <c r="K178" s="24"/>
    </row>
    <row r="179" spans="1:11" ht="15.75" customHeight="1" x14ac:dyDescent="0.25">
      <c r="A179" s="565" t="s">
        <v>514</v>
      </c>
      <c r="B179" s="565"/>
      <c r="C179" s="565"/>
      <c r="D179" s="565"/>
      <c r="E179" s="565"/>
      <c r="F179" s="565"/>
      <c r="G179" s="565"/>
      <c r="H179" s="565"/>
      <c r="I179" s="24"/>
      <c r="J179" s="24"/>
      <c r="K179" s="24"/>
    </row>
    <row r="180" spans="1:11" ht="15.75" customHeight="1" x14ac:dyDescent="0.25">
      <c r="A180" s="179"/>
      <c r="B180" s="179"/>
      <c r="C180" s="179"/>
      <c r="D180" s="179"/>
      <c r="E180" s="179"/>
      <c r="F180" s="179"/>
      <c r="G180" s="179"/>
      <c r="H180" s="179"/>
      <c r="I180" s="24"/>
      <c r="J180" s="24"/>
      <c r="K180" s="24"/>
    </row>
    <row r="181" spans="1:11" ht="15.75" customHeight="1" x14ac:dyDescent="0.25">
      <c r="A181" s="631" t="s">
        <v>515</v>
      </c>
      <c r="B181" s="631"/>
      <c r="C181" s="631"/>
      <c r="D181" s="631"/>
      <c r="E181" s="631"/>
      <c r="F181" s="631"/>
      <c r="G181" s="631"/>
      <c r="H181" s="213" t="e">
        <f>SUM(H41,H107,H121,H161,H172)</f>
        <v>#DIV/0!</v>
      </c>
      <c r="I181" s="24"/>
    </row>
    <row r="182" spans="1:11" ht="15.75" customHeight="1" x14ac:dyDescent="0.25">
      <c r="A182" s="631" t="s">
        <v>516</v>
      </c>
      <c r="B182" s="631"/>
      <c r="C182" s="631"/>
      <c r="D182" s="631"/>
      <c r="E182" s="631"/>
      <c r="F182" s="631"/>
      <c r="G182" s="631"/>
      <c r="H182" s="213" t="e">
        <f>H181+H185</f>
        <v>#DIV/0!</v>
      </c>
      <c r="I182" s="24"/>
    </row>
    <row r="183" spans="1:11" x14ac:dyDescent="0.25">
      <c r="A183" s="631" t="s">
        <v>517</v>
      </c>
      <c r="B183" s="631"/>
      <c r="C183" s="631"/>
      <c r="D183" s="631"/>
      <c r="E183" s="631"/>
      <c r="F183" s="631"/>
      <c r="G183" s="631"/>
      <c r="H183" s="214" t="e">
        <f>(H182+H186)/(1-G187)</f>
        <v>#DIV/0!</v>
      </c>
      <c r="I183" s="24"/>
    </row>
    <row r="184" spans="1:11" ht="15.75" customHeight="1" x14ac:dyDescent="0.25">
      <c r="A184" s="633" t="s">
        <v>403</v>
      </c>
      <c r="B184" s="633"/>
      <c r="C184" s="633"/>
      <c r="D184" s="633"/>
      <c r="E184" s="633"/>
      <c r="F184" s="633"/>
      <c r="G184" s="25" t="s">
        <v>468</v>
      </c>
      <c r="H184" s="201" t="s">
        <v>381</v>
      </c>
      <c r="I184" s="24"/>
      <c r="J184" s="29"/>
    </row>
    <row r="185" spans="1:11" ht="15.75" customHeight="1" x14ac:dyDescent="0.25">
      <c r="A185" s="40" t="s">
        <v>382</v>
      </c>
      <c r="B185" s="632" t="s">
        <v>518</v>
      </c>
      <c r="C185" s="632"/>
      <c r="D185" s="632"/>
      <c r="E185" s="632"/>
      <c r="F185" s="632"/>
      <c r="G185" s="820">
        <v>0</v>
      </c>
      <c r="H185" s="221" t="e">
        <f>H181*G185</f>
        <v>#DIV/0!</v>
      </c>
      <c r="I185" s="24"/>
    </row>
    <row r="186" spans="1:11" x14ac:dyDescent="0.25">
      <c r="A186" s="40" t="s">
        <v>385</v>
      </c>
      <c r="B186" s="632" t="s">
        <v>519</v>
      </c>
      <c r="C186" s="632"/>
      <c r="D186" s="632"/>
      <c r="E186" s="632"/>
      <c r="F186" s="632"/>
      <c r="G186" s="820">
        <v>0</v>
      </c>
      <c r="H186" s="221" t="e">
        <f>H182*G186</f>
        <v>#DIV/0!</v>
      </c>
      <c r="I186" s="24"/>
    </row>
    <row r="187" spans="1:11" x14ac:dyDescent="0.25">
      <c r="A187" s="27" t="s">
        <v>387</v>
      </c>
      <c r="B187" s="634" t="s">
        <v>520</v>
      </c>
      <c r="C187" s="634"/>
      <c r="D187" s="634"/>
      <c r="E187" s="634"/>
      <c r="F187" s="634"/>
      <c r="G187" s="821">
        <f>SUM(G188:G193)</f>
        <v>0</v>
      </c>
      <c r="H187" s="26"/>
      <c r="I187" s="15"/>
    </row>
    <row r="188" spans="1:11" x14ac:dyDescent="0.25">
      <c r="A188" s="684" t="s">
        <v>521</v>
      </c>
      <c r="B188" s="634" t="s">
        <v>522</v>
      </c>
      <c r="C188" s="634"/>
      <c r="D188" s="634"/>
      <c r="E188" s="634"/>
      <c r="F188" s="634"/>
      <c r="G188" s="821"/>
      <c r="H188" s="28"/>
    </row>
    <row r="189" spans="1:11" x14ac:dyDescent="0.25">
      <c r="A189" s="684"/>
      <c r="B189" s="39"/>
      <c r="C189" s="655" t="s">
        <v>523</v>
      </c>
      <c r="D189" s="656"/>
      <c r="E189" s="656"/>
      <c r="F189" s="657"/>
      <c r="G189" s="821">
        <v>0</v>
      </c>
      <c r="H189" s="26" t="e">
        <f>$H$183*G189</f>
        <v>#DIV/0!</v>
      </c>
      <c r="I189" s="15"/>
    </row>
    <row r="190" spans="1:11" x14ac:dyDescent="0.25">
      <c r="A190" s="684"/>
      <c r="B190" s="39"/>
      <c r="C190" s="655" t="s">
        <v>524</v>
      </c>
      <c r="D190" s="656"/>
      <c r="E190" s="656"/>
      <c r="F190" s="657"/>
      <c r="G190" s="821">
        <v>0</v>
      </c>
      <c r="H190" s="26" t="e">
        <f t="shared" ref="H190:H193" si="2">$H$183*G190</f>
        <v>#DIV/0!</v>
      </c>
      <c r="I190" s="15"/>
    </row>
    <row r="191" spans="1:11" x14ac:dyDescent="0.25">
      <c r="A191" s="684"/>
      <c r="B191" s="807" t="s">
        <v>525</v>
      </c>
      <c r="C191" s="807"/>
      <c r="D191" s="807"/>
      <c r="E191" s="807"/>
      <c r="F191" s="807"/>
      <c r="G191" s="821">
        <v>0</v>
      </c>
      <c r="H191" s="26" t="e">
        <f t="shared" si="2"/>
        <v>#DIV/0!</v>
      </c>
      <c r="I191" s="15"/>
    </row>
    <row r="192" spans="1:11" x14ac:dyDescent="0.25">
      <c r="A192" s="684"/>
      <c r="B192" s="650" t="s">
        <v>526</v>
      </c>
      <c r="C192" s="650"/>
      <c r="D192" s="650"/>
      <c r="E192" s="650"/>
      <c r="F192" s="650"/>
      <c r="G192" s="821">
        <v>0</v>
      </c>
      <c r="H192" s="26" t="e">
        <f t="shared" si="2"/>
        <v>#DIV/0!</v>
      </c>
      <c r="I192" s="15"/>
    </row>
    <row r="193" spans="1:9" x14ac:dyDescent="0.25">
      <c r="A193" s="684"/>
      <c r="B193" s="807" t="s">
        <v>527</v>
      </c>
      <c r="C193" s="807"/>
      <c r="D193" s="807"/>
      <c r="E193" s="807"/>
      <c r="F193" s="807"/>
      <c r="G193" s="821">
        <v>0</v>
      </c>
      <c r="H193" s="26" t="e">
        <f t="shared" si="2"/>
        <v>#DIV/0!</v>
      </c>
      <c r="I193" s="15"/>
    </row>
    <row r="194" spans="1:9" x14ac:dyDescent="0.25">
      <c r="A194" s="642" t="s">
        <v>195</v>
      </c>
      <c r="B194" s="642"/>
      <c r="C194" s="642"/>
      <c r="D194" s="642"/>
      <c r="E194" s="642"/>
      <c r="F194" s="642"/>
      <c r="G194" s="642"/>
      <c r="H194" s="33" t="e">
        <f>SUM(H185:H193)</f>
        <v>#DIV/0!</v>
      </c>
    </row>
    <row r="195" spans="1:9" ht="15.75" customHeight="1" x14ac:dyDescent="0.25">
      <c r="A195" s="621" t="s">
        <v>372</v>
      </c>
      <c r="B195" s="622"/>
      <c r="C195" s="622"/>
      <c r="D195" s="622"/>
      <c r="E195" s="622"/>
      <c r="F195" s="622"/>
      <c r="G195" s="622"/>
      <c r="H195" s="622"/>
    </row>
    <row r="196" spans="1:9" ht="48.75" customHeight="1" x14ac:dyDescent="0.25">
      <c r="A196" s="623" t="s">
        <v>529</v>
      </c>
      <c r="B196" s="624"/>
      <c r="C196" s="624"/>
      <c r="D196" s="624"/>
      <c r="E196" s="624"/>
      <c r="F196" s="624"/>
      <c r="G196" s="624"/>
      <c r="H196" s="624"/>
    </row>
    <row r="197" spans="1:9" x14ac:dyDescent="0.25">
      <c r="A197" s="625" t="s">
        <v>530</v>
      </c>
      <c r="B197" s="626"/>
      <c r="C197" s="626"/>
      <c r="D197" s="626"/>
      <c r="E197" s="626"/>
      <c r="F197" s="626"/>
      <c r="G197" s="626"/>
      <c r="H197" s="626"/>
    </row>
    <row r="198" spans="1:9" x14ac:dyDescent="0.25">
      <c r="A198" s="625"/>
      <c r="B198" s="626"/>
      <c r="C198" s="626"/>
      <c r="D198" s="626"/>
      <c r="E198" s="626"/>
      <c r="F198" s="626"/>
      <c r="G198" s="626"/>
      <c r="H198" s="626"/>
    </row>
    <row r="199" spans="1:9" x14ac:dyDescent="0.25">
      <c r="A199" s="627"/>
      <c r="B199" s="628"/>
      <c r="C199" s="628"/>
      <c r="D199" s="628"/>
      <c r="E199" s="628"/>
      <c r="F199" s="628"/>
      <c r="G199" s="628"/>
      <c r="H199" s="628"/>
    </row>
    <row r="200" spans="1:9" ht="15.75" x14ac:dyDescent="0.25">
      <c r="A200" s="697" t="s">
        <v>531</v>
      </c>
      <c r="B200" s="698"/>
      <c r="C200" s="698"/>
      <c r="D200" s="698"/>
      <c r="E200" s="698"/>
      <c r="F200" s="698"/>
      <c r="G200" s="698"/>
      <c r="H200" s="698"/>
    </row>
    <row r="201" spans="1:9" x14ac:dyDescent="0.25">
      <c r="A201" s="206"/>
      <c r="B201" s="207"/>
      <c r="C201" s="207"/>
      <c r="D201" s="207"/>
      <c r="E201" s="207"/>
      <c r="F201" s="207"/>
      <c r="G201" s="207"/>
      <c r="H201" s="207"/>
    </row>
    <row r="202" spans="1:9" ht="15" customHeight="1" x14ac:dyDescent="0.25">
      <c r="A202" s="215"/>
      <c r="B202" s="699" t="s">
        <v>532</v>
      </c>
      <c r="C202" s="699"/>
      <c r="D202" s="699"/>
      <c r="E202" s="699"/>
      <c r="F202" s="699"/>
      <c r="G202" s="699"/>
      <c r="H202" s="216" t="s">
        <v>381</v>
      </c>
    </row>
    <row r="203" spans="1:9" ht="15.75" customHeight="1" x14ac:dyDescent="0.25">
      <c r="A203" s="212" t="s">
        <v>382</v>
      </c>
      <c r="B203" s="696" t="s">
        <v>533</v>
      </c>
      <c r="C203" s="696"/>
      <c r="D203" s="696"/>
      <c r="E203" s="696"/>
      <c r="F203" s="696"/>
      <c r="G203" s="696"/>
      <c r="H203" s="217">
        <f>H41</f>
        <v>0</v>
      </c>
    </row>
    <row r="204" spans="1:9" ht="15.75" customHeight="1" x14ac:dyDescent="0.25">
      <c r="A204" s="212" t="s">
        <v>385</v>
      </c>
      <c r="B204" s="700" t="s">
        <v>534</v>
      </c>
      <c r="C204" s="701"/>
      <c r="D204" s="701"/>
      <c r="E204" s="701"/>
      <c r="F204" s="701"/>
      <c r="G204" s="702"/>
      <c r="H204" s="217">
        <f>H107</f>
        <v>0</v>
      </c>
    </row>
    <row r="205" spans="1:9" ht="15.75" customHeight="1" x14ac:dyDescent="0.25">
      <c r="A205" s="212" t="s">
        <v>387</v>
      </c>
      <c r="B205" s="700" t="s">
        <v>535</v>
      </c>
      <c r="C205" s="701"/>
      <c r="D205" s="701"/>
      <c r="E205" s="701"/>
      <c r="F205" s="701"/>
      <c r="G205" s="702"/>
      <c r="H205" s="217">
        <f>H121</f>
        <v>0</v>
      </c>
    </row>
    <row r="206" spans="1:9" ht="15.75" customHeight="1" x14ac:dyDescent="0.25">
      <c r="A206" s="212" t="s">
        <v>389</v>
      </c>
      <c r="B206" s="696" t="s">
        <v>536</v>
      </c>
      <c r="C206" s="696"/>
      <c r="D206" s="696"/>
      <c r="E206" s="696"/>
      <c r="F206" s="696"/>
      <c r="G206" s="696"/>
      <c r="H206" s="217">
        <f>H143</f>
        <v>0</v>
      </c>
    </row>
    <row r="207" spans="1:9" ht="15.75" customHeight="1" x14ac:dyDescent="0.25">
      <c r="A207" s="212" t="s">
        <v>391</v>
      </c>
      <c r="B207" s="696" t="s">
        <v>537</v>
      </c>
      <c r="C207" s="696"/>
      <c r="D207" s="696"/>
      <c r="E207" s="696"/>
      <c r="F207" s="696"/>
      <c r="G207" s="696"/>
      <c r="H207" s="217" t="e">
        <f>H172</f>
        <v>#DIV/0!</v>
      </c>
    </row>
    <row r="208" spans="1:9" ht="15.75" customHeight="1" x14ac:dyDescent="0.25">
      <c r="A208" s="695" t="s">
        <v>538</v>
      </c>
      <c r="B208" s="695"/>
      <c r="C208" s="695"/>
      <c r="D208" s="695"/>
      <c r="E208" s="695"/>
      <c r="F208" s="695"/>
      <c r="G208" s="695"/>
      <c r="H208" s="218" t="e">
        <f>SUM(H203:H207)</f>
        <v>#DIV/0!</v>
      </c>
    </row>
    <row r="209" spans="1:8" ht="15.75" customHeight="1" x14ac:dyDescent="0.25">
      <c r="A209" s="212" t="s">
        <v>393</v>
      </c>
      <c r="B209" s="696" t="s">
        <v>539</v>
      </c>
      <c r="C209" s="696"/>
      <c r="D209" s="696"/>
      <c r="E209" s="696"/>
      <c r="F209" s="696"/>
      <c r="G209" s="696"/>
      <c r="H209" s="217" t="e">
        <f>H194</f>
        <v>#DIV/0!</v>
      </c>
    </row>
    <row r="210" spans="1:8" ht="15.75" customHeight="1" x14ac:dyDescent="0.25">
      <c r="A210" s="695" t="s">
        <v>540</v>
      </c>
      <c r="B210" s="695"/>
      <c r="C210" s="695"/>
      <c r="D210" s="695"/>
      <c r="E210" s="695"/>
      <c r="F210" s="695"/>
      <c r="G210" s="695"/>
      <c r="H210" s="218" t="e">
        <f>H208+H209</f>
        <v>#DIV/0!</v>
      </c>
    </row>
    <row r="211" spans="1:8" ht="15.75" customHeight="1" x14ac:dyDescent="0.25">
      <c r="A211" s="695" t="s">
        <v>541</v>
      </c>
      <c r="B211" s="695"/>
      <c r="C211" s="695"/>
      <c r="D211" s="695"/>
      <c r="E211" s="695"/>
      <c r="F211" s="695"/>
      <c r="G211" s="695"/>
      <c r="H211" s="220">
        <v>0</v>
      </c>
    </row>
    <row r="212" spans="1:8" ht="15.75" customHeight="1" x14ac:dyDescent="0.25">
      <c r="A212" s="695" t="s">
        <v>542</v>
      </c>
      <c r="B212" s="695"/>
      <c r="C212" s="695"/>
      <c r="D212" s="695"/>
      <c r="E212" s="695"/>
      <c r="F212" s="695"/>
      <c r="G212" s="695"/>
      <c r="H212" s="219" t="e">
        <f>H210*H211</f>
        <v>#DIV/0!</v>
      </c>
    </row>
    <row r="213" spans="1:8" ht="15.75" customHeight="1" x14ac:dyDescent="0.25">
      <c r="A213" s="695" t="s">
        <v>543</v>
      </c>
      <c r="B213" s="695"/>
      <c r="C213" s="695"/>
      <c r="D213" s="695"/>
      <c r="E213" s="695"/>
      <c r="F213" s="695"/>
      <c r="G213" s="695"/>
      <c r="H213" s="219" t="e">
        <f>H212*12</f>
        <v>#DIV/0!</v>
      </c>
    </row>
    <row r="214" spans="1:8" x14ac:dyDescent="0.25">
      <c r="A214"/>
      <c r="B214"/>
      <c r="C214"/>
      <c r="D214"/>
      <c r="E214"/>
      <c r="F214"/>
      <c r="G214"/>
      <c r="H214"/>
    </row>
    <row r="215" spans="1:8" x14ac:dyDescent="0.25">
      <c r="A215"/>
      <c r="B215"/>
      <c r="C215"/>
      <c r="D215"/>
      <c r="E215"/>
      <c r="F215"/>
      <c r="G215"/>
      <c r="H215"/>
    </row>
    <row r="216" spans="1:8" x14ac:dyDescent="0.25">
      <c r="A216"/>
      <c r="B216"/>
      <c r="C216"/>
      <c r="D216"/>
      <c r="E216"/>
      <c r="F216"/>
      <c r="G216"/>
      <c r="H216"/>
    </row>
    <row r="217" spans="1:8" x14ac:dyDescent="0.25">
      <c r="A217"/>
      <c r="B217"/>
      <c r="C217"/>
      <c r="D217"/>
      <c r="E217"/>
      <c r="F217"/>
      <c r="G217"/>
      <c r="H217"/>
    </row>
    <row r="218" spans="1:8" x14ac:dyDescent="0.25">
      <c r="A218"/>
      <c r="B218"/>
      <c r="C218"/>
      <c r="D218"/>
      <c r="E218"/>
      <c r="F218"/>
      <c r="G218"/>
      <c r="H218"/>
    </row>
    <row r="219" spans="1:8" x14ac:dyDescent="0.25">
      <c r="A219"/>
      <c r="B219"/>
      <c r="C219"/>
      <c r="D219"/>
      <c r="E219"/>
      <c r="F219"/>
      <c r="G219"/>
      <c r="H219"/>
    </row>
  </sheetData>
  <sheetProtection algorithmName="SHA-512" hashValue="YabH5obfxxCHmWbskLBp3SamYyjueXQyS8i4iwNW2V9rBoEun3b47/VDXtji/neaKrkVFnnV0rgXWKgvAqcWBA==" saltValue="nDFVRV3SVB4/rowCxqc1Mg==" spinCount="100000" sheet="1" objects="1" scenarios="1"/>
  <mergeCells count="190">
    <mergeCell ref="A12:H12"/>
    <mergeCell ref="A14:H14"/>
    <mergeCell ref="A15:H15"/>
    <mergeCell ref="A5:H5"/>
    <mergeCell ref="A6:H6"/>
    <mergeCell ref="A8:H8"/>
    <mergeCell ref="A9:H9"/>
    <mergeCell ref="A10:H10"/>
    <mergeCell ref="A11:H11"/>
    <mergeCell ref="G20:H20"/>
    <mergeCell ref="G21:H21"/>
    <mergeCell ref="G22:H22"/>
    <mergeCell ref="G17:H17"/>
    <mergeCell ref="G19:H19"/>
    <mergeCell ref="A16:H16"/>
    <mergeCell ref="B17:F17"/>
    <mergeCell ref="B18:F18"/>
    <mergeCell ref="G18:H18"/>
    <mergeCell ref="B19:F19"/>
    <mergeCell ref="B20:F20"/>
    <mergeCell ref="B21:F21"/>
    <mergeCell ref="B22:F22"/>
    <mergeCell ref="A29:H29"/>
    <mergeCell ref="A30:H30"/>
    <mergeCell ref="A31:H31"/>
    <mergeCell ref="A32:H32"/>
    <mergeCell ref="B34:F34"/>
    <mergeCell ref="B35:F35"/>
    <mergeCell ref="G24:H24"/>
    <mergeCell ref="A25:H25"/>
    <mergeCell ref="A26:H26"/>
    <mergeCell ref="A27:H27"/>
    <mergeCell ref="A28:H28"/>
    <mergeCell ref="B24:F24"/>
    <mergeCell ref="A42:H42"/>
    <mergeCell ref="A43:H43"/>
    <mergeCell ref="A45:H45"/>
    <mergeCell ref="A47:H47"/>
    <mergeCell ref="A48:H48"/>
    <mergeCell ref="A49:H49"/>
    <mergeCell ref="B36:F36"/>
    <mergeCell ref="B37:F37"/>
    <mergeCell ref="B38:F38"/>
    <mergeCell ref="B39:F39"/>
    <mergeCell ref="B40:F40"/>
    <mergeCell ref="A41:G41"/>
    <mergeCell ref="A44:H44"/>
    <mergeCell ref="A58:H58"/>
    <mergeCell ref="A59:H59"/>
    <mergeCell ref="A60:H60"/>
    <mergeCell ref="A62:H62"/>
    <mergeCell ref="A50:H50"/>
    <mergeCell ref="A52:H52"/>
    <mergeCell ref="B54:F54"/>
    <mergeCell ref="B55:F55"/>
    <mergeCell ref="B56:F56"/>
    <mergeCell ref="A57:F57"/>
    <mergeCell ref="B71:F71"/>
    <mergeCell ref="B72:F72"/>
    <mergeCell ref="B73:F73"/>
    <mergeCell ref="A74:F74"/>
    <mergeCell ref="A75:H75"/>
    <mergeCell ref="A76:H76"/>
    <mergeCell ref="B65:F65"/>
    <mergeCell ref="B66:F66"/>
    <mergeCell ref="B67:F67"/>
    <mergeCell ref="B68:F68"/>
    <mergeCell ref="B69:F69"/>
    <mergeCell ref="B70:F70"/>
    <mergeCell ref="J94:K94"/>
    <mergeCell ref="B95:F95"/>
    <mergeCell ref="A83:H83"/>
    <mergeCell ref="A84:H84"/>
    <mergeCell ref="A87:H87"/>
    <mergeCell ref="J87:K87"/>
    <mergeCell ref="B89:F89"/>
    <mergeCell ref="B90:F90"/>
    <mergeCell ref="A77:H77"/>
    <mergeCell ref="A78:H78"/>
    <mergeCell ref="A79:H79"/>
    <mergeCell ref="A80:H80"/>
    <mergeCell ref="A81:H81"/>
    <mergeCell ref="A82:H82"/>
    <mergeCell ref="A96:G96"/>
    <mergeCell ref="A97:H97"/>
    <mergeCell ref="A98:H98"/>
    <mergeCell ref="A99:H99"/>
    <mergeCell ref="A100:H100"/>
    <mergeCell ref="A102:H102"/>
    <mergeCell ref="B91:F91"/>
    <mergeCell ref="B92:F92"/>
    <mergeCell ref="B93:F93"/>
    <mergeCell ref="B94:F94"/>
    <mergeCell ref="A112:G112"/>
    <mergeCell ref="A113:G113"/>
    <mergeCell ref="B114:F114"/>
    <mergeCell ref="B115:F115"/>
    <mergeCell ref="B116:F116"/>
    <mergeCell ref="B117:F117"/>
    <mergeCell ref="B103:G103"/>
    <mergeCell ref="B104:G104"/>
    <mergeCell ref="B105:G105"/>
    <mergeCell ref="B106:G106"/>
    <mergeCell ref="A107:G107"/>
    <mergeCell ref="A110:H110"/>
    <mergeCell ref="A124:H124"/>
    <mergeCell ref="A125:H125"/>
    <mergeCell ref="A128:H128"/>
    <mergeCell ref="A129:H129"/>
    <mergeCell ref="A130:H130"/>
    <mergeCell ref="A132:H132"/>
    <mergeCell ref="B118:F118"/>
    <mergeCell ref="B119:F119"/>
    <mergeCell ref="B120:F120"/>
    <mergeCell ref="A121:F121"/>
    <mergeCell ref="A122:H122"/>
    <mergeCell ref="A123:H123"/>
    <mergeCell ref="B140:F140"/>
    <mergeCell ref="B141:F141"/>
    <mergeCell ref="B142:F142"/>
    <mergeCell ref="A143:F143"/>
    <mergeCell ref="A144:H144"/>
    <mergeCell ref="A145:H145"/>
    <mergeCell ref="A134:G134"/>
    <mergeCell ref="B135:F135"/>
    <mergeCell ref="B136:F136"/>
    <mergeCell ref="B137:F137"/>
    <mergeCell ref="B138:F138"/>
    <mergeCell ref="B139:F139"/>
    <mergeCell ref="A161:G161"/>
    <mergeCell ref="A164:H164"/>
    <mergeCell ref="A157:H157"/>
    <mergeCell ref="B158:G158"/>
    <mergeCell ref="B159:G159"/>
    <mergeCell ref="B160:G160"/>
    <mergeCell ref="B153:G153"/>
    <mergeCell ref="A154:G154"/>
    <mergeCell ref="A146:H146"/>
    <mergeCell ref="A147:H147"/>
    <mergeCell ref="A148:H148"/>
    <mergeCell ref="A149:H149"/>
    <mergeCell ref="A151:H151"/>
    <mergeCell ref="B152:G152"/>
    <mergeCell ref="A181:G181"/>
    <mergeCell ref="A182:G182"/>
    <mergeCell ref="A183:G183"/>
    <mergeCell ref="A184:F184"/>
    <mergeCell ref="B185:F185"/>
    <mergeCell ref="B186:F186"/>
    <mergeCell ref="A172:G172"/>
    <mergeCell ref="A173:H173"/>
    <mergeCell ref="A174:H174"/>
    <mergeCell ref="A175:H175"/>
    <mergeCell ref="A176:H176"/>
    <mergeCell ref="A179:H179"/>
    <mergeCell ref="A197:H197"/>
    <mergeCell ref="A198:H198"/>
    <mergeCell ref="A199:H199"/>
    <mergeCell ref="B187:F187"/>
    <mergeCell ref="A188:A193"/>
    <mergeCell ref="B188:F188"/>
    <mergeCell ref="C189:F189"/>
    <mergeCell ref="C190:F190"/>
    <mergeCell ref="B191:F191"/>
    <mergeCell ref="B192:F192"/>
    <mergeCell ref="B193:F193"/>
    <mergeCell ref="B23:F23"/>
    <mergeCell ref="G23:H23"/>
    <mergeCell ref="A213:G213"/>
    <mergeCell ref="B166:G166"/>
    <mergeCell ref="B167:G167"/>
    <mergeCell ref="B168:G168"/>
    <mergeCell ref="B169:G169"/>
    <mergeCell ref="B170:G170"/>
    <mergeCell ref="B171:G171"/>
    <mergeCell ref="B207:G207"/>
    <mergeCell ref="A208:G208"/>
    <mergeCell ref="B209:G209"/>
    <mergeCell ref="A210:G210"/>
    <mergeCell ref="A211:G211"/>
    <mergeCell ref="A212:G212"/>
    <mergeCell ref="A200:H200"/>
    <mergeCell ref="B202:G202"/>
    <mergeCell ref="B203:G203"/>
    <mergeCell ref="B204:G204"/>
    <mergeCell ref="B205:G205"/>
    <mergeCell ref="B206:G206"/>
    <mergeCell ref="A194:G194"/>
    <mergeCell ref="A195:H195"/>
    <mergeCell ref="A196:H196"/>
  </mergeCells>
  <printOptions horizontalCentered="1" verticalCentered="1"/>
  <pageMargins left="0.51181102362204722" right="0.51181102362204722" top="0.74803149606299213" bottom="0.74803149606299213" header="0.31496062992125984" footer="0.31496062992125984"/>
  <pageSetup paperSize="9" scale="72" fitToWidth="0" fitToHeight="0" orientation="portrait" r:id="rId1"/>
  <headerFooter alignWithMargins="0">
    <oddFooter>&amp;A</oddFooter>
  </headerFooter>
  <rowBreaks count="3" manualBreakCount="3">
    <brk id="51" max="7" man="1"/>
    <brk id="100" max="7" man="1"/>
    <brk id="149" max="7" man="1"/>
  </rowBreaks>
  <drawing r:id="rId2"/>
  <legacyDrawing r:id="rId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59999389629810485"/>
  </sheetPr>
  <dimension ref="A1:K218"/>
  <sheetViews>
    <sheetView showGridLines="0" zoomScaleNormal="100" workbookViewId="0">
      <selection activeCell="K1" sqref="K1"/>
    </sheetView>
  </sheetViews>
  <sheetFormatPr defaultRowHeight="15" x14ac:dyDescent="0.25"/>
  <cols>
    <col min="1" max="1" width="4.7109375" style="3" customWidth="1"/>
    <col min="2" max="2" width="8.85546875" style="3" customWidth="1"/>
    <col min="3" max="3" width="12.7109375" style="3" customWidth="1"/>
    <col min="4" max="4" width="8.85546875" style="3" customWidth="1"/>
    <col min="5" max="5" width="7.42578125" style="3" customWidth="1"/>
    <col min="6" max="6" width="26.140625" style="3" customWidth="1"/>
    <col min="7" max="7" width="18.140625" style="3" customWidth="1"/>
    <col min="8" max="8" width="16.7109375" style="13" customWidth="1"/>
    <col min="9" max="9" width="11.5703125" style="3" customWidth="1"/>
    <col min="10" max="10" width="48.85546875" style="3" bestFit="1" customWidth="1"/>
    <col min="11" max="11" width="12.140625" style="3" customWidth="1"/>
    <col min="12" max="16384" width="9.140625" style="3"/>
  </cols>
  <sheetData>
    <row r="1" spans="1:8" ht="15" customHeight="1" x14ac:dyDescent="0.25">
      <c r="A1" s="36"/>
      <c r="B1" s="36"/>
      <c r="C1" s="36"/>
      <c r="D1" s="36"/>
      <c r="E1" s="36"/>
      <c r="F1" s="36"/>
      <c r="G1" s="36"/>
      <c r="H1" s="36"/>
    </row>
    <row r="2" spans="1:8" ht="15" customHeight="1" x14ac:dyDescent="0.25">
      <c r="A2" s="36"/>
      <c r="B2" s="36"/>
      <c r="C2" s="36"/>
      <c r="D2" s="36"/>
      <c r="E2" s="36"/>
      <c r="F2" s="36"/>
      <c r="G2" s="36"/>
      <c r="H2" s="36"/>
    </row>
    <row r="3" spans="1:8" ht="15" customHeight="1" x14ac:dyDescent="0.25">
      <c r="A3" s="36"/>
      <c r="B3" s="36"/>
      <c r="C3" s="36"/>
      <c r="D3" s="36"/>
      <c r="E3" s="36"/>
      <c r="F3" s="36"/>
      <c r="G3" s="36"/>
      <c r="H3" s="36"/>
    </row>
    <row r="4" spans="1:8" ht="15" customHeight="1" x14ac:dyDescent="0.25">
      <c r="A4" s="36"/>
      <c r="B4" s="36"/>
      <c r="C4" s="36"/>
      <c r="D4" s="36"/>
      <c r="E4" s="36"/>
      <c r="F4" s="36"/>
      <c r="G4" s="36"/>
      <c r="H4" s="36"/>
    </row>
    <row r="5" spans="1:8" ht="15" customHeight="1" x14ac:dyDescent="0.25">
      <c r="A5" s="490" t="str">
        <f>ORIENTAÇÕES!A5</f>
        <v>MINISTÉRIO DA AGRICULTURA E PECUÁRIA</v>
      </c>
      <c r="B5" s="490"/>
      <c r="C5" s="490"/>
      <c r="D5" s="490"/>
      <c r="E5" s="490"/>
      <c r="F5" s="490"/>
      <c r="G5" s="490"/>
      <c r="H5" s="490"/>
    </row>
    <row r="6" spans="1:8" ht="15" customHeight="1" x14ac:dyDescent="0.25">
      <c r="A6" s="490" t="str">
        <f>ORIENTAÇÕES!A6</f>
        <v>LABORATÓRIO FEDERAL DE DEFESA AGROPECUÁRIA NO PARÁ</v>
      </c>
      <c r="B6" s="490"/>
      <c r="C6" s="490"/>
      <c r="D6" s="490"/>
      <c r="E6" s="490"/>
      <c r="F6" s="490"/>
      <c r="G6" s="490"/>
      <c r="H6" s="490"/>
    </row>
    <row r="7" spans="1:8" ht="15" customHeight="1" x14ac:dyDescent="0.25">
      <c r="A7" s="36"/>
      <c r="B7" s="36"/>
      <c r="C7" s="36"/>
      <c r="D7" s="36"/>
      <c r="E7" s="36"/>
      <c r="F7" s="36"/>
      <c r="G7" s="36"/>
      <c r="H7" s="36"/>
    </row>
    <row r="8" spans="1:8" ht="19.5" customHeight="1" x14ac:dyDescent="0.25">
      <c r="A8" s="689" t="str">
        <f>ORIENTAÇÕES!A8</f>
        <v xml:space="preserve">PLANILHA REFERENCIAL DE CUSTO E FORMAÇÃO DE PREÇO </v>
      </c>
      <c r="B8" s="689"/>
      <c r="C8" s="689"/>
      <c r="D8" s="689"/>
      <c r="E8" s="689"/>
      <c r="F8" s="689"/>
      <c r="G8" s="689"/>
      <c r="H8" s="689"/>
    </row>
    <row r="9" spans="1:8" x14ac:dyDescent="0.25">
      <c r="A9" s="690" t="s">
        <v>361</v>
      </c>
      <c r="B9" s="690"/>
      <c r="C9" s="690"/>
      <c r="D9" s="690"/>
      <c r="E9" s="690"/>
      <c r="F9" s="690"/>
      <c r="G9" s="690"/>
      <c r="H9" s="690"/>
    </row>
    <row r="10" spans="1:8" ht="15" customHeight="1" x14ac:dyDescent="0.25">
      <c r="A10" s="487" t="str">
        <f>ORIENTAÇÕES!A10</f>
        <v>Pregão Eletrônico 12/2023</v>
      </c>
      <c r="B10" s="487"/>
      <c r="C10" s="487"/>
      <c r="D10" s="487"/>
      <c r="E10" s="487"/>
      <c r="F10" s="487"/>
      <c r="G10" s="487"/>
      <c r="H10" s="487"/>
    </row>
    <row r="11" spans="1:8" ht="15" customHeight="1" x14ac:dyDescent="0.25">
      <c r="A11" s="487" t="str">
        <f>ORIENTAÇÕES!A11</f>
        <v>PROCESSO Nº. :  21000.001352/2023-57</v>
      </c>
      <c r="B11" s="487"/>
      <c r="C11" s="487"/>
      <c r="D11" s="487"/>
      <c r="E11" s="487"/>
      <c r="F11" s="487"/>
      <c r="G11" s="487"/>
      <c r="H11" s="487"/>
    </row>
    <row r="12" spans="1:8" ht="15" customHeight="1" x14ac:dyDescent="0.25">
      <c r="A12" s="480"/>
      <c r="B12" s="480"/>
      <c r="C12" s="480"/>
      <c r="D12" s="480"/>
      <c r="E12" s="480"/>
      <c r="F12" s="480"/>
      <c r="G12" s="480"/>
      <c r="H12" s="480"/>
    </row>
    <row r="13" spans="1:8" ht="15" customHeight="1" thickBot="1" x14ac:dyDescent="0.3">
      <c r="A13" s="377" t="s">
        <v>362</v>
      </c>
      <c r="B13" s="378"/>
      <c r="C13" s="378"/>
      <c r="D13" s="378"/>
      <c r="E13" s="378"/>
      <c r="F13" s="378"/>
      <c r="G13" s="378"/>
      <c r="H13" s="378"/>
    </row>
    <row r="14" spans="1:8" ht="45" customHeight="1" thickBot="1" x14ac:dyDescent="0.3">
      <c r="A14" s="594" t="s">
        <v>363</v>
      </c>
      <c r="B14" s="595"/>
      <c r="C14" s="595"/>
      <c r="D14" s="595"/>
      <c r="E14" s="595"/>
      <c r="F14" s="595"/>
      <c r="G14" s="595"/>
      <c r="H14" s="596"/>
    </row>
    <row r="15" spans="1:8" x14ac:dyDescent="0.25">
      <c r="A15" s="480"/>
      <c r="B15" s="480"/>
      <c r="C15" s="480"/>
      <c r="D15" s="480"/>
      <c r="E15" s="480"/>
      <c r="F15" s="480"/>
      <c r="G15" s="480"/>
      <c r="H15" s="480"/>
    </row>
    <row r="16" spans="1:8" x14ac:dyDescent="0.25">
      <c r="A16" s="635" t="s">
        <v>364</v>
      </c>
      <c r="B16" s="635"/>
      <c r="C16" s="635"/>
      <c r="D16" s="635"/>
      <c r="E16" s="635"/>
      <c r="F16" s="635"/>
      <c r="G16" s="635"/>
      <c r="H16" s="635"/>
    </row>
    <row r="17" spans="1:8" ht="15.75" x14ac:dyDescent="0.25">
      <c r="A17" s="369">
        <v>1</v>
      </c>
      <c r="B17" s="593"/>
      <c r="C17" s="593"/>
      <c r="D17" s="593"/>
      <c r="E17" s="593"/>
      <c r="F17" s="593"/>
      <c r="G17" s="678" t="str">
        <f>RESUMO!D31</f>
        <v>Lavadeira</v>
      </c>
      <c r="H17" s="678"/>
    </row>
    <row r="18" spans="1:8" ht="15.75" customHeight="1" x14ac:dyDescent="0.25">
      <c r="A18" s="369">
        <v>2</v>
      </c>
      <c r="B18" s="593" t="s">
        <v>365</v>
      </c>
      <c r="C18" s="593"/>
      <c r="D18" s="593"/>
      <c r="E18" s="593"/>
      <c r="F18" s="593"/>
      <c r="G18" s="692">
        <f>RESUMO!F31</f>
        <v>0</v>
      </c>
      <c r="H18" s="693"/>
    </row>
    <row r="19" spans="1:8" ht="15.75" customHeight="1" x14ac:dyDescent="0.25">
      <c r="A19" s="369">
        <v>3</v>
      </c>
      <c r="B19" s="680" t="s">
        <v>366</v>
      </c>
      <c r="C19" s="680"/>
      <c r="D19" s="680"/>
      <c r="E19" s="680"/>
      <c r="F19" s="680"/>
      <c r="G19" s="691">
        <f>RESUMO!G31</f>
        <v>0</v>
      </c>
      <c r="H19" s="691"/>
    </row>
    <row r="20" spans="1:8" ht="15.75" x14ac:dyDescent="0.25">
      <c r="A20" s="369">
        <v>4</v>
      </c>
      <c r="B20" s="681" t="s">
        <v>367</v>
      </c>
      <c r="C20" s="681"/>
      <c r="D20" s="681"/>
      <c r="E20" s="681"/>
      <c r="F20" s="681"/>
      <c r="G20" s="694" t="str">
        <f>RESUMO!C31</f>
        <v>Higienização Têxtil</v>
      </c>
      <c r="H20" s="694"/>
    </row>
    <row r="21" spans="1:8" ht="15.75" x14ac:dyDescent="0.25">
      <c r="A21" s="369">
        <v>5</v>
      </c>
      <c r="B21" s="593" t="s">
        <v>368</v>
      </c>
      <c r="C21" s="593"/>
      <c r="D21" s="593"/>
      <c r="E21" s="593"/>
      <c r="F21" s="593"/>
      <c r="G21" s="679" t="str">
        <f>RESUMO!J31</f>
        <v>00/00/0000</v>
      </c>
      <c r="H21" s="682"/>
    </row>
    <row r="22" spans="1:8" ht="15.75" x14ac:dyDescent="0.25">
      <c r="A22" s="369">
        <v>6</v>
      </c>
      <c r="B22" s="593" t="s">
        <v>369</v>
      </c>
      <c r="C22" s="593"/>
      <c r="D22" s="593"/>
      <c r="E22" s="593"/>
      <c r="F22" s="593"/>
      <c r="G22" s="683">
        <f>RESUMO!I31</f>
        <v>0</v>
      </c>
      <c r="H22" s="683"/>
    </row>
    <row r="23" spans="1:8" ht="15.75" x14ac:dyDescent="0.25">
      <c r="A23" s="369">
        <v>7</v>
      </c>
      <c r="B23" s="593" t="s">
        <v>370</v>
      </c>
      <c r="C23" s="593"/>
      <c r="D23" s="593"/>
      <c r="E23" s="593"/>
      <c r="F23" s="593"/>
      <c r="G23" s="679" t="str">
        <f>RESUMO!J16</f>
        <v>00/00/0000</v>
      </c>
      <c r="H23" s="679"/>
    </row>
    <row r="24" spans="1:8" ht="15.75" x14ac:dyDescent="0.25">
      <c r="A24" s="369">
        <v>8</v>
      </c>
      <c r="B24" s="593" t="s">
        <v>371</v>
      </c>
      <c r="C24" s="593"/>
      <c r="D24" s="593"/>
      <c r="E24" s="593"/>
      <c r="F24" s="593"/>
      <c r="G24" s="666" t="str">
        <f>RESUMO!D22</f>
        <v>Belém-PA</v>
      </c>
      <c r="H24" s="666"/>
    </row>
    <row r="25" spans="1:8" ht="15.75" customHeight="1" x14ac:dyDescent="0.25">
      <c r="A25" s="621" t="s">
        <v>372</v>
      </c>
      <c r="B25" s="622"/>
      <c r="C25" s="622"/>
      <c r="D25" s="622"/>
      <c r="E25" s="622"/>
      <c r="F25" s="622"/>
      <c r="G25" s="622"/>
      <c r="H25" s="622"/>
    </row>
    <row r="26" spans="1:8" x14ac:dyDescent="0.25">
      <c r="A26" s="625" t="s">
        <v>373</v>
      </c>
      <c r="B26" s="626"/>
      <c r="C26" s="626"/>
      <c r="D26" s="626"/>
      <c r="E26" s="626"/>
      <c r="F26" s="626"/>
      <c r="G26" s="626"/>
      <c r="H26" s="626"/>
    </row>
    <row r="27" spans="1:8" x14ac:dyDescent="0.25">
      <c r="A27" s="625" t="s">
        <v>374</v>
      </c>
      <c r="B27" s="626"/>
      <c r="C27" s="626"/>
      <c r="D27" s="626"/>
      <c r="E27" s="626"/>
      <c r="F27" s="626"/>
      <c r="G27" s="626"/>
      <c r="H27" s="626"/>
    </row>
    <row r="28" spans="1:8" x14ac:dyDescent="0.25">
      <c r="A28" s="670" t="s">
        <v>375</v>
      </c>
      <c r="B28" s="671"/>
      <c r="C28" s="671"/>
      <c r="D28" s="671"/>
      <c r="E28" s="671"/>
      <c r="F28" s="671"/>
      <c r="G28" s="671"/>
      <c r="H28" s="671"/>
    </row>
    <row r="29" spans="1:8" x14ac:dyDescent="0.25">
      <c r="A29" s="625" t="s">
        <v>376</v>
      </c>
      <c r="B29" s="626"/>
      <c r="C29" s="626"/>
      <c r="D29" s="626"/>
      <c r="E29" s="626"/>
      <c r="F29" s="626"/>
      <c r="G29" s="626"/>
      <c r="H29" s="626"/>
    </row>
    <row r="30" spans="1:8" ht="30" customHeight="1" x14ac:dyDescent="0.25">
      <c r="A30" s="672" t="s">
        <v>377</v>
      </c>
      <c r="B30" s="673"/>
      <c r="C30" s="673"/>
      <c r="D30" s="673"/>
      <c r="E30" s="673"/>
      <c r="F30" s="673"/>
      <c r="G30" s="673"/>
      <c r="H30" s="673"/>
    </row>
    <row r="31" spans="1:8" x14ac:dyDescent="0.25">
      <c r="A31" s="674"/>
      <c r="B31" s="674"/>
      <c r="C31" s="674"/>
      <c r="D31" s="674"/>
      <c r="E31" s="674"/>
      <c r="F31" s="674"/>
      <c r="G31" s="674"/>
      <c r="H31" s="674"/>
    </row>
    <row r="32" spans="1:8" ht="18" customHeight="1" x14ac:dyDescent="0.25">
      <c r="A32" s="565" t="s">
        <v>378</v>
      </c>
      <c r="B32" s="565"/>
      <c r="C32" s="565"/>
      <c r="D32" s="565"/>
      <c r="E32" s="565"/>
      <c r="F32" s="565"/>
      <c r="G32" s="565"/>
      <c r="H32" s="565"/>
    </row>
    <row r="33" spans="1:8" ht="18" customHeight="1" x14ac:dyDescent="0.25">
      <c r="A33" s="37"/>
      <c r="B33" s="37"/>
      <c r="C33" s="37"/>
      <c r="D33" s="37"/>
      <c r="E33" s="37"/>
      <c r="F33" s="37"/>
      <c r="G33" s="37"/>
      <c r="H33" s="37"/>
    </row>
    <row r="34" spans="1:8" ht="18" customHeight="1" x14ac:dyDescent="0.25">
      <c r="A34" s="38">
        <v>1</v>
      </c>
      <c r="B34" s="669" t="s">
        <v>379</v>
      </c>
      <c r="C34" s="669"/>
      <c r="D34" s="669"/>
      <c r="E34" s="669"/>
      <c r="F34" s="669"/>
      <c r="G34" s="5" t="s">
        <v>380</v>
      </c>
      <c r="H34" s="5" t="s">
        <v>381</v>
      </c>
    </row>
    <row r="35" spans="1:8" x14ac:dyDescent="0.25">
      <c r="A35" s="6" t="s">
        <v>382</v>
      </c>
      <c r="B35" s="636" t="s">
        <v>383</v>
      </c>
      <c r="C35" s="636"/>
      <c r="D35" s="636"/>
      <c r="E35" s="636"/>
      <c r="F35" s="636"/>
      <c r="G35" s="30" t="s">
        <v>384</v>
      </c>
      <c r="H35" s="475">
        <f>G19</f>
        <v>0</v>
      </c>
    </row>
    <row r="36" spans="1:8" x14ac:dyDescent="0.25">
      <c r="A36" s="6" t="s">
        <v>385</v>
      </c>
      <c r="B36" s="636" t="s">
        <v>386</v>
      </c>
      <c r="C36" s="636"/>
      <c r="D36" s="636"/>
      <c r="E36" s="636"/>
      <c r="F36" s="636"/>
      <c r="G36" s="8" t="s">
        <v>109</v>
      </c>
      <c r="H36" s="9">
        <v>0</v>
      </c>
    </row>
    <row r="37" spans="1:8" x14ac:dyDescent="0.25">
      <c r="A37" s="10" t="s">
        <v>387</v>
      </c>
      <c r="B37" s="636" t="s">
        <v>388</v>
      </c>
      <c r="C37" s="636"/>
      <c r="D37" s="636"/>
      <c r="E37" s="636"/>
      <c r="F37" s="636"/>
      <c r="G37" s="822" t="s">
        <v>544</v>
      </c>
      <c r="H37" s="11">
        <f>H35*G37</f>
        <v>0</v>
      </c>
    </row>
    <row r="38" spans="1:8" x14ac:dyDescent="0.25">
      <c r="A38" s="6" t="s">
        <v>389</v>
      </c>
      <c r="B38" s="636" t="s">
        <v>390</v>
      </c>
      <c r="C38" s="636"/>
      <c r="D38" s="636"/>
      <c r="E38" s="636"/>
      <c r="F38" s="636"/>
      <c r="G38" s="222" t="s">
        <v>109</v>
      </c>
      <c r="H38" s="9">
        <v>0</v>
      </c>
    </row>
    <row r="39" spans="1:8" x14ac:dyDescent="0.25">
      <c r="A39" s="6" t="s">
        <v>391</v>
      </c>
      <c r="B39" s="636" t="s">
        <v>392</v>
      </c>
      <c r="C39" s="636"/>
      <c r="D39" s="636"/>
      <c r="E39" s="636"/>
      <c r="F39" s="636"/>
      <c r="G39" s="222" t="s">
        <v>109</v>
      </c>
      <c r="H39" s="9">
        <v>0</v>
      </c>
    </row>
    <row r="40" spans="1:8" x14ac:dyDescent="0.25">
      <c r="A40" s="6" t="s">
        <v>393</v>
      </c>
      <c r="B40" s="685" t="s">
        <v>394</v>
      </c>
      <c r="C40" s="686"/>
      <c r="D40" s="686"/>
      <c r="E40" s="686"/>
      <c r="F40" s="686"/>
      <c r="G40" s="41" t="s">
        <v>109</v>
      </c>
      <c r="H40" s="42">
        <v>0</v>
      </c>
    </row>
    <row r="41" spans="1:8" s="12" customFormat="1" ht="14.25" customHeight="1" x14ac:dyDescent="0.25">
      <c r="A41" s="642" t="s">
        <v>395</v>
      </c>
      <c r="B41" s="642"/>
      <c r="C41" s="642"/>
      <c r="D41" s="642"/>
      <c r="E41" s="642"/>
      <c r="F41" s="642"/>
      <c r="G41" s="642"/>
      <c r="H41" s="31">
        <f>SUM(H35:H40)</f>
        <v>0</v>
      </c>
    </row>
    <row r="42" spans="1:8" s="12" customFormat="1" ht="15" customHeight="1" x14ac:dyDescent="0.25">
      <c r="A42" s="621" t="s">
        <v>372</v>
      </c>
      <c r="B42" s="622"/>
      <c r="C42" s="622"/>
      <c r="D42" s="622"/>
      <c r="E42" s="622"/>
      <c r="F42" s="622"/>
      <c r="G42" s="622"/>
      <c r="H42" s="622"/>
    </row>
    <row r="43" spans="1:8" s="12" customFormat="1" x14ac:dyDescent="0.25">
      <c r="A43" s="625" t="s">
        <v>396</v>
      </c>
      <c r="B43" s="626"/>
      <c r="C43" s="626"/>
      <c r="D43" s="626"/>
      <c r="E43" s="626"/>
      <c r="F43" s="626"/>
      <c r="G43" s="626"/>
      <c r="H43" s="626"/>
    </row>
    <row r="44" spans="1:8" s="12" customFormat="1" x14ac:dyDescent="0.25">
      <c r="A44" s="625" t="s">
        <v>397</v>
      </c>
      <c r="B44" s="626"/>
      <c r="C44" s="626"/>
      <c r="D44" s="626"/>
      <c r="E44" s="626"/>
      <c r="F44" s="626"/>
      <c r="G44" s="626"/>
      <c r="H44" s="626"/>
    </row>
    <row r="45" spans="1:8" s="12" customFormat="1" ht="17.25" customHeight="1" x14ac:dyDescent="0.25">
      <c r="A45" s="3"/>
      <c r="B45" s="3"/>
      <c r="C45" s="3"/>
      <c r="D45" s="3"/>
      <c r="E45" s="3"/>
      <c r="F45" s="3"/>
      <c r="G45" s="3"/>
      <c r="H45" s="13"/>
    </row>
    <row r="46" spans="1:8" ht="15.75" x14ac:dyDescent="0.25">
      <c r="A46" s="565" t="s">
        <v>398</v>
      </c>
      <c r="B46" s="565"/>
      <c r="C46" s="565"/>
      <c r="D46" s="565"/>
      <c r="E46" s="565"/>
      <c r="F46" s="565"/>
      <c r="G46" s="565"/>
      <c r="H46" s="565"/>
    </row>
    <row r="47" spans="1:8" ht="16.5" customHeight="1" x14ac:dyDescent="0.25">
      <c r="A47" s="621" t="s">
        <v>372</v>
      </c>
      <c r="B47" s="622"/>
      <c r="C47" s="622"/>
      <c r="D47" s="622"/>
      <c r="E47" s="622"/>
      <c r="F47" s="622"/>
      <c r="G47" s="622"/>
      <c r="H47" s="622"/>
    </row>
    <row r="48" spans="1:8" ht="30" customHeight="1" x14ac:dyDescent="0.25">
      <c r="A48" s="625" t="s">
        <v>399</v>
      </c>
      <c r="B48" s="626"/>
      <c r="C48" s="626"/>
      <c r="D48" s="626"/>
      <c r="E48" s="626"/>
      <c r="F48" s="626"/>
      <c r="G48" s="626"/>
      <c r="H48" s="626"/>
    </row>
    <row r="49" spans="1:9" ht="30" customHeight="1" x14ac:dyDescent="0.25">
      <c r="A49" s="625" t="s">
        <v>400</v>
      </c>
      <c r="B49" s="626"/>
      <c r="C49" s="626"/>
      <c r="D49" s="626"/>
      <c r="E49" s="626"/>
      <c r="F49" s="626"/>
      <c r="G49" s="626"/>
      <c r="H49" s="626"/>
    </row>
    <row r="50" spans="1:9" x14ac:dyDescent="0.25">
      <c r="A50" s="14"/>
      <c r="B50" s="14"/>
      <c r="C50" s="14"/>
      <c r="D50" s="14"/>
      <c r="E50" s="14"/>
      <c r="F50" s="14"/>
      <c r="G50" s="14"/>
      <c r="H50" s="14"/>
      <c r="I50" s="15"/>
    </row>
    <row r="51" spans="1:9" ht="15.75" x14ac:dyDescent="0.25">
      <c r="A51" s="713" t="s">
        <v>401</v>
      </c>
      <c r="B51" s="713"/>
      <c r="C51" s="713"/>
      <c r="D51" s="713"/>
      <c r="E51" s="713"/>
      <c r="F51" s="713"/>
      <c r="G51" s="713"/>
      <c r="H51" s="713"/>
      <c r="I51" s="15"/>
    </row>
    <row r="52" spans="1:9" x14ac:dyDescent="0.25">
      <c r="A52" s="49"/>
      <c r="B52" s="49"/>
      <c r="C52" s="49"/>
      <c r="D52" s="49"/>
      <c r="E52" s="49"/>
      <c r="F52" s="49"/>
      <c r="G52" s="49"/>
      <c r="H52" s="49"/>
      <c r="I52" s="15"/>
    </row>
    <row r="53" spans="1:9" x14ac:dyDescent="0.25">
      <c r="A53" s="44" t="s">
        <v>402</v>
      </c>
      <c r="B53" s="637" t="s">
        <v>403</v>
      </c>
      <c r="C53" s="637"/>
      <c r="D53" s="637"/>
      <c r="E53" s="637"/>
      <c r="F53" s="637"/>
      <c r="G53" s="183" t="s">
        <v>404</v>
      </c>
      <c r="H53" s="183" t="s">
        <v>381</v>
      </c>
    </row>
    <row r="54" spans="1:9" x14ac:dyDescent="0.25">
      <c r="A54" s="6" t="s">
        <v>382</v>
      </c>
      <c r="B54" s="636" t="s">
        <v>405</v>
      </c>
      <c r="C54" s="636"/>
      <c r="D54" s="636"/>
      <c r="E54" s="636"/>
      <c r="F54" s="636"/>
      <c r="G54" s="16">
        <f>1/12</f>
        <v>8.3333333333333329E-2</v>
      </c>
      <c r="H54" s="11">
        <f>$H$41*G54</f>
        <v>0</v>
      </c>
      <c r="I54" s="15"/>
    </row>
    <row r="55" spans="1:9" x14ac:dyDescent="0.25">
      <c r="A55" s="6" t="s">
        <v>385</v>
      </c>
      <c r="B55" s="636" t="s">
        <v>546</v>
      </c>
      <c r="C55" s="636"/>
      <c r="D55" s="636"/>
      <c r="E55" s="636"/>
      <c r="F55" s="636"/>
      <c r="G55" s="16">
        <v>0.121</v>
      </c>
      <c r="H55" s="11">
        <f>$H$41*G55</f>
        <v>0</v>
      </c>
    </row>
    <row r="56" spans="1:9" s="12" customFormat="1" ht="18" customHeight="1" x14ac:dyDescent="0.25">
      <c r="A56" s="615" t="s">
        <v>407</v>
      </c>
      <c r="B56" s="616"/>
      <c r="C56" s="616"/>
      <c r="D56" s="616"/>
      <c r="E56" s="616"/>
      <c r="F56" s="617"/>
      <c r="G56" s="396">
        <f>SUM(G54:G55)</f>
        <v>0.20433333333333331</v>
      </c>
      <c r="H56" s="32">
        <f>SUM(H54:H55)</f>
        <v>0</v>
      </c>
    </row>
    <row r="57" spans="1:9" s="12" customFormat="1" ht="18" customHeight="1" x14ac:dyDescent="0.25">
      <c r="A57" s="621" t="s">
        <v>372</v>
      </c>
      <c r="B57" s="622"/>
      <c r="C57" s="622"/>
      <c r="D57" s="622"/>
      <c r="E57" s="622"/>
      <c r="F57" s="622"/>
      <c r="G57" s="622"/>
      <c r="H57" s="622"/>
    </row>
    <row r="58" spans="1:9" s="12" customFormat="1" ht="30" customHeight="1" x14ac:dyDescent="0.25">
      <c r="A58" s="625" t="s">
        <v>408</v>
      </c>
      <c r="B58" s="626"/>
      <c r="C58" s="626"/>
      <c r="D58" s="626"/>
      <c r="E58" s="626"/>
      <c r="F58" s="626"/>
      <c r="G58" s="626"/>
      <c r="H58" s="626"/>
    </row>
    <row r="59" spans="1:9" s="12" customFormat="1" ht="30" customHeight="1" x14ac:dyDescent="0.25">
      <c r="A59" s="625" t="s">
        <v>409</v>
      </c>
      <c r="B59" s="626"/>
      <c r="C59" s="626"/>
      <c r="D59" s="626"/>
      <c r="E59" s="626"/>
      <c r="F59" s="626"/>
      <c r="G59" s="626"/>
      <c r="H59" s="626"/>
    </row>
    <row r="60" spans="1:9" s="12" customFormat="1" ht="17.25" customHeight="1" x14ac:dyDescent="0.25">
      <c r="A60" s="14"/>
      <c r="B60" s="14"/>
      <c r="C60" s="14"/>
      <c r="D60" s="14"/>
      <c r="E60" s="14"/>
      <c r="F60" s="14"/>
      <c r="G60" s="14"/>
      <c r="H60" s="14"/>
    </row>
    <row r="61" spans="1:9" s="12" customFormat="1" ht="33" customHeight="1" x14ac:dyDescent="0.25">
      <c r="A61" s="708" t="s">
        <v>410</v>
      </c>
      <c r="B61" s="708"/>
      <c r="C61" s="708"/>
      <c r="D61" s="708"/>
      <c r="E61" s="708"/>
      <c r="F61" s="708"/>
      <c r="G61" s="708"/>
      <c r="H61" s="708"/>
    </row>
    <row r="62" spans="1:9" s="12" customFormat="1" x14ac:dyDescent="0.25">
      <c r="A62" s="182"/>
      <c r="B62" s="182"/>
      <c r="C62" s="182"/>
      <c r="D62" s="182"/>
      <c r="E62" s="182"/>
      <c r="F62" s="182"/>
      <c r="G62" s="182"/>
      <c r="H62" s="182"/>
    </row>
    <row r="63" spans="1:9" s="12" customFormat="1" x14ac:dyDescent="0.25">
      <c r="A63" s="181"/>
      <c r="B63" s="181"/>
      <c r="C63" s="181"/>
      <c r="D63" s="181"/>
      <c r="E63" s="181"/>
      <c r="G63" s="204" t="s">
        <v>411</v>
      </c>
      <c r="H63" s="184">
        <f>H41+H56</f>
        <v>0</v>
      </c>
    </row>
    <row r="64" spans="1:9" s="12" customFormat="1" ht="17.25" customHeight="1" x14ac:dyDescent="0.25">
      <c r="A64" s="195" t="s">
        <v>412</v>
      </c>
      <c r="B64" s="649" t="s">
        <v>403</v>
      </c>
      <c r="C64" s="649"/>
      <c r="D64" s="649"/>
      <c r="E64" s="649"/>
      <c r="F64" s="649"/>
      <c r="G64" s="196" t="s">
        <v>404</v>
      </c>
      <c r="H64" s="197" t="s">
        <v>381</v>
      </c>
    </row>
    <row r="65" spans="1:8" s="12" customFormat="1" x14ac:dyDescent="0.25">
      <c r="A65" s="6" t="s">
        <v>382</v>
      </c>
      <c r="B65" s="636" t="s">
        <v>413</v>
      </c>
      <c r="C65" s="636"/>
      <c r="D65" s="636"/>
      <c r="E65" s="636"/>
      <c r="F65" s="636"/>
      <c r="G65" s="806">
        <v>0</v>
      </c>
      <c r="H65" s="11">
        <f t="shared" ref="H65:H72" si="0">$H$63*G65</f>
        <v>0</v>
      </c>
    </row>
    <row r="66" spans="1:8" s="12" customFormat="1" x14ac:dyDescent="0.25">
      <c r="A66" s="6" t="s">
        <v>385</v>
      </c>
      <c r="B66" s="636" t="s">
        <v>414</v>
      </c>
      <c r="C66" s="636"/>
      <c r="D66" s="636"/>
      <c r="E66" s="636"/>
      <c r="F66" s="636"/>
      <c r="G66" s="806">
        <v>0</v>
      </c>
      <c r="H66" s="11">
        <f t="shared" si="0"/>
        <v>0</v>
      </c>
    </row>
    <row r="67" spans="1:8" s="12" customFormat="1" x14ac:dyDescent="0.25">
      <c r="A67" s="6" t="s">
        <v>387</v>
      </c>
      <c r="B67" s="636" t="s">
        <v>415</v>
      </c>
      <c r="C67" s="636"/>
      <c r="D67" s="636"/>
      <c r="E67" s="636"/>
      <c r="F67" s="636"/>
      <c r="G67" s="806">
        <v>0</v>
      </c>
      <c r="H67" s="11">
        <f t="shared" si="0"/>
        <v>0</v>
      </c>
    </row>
    <row r="68" spans="1:8" s="12" customFormat="1" x14ac:dyDescent="0.25">
      <c r="A68" s="6" t="s">
        <v>389</v>
      </c>
      <c r="B68" s="636" t="s">
        <v>416</v>
      </c>
      <c r="C68" s="636"/>
      <c r="D68" s="636"/>
      <c r="E68" s="636"/>
      <c r="F68" s="636"/>
      <c r="G68" s="806">
        <v>0</v>
      </c>
      <c r="H68" s="11">
        <f t="shared" si="0"/>
        <v>0</v>
      </c>
    </row>
    <row r="69" spans="1:8" s="12" customFormat="1" x14ac:dyDescent="0.25">
      <c r="A69" s="6" t="s">
        <v>391</v>
      </c>
      <c r="B69" s="636" t="s">
        <v>417</v>
      </c>
      <c r="C69" s="636"/>
      <c r="D69" s="636"/>
      <c r="E69" s="636"/>
      <c r="F69" s="636"/>
      <c r="G69" s="806">
        <v>0</v>
      </c>
      <c r="H69" s="11">
        <f t="shared" si="0"/>
        <v>0</v>
      </c>
    </row>
    <row r="70" spans="1:8" s="12" customFormat="1" x14ac:dyDescent="0.25">
      <c r="A70" s="6" t="s">
        <v>393</v>
      </c>
      <c r="B70" s="636" t="s">
        <v>418</v>
      </c>
      <c r="C70" s="636"/>
      <c r="D70" s="636"/>
      <c r="E70" s="636"/>
      <c r="F70" s="636"/>
      <c r="G70" s="806">
        <v>0</v>
      </c>
      <c r="H70" s="11">
        <f t="shared" si="0"/>
        <v>0</v>
      </c>
    </row>
    <row r="71" spans="1:8" s="12" customFormat="1" x14ac:dyDescent="0.25">
      <c r="A71" s="6" t="s">
        <v>419</v>
      </c>
      <c r="B71" s="636" t="s">
        <v>420</v>
      </c>
      <c r="C71" s="636"/>
      <c r="D71" s="636"/>
      <c r="E71" s="636"/>
      <c r="F71" s="636"/>
      <c r="G71" s="806">
        <v>0</v>
      </c>
      <c r="H71" s="11">
        <f t="shared" si="0"/>
        <v>0</v>
      </c>
    </row>
    <row r="72" spans="1:8" s="12" customFormat="1" x14ac:dyDescent="0.25">
      <c r="A72" s="6" t="s">
        <v>421</v>
      </c>
      <c r="B72" s="636" t="s">
        <v>422</v>
      </c>
      <c r="C72" s="636"/>
      <c r="D72" s="636"/>
      <c r="E72" s="636"/>
      <c r="F72" s="636"/>
      <c r="G72" s="806">
        <v>0</v>
      </c>
      <c r="H72" s="11">
        <f t="shared" si="0"/>
        <v>0</v>
      </c>
    </row>
    <row r="73" spans="1:8" x14ac:dyDescent="0.25">
      <c r="A73" s="659" t="s">
        <v>423</v>
      </c>
      <c r="B73" s="659" t="s">
        <v>424</v>
      </c>
      <c r="C73" s="659"/>
      <c r="D73" s="659"/>
      <c r="E73" s="659"/>
      <c r="F73" s="659"/>
      <c r="G73" s="34">
        <f>SUM(G65:G72)</f>
        <v>0</v>
      </c>
      <c r="H73" s="32">
        <f>SUM(H65:H72)</f>
        <v>0</v>
      </c>
    </row>
    <row r="74" spans="1:8" ht="15.75" customHeight="1" x14ac:dyDescent="0.25">
      <c r="A74" s="621" t="s">
        <v>372</v>
      </c>
      <c r="B74" s="622"/>
      <c r="C74" s="622"/>
      <c r="D74" s="622"/>
      <c r="E74" s="622"/>
      <c r="F74" s="622"/>
      <c r="G74" s="622"/>
      <c r="H74" s="622"/>
    </row>
    <row r="75" spans="1:8" ht="30" customHeight="1" x14ac:dyDescent="0.25">
      <c r="A75" s="625" t="s">
        <v>425</v>
      </c>
      <c r="B75" s="626"/>
      <c r="C75" s="626"/>
      <c r="D75" s="626"/>
      <c r="E75" s="626"/>
      <c r="F75" s="626"/>
      <c r="G75" s="626"/>
      <c r="H75" s="626"/>
    </row>
    <row r="76" spans="1:8" ht="45" customHeight="1" x14ac:dyDescent="0.25">
      <c r="A76" s="625" t="s">
        <v>426</v>
      </c>
      <c r="B76" s="626"/>
      <c r="C76" s="626"/>
      <c r="D76" s="626"/>
      <c r="E76" s="626"/>
      <c r="F76" s="626"/>
      <c r="G76" s="626"/>
      <c r="H76" s="626"/>
    </row>
    <row r="77" spans="1:8" ht="30" customHeight="1" x14ac:dyDescent="0.25">
      <c r="A77" s="625" t="s">
        <v>427</v>
      </c>
      <c r="B77" s="626"/>
      <c r="C77" s="626"/>
      <c r="D77" s="626"/>
      <c r="E77" s="626"/>
      <c r="F77" s="626"/>
      <c r="G77" s="626"/>
      <c r="H77" s="626"/>
    </row>
    <row r="78" spans="1:8" x14ac:dyDescent="0.25">
      <c r="A78" s="625" t="s">
        <v>428</v>
      </c>
      <c r="B78" s="626"/>
      <c r="C78" s="626"/>
      <c r="D78" s="626"/>
      <c r="E78" s="626"/>
      <c r="F78" s="626"/>
      <c r="G78" s="626"/>
      <c r="H78" s="626"/>
    </row>
    <row r="79" spans="1:8" ht="30" customHeight="1" x14ac:dyDescent="0.25">
      <c r="A79" s="621" t="s">
        <v>429</v>
      </c>
      <c r="B79" s="622"/>
      <c r="C79" s="622"/>
      <c r="D79" s="622"/>
      <c r="E79" s="622"/>
      <c r="F79" s="622"/>
      <c r="G79" s="622"/>
      <c r="H79" s="622"/>
    </row>
    <row r="80" spans="1:8" x14ac:dyDescent="0.25">
      <c r="A80" s="667" t="s">
        <v>430</v>
      </c>
      <c r="B80" s="668"/>
      <c r="C80" s="668"/>
      <c r="D80" s="668"/>
      <c r="E80" s="668"/>
      <c r="F80" s="668"/>
      <c r="G80" s="668"/>
      <c r="H80" s="668"/>
    </row>
    <row r="81" spans="1:11" x14ac:dyDescent="0.25">
      <c r="A81" s="625" t="s">
        <v>431</v>
      </c>
      <c r="B81" s="626"/>
      <c r="C81" s="626"/>
      <c r="D81" s="626"/>
      <c r="E81" s="626"/>
      <c r="F81" s="626"/>
      <c r="G81" s="626"/>
      <c r="H81" s="626"/>
    </row>
    <row r="82" spans="1:11" x14ac:dyDescent="0.25">
      <c r="A82" s="625" t="s">
        <v>432</v>
      </c>
      <c r="B82" s="626"/>
      <c r="C82" s="626"/>
      <c r="D82" s="626"/>
      <c r="E82" s="626"/>
      <c r="F82" s="626"/>
      <c r="G82" s="626"/>
      <c r="H82" s="626"/>
    </row>
    <row r="83" spans="1:11" ht="30" customHeight="1" x14ac:dyDescent="0.25">
      <c r="A83" s="676" t="s">
        <v>433</v>
      </c>
      <c r="B83" s="677"/>
      <c r="C83" s="677"/>
      <c r="D83" s="677"/>
      <c r="E83" s="677"/>
      <c r="F83" s="677"/>
      <c r="G83" s="677"/>
      <c r="H83" s="677"/>
    </row>
    <row r="84" spans="1:11" x14ac:dyDescent="0.25">
      <c r="A84" s="37"/>
      <c r="B84" s="37"/>
      <c r="C84" s="37"/>
      <c r="D84" s="37"/>
      <c r="E84" s="37"/>
      <c r="F84" s="37"/>
      <c r="G84" s="185"/>
      <c r="H84" s="180"/>
    </row>
    <row r="85" spans="1:11" ht="16.5" customHeight="1" x14ac:dyDescent="0.25">
      <c r="A85" s="14"/>
      <c r="B85" s="14"/>
      <c r="C85" s="14"/>
      <c r="D85" s="14"/>
      <c r="E85" s="14"/>
      <c r="F85" s="14"/>
      <c r="G85" s="14"/>
      <c r="H85" s="14"/>
    </row>
    <row r="86" spans="1:11" ht="16.5" customHeight="1" x14ac:dyDescent="0.25">
      <c r="A86" s="712" t="s">
        <v>434</v>
      </c>
      <c r="B86" s="712"/>
      <c r="C86" s="712"/>
      <c r="D86" s="712"/>
      <c r="E86" s="712"/>
      <c r="F86" s="712"/>
      <c r="G86" s="712"/>
      <c r="H86" s="712"/>
      <c r="J86" s="654" t="s">
        <v>435</v>
      </c>
      <c r="K86" s="654"/>
    </row>
    <row r="87" spans="1:11" ht="16.5" customHeight="1" x14ac:dyDescent="0.25">
      <c r="A87" s="186"/>
      <c r="B87" s="186"/>
      <c r="C87" s="186"/>
      <c r="D87" s="186"/>
      <c r="E87" s="186"/>
      <c r="F87" s="186"/>
      <c r="G87" s="186"/>
      <c r="H87" s="186"/>
      <c r="J87" s="187" t="s">
        <v>436</v>
      </c>
      <c r="K87" s="811">
        <v>0</v>
      </c>
    </row>
    <row r="88" spans="1:11" ht="16.5" customHeight="1" x14ac:dyDescent="0.25">
      <c r="A88" s="198" t="s">
        <v>437</v>
      </c>
      <c r="B88" s="687" t="s">
        <v>403</v>
      </c>
      <c r="C88" s="687"/>
      <c r="D88" s="687"/>
      <c r="E88" s="687"/>
      <c r="F88" s="687"/>
      <c r="G88" s="199" t="s">
        <v>438</v>
      </c>
      <c r="H88" s="199" t="s">
        <v>381</v>
      </c>
      <c r="J88" s="187" t="s">
        <v>439</v>
      </c>
      <c r="K88" s="811">
        <f>0</f>
        <v>0</v>
      </c>
    </row>
    <row r="89" spans="1:11" ht="16.5" customHeight="1" x14ac:dyDescent="0.25">
      <c r="A89" s="6" t="s">
        <v>382</v>
      </c>
      <c r="B89" s="636" t="s">
        <v>440</v>
      </c>
      <c r="C89" s="636"/>
      <c r="D89" s="636"/>
      <c r="E89" s="636"/>
      <c r="F89" s="636"/>
      <c r="G89" s="808">
        <f>K94</f>
        <v>0</v>
      </c>
      <c r="H89" s="11">
        <f>$K$99</f>
        <v>0</v>
      </c>
      <c r="J89" s="187" t="s">
        <v>441</v>
      </c>
      <c r="K89" s="188">
        <f>(K87*22)+(K87/2*4)</f>
        <v>0</v>
      </c>
    </row>
    <row r="90" spans="1:11" x14ac:dyDescent="0.25">
      <c r="A90" s="6" t="s">
        <v>385</v>
      </c>
      <c r="B90" s="636" t="s">
        <v>442</v>
      </c>
      <c r="C90" s="636"/>
      <c r="D90" s="636"/>
      <c r="E90" s="636"/>
      <c r="F90" s="636"/>
      <c r="G90" s="808">
        <f>K87</f>
        <v>0</v>
      </c>
      <c r="H90" s="11">
        <f>$K$91</f>
        <v>0</v>
      </c>
      <c r="J90" s="187" t="s">
        <v>443</v>
      </c>
      <c r="K90" s="188">
        <f>K89*10%</f>
        <v>0</v>
      </c>
    </row>
    <row r="91" spans="1:11" x14ac:dyDescent="0.25">
      <c r="A91" s="6" t="s">
        <v>387</v>
      </c>
      <c r="B91" s="636" t="s">
        <v>444</v>
      </c>
      <c r="C91" s="636"/>
      <c r="D91" s="636"/>
      <c r="E91" s="636"/>
      <c r="F91" s="636"/>
      <c r="G91" s="809"/>
      <c r="H91" s="810">
        <v>0</v>
      </c>
      <c r="J91" s="189" t="s">
        <v>445</v>
      </c>
      <c r="K91" s="190">
        <f>K89-K90</f>
        <v>0</v>
      </c>
    </row>
    <row r="92" spans="1:11" x14ac:dyDescent="0.25">
      <c r="A92" s="17" t="s">
        <v>389</v>
      </c>
      <c r="B92" s="636" t="s">
        <v>446</v>
      </c>
      <c r="C92" s="636"/>
      <c r="D92" s="636"/>
      <c r="E92" s="636"/>
      <c r="F92" s="636"/>
      <c r="G92" s="808">
        <v>0</v>
      </c>
      <c r="H92" s="810">
        <v>0</v>
      </c>
      <c r="J92" s="191"/>
      <c r="K92" s="191"/>
    </row>
    <row r="93" spans="1:11" x14ac:dyDescent="0.25">
      <c r="A93" s="6" t="s">
        <v>391</v>
      </c>
      <c r="B93" s="636" t="s">
        <v>447</v>
      </c>
      <c r="C93" s="636"/>
      <c r="D93" s="636"/>
      <c r="E93" s="636"/>
      <c r="F93" s="636"/>
      <c r="G93" s="809"/>
      <c r="H93" s="810">
        <v>0</v>
      </c>
      <c r="J93" s="654" t="s">
        <v>448</v>
      </c>
      <c r="K93" s="654"/>
    </row>
    <row r="94" spans="1:11" x14ac:dyDescent="0.25">
      <c r="A94" s="6" t="s">
        <v>393</v>
      </c>
      <c r="B94" s="807" t="s">
        <v>449</v>
      </c>
      <c r="C94" s="807"/>
      <c r="D94" s="807"/>
      <c r="E94" s="807"/>
      <c r="F94" s="807"/>
      <c r="G94" s="809"/>
      <c r="H94" s="810">
        <v>0</v>
      </c>
      <c r="J94" s="187" t="s">
        <v>450</v>
      </c>
      <c r="K94" s="811">
        <v>0</v>
      </c>
    </row>
    <row r="95" spans="1:11" ht="15.75" customHeight="1" x14ac:dyDescent="0.25">
      <c r="A95" s="637" t="s">
        <v>451</v>
      </c>
      <c r="B95" s="637"/>
      <c r="C95" s="637"/>
      <c r="D95" s="637"/>
      <c r="E95" s="637"/>
      <c r="F95" s="637"/>
      <c r="G95" s="637"/>
      <c r="H95" s="32">
        <f>SUM(H89:H94)</f>
        <v>0</v>
      </c>
      <c r="J95" s="187" t="s">
        <v>452</v>
      </c>
      <c r="K95" s="811">
        <v>0</v>
      </c>
    </row>
    <row r="96" spans="1:11" ht="15.75" customHeight="1" x14ac:dyDescent="0.25">
      <c r="A96" s="621" t="s">
        <v>372</v>
      </c>
      <c r="B96" s="622"/>
      <c r="C96" s="622"/>
      <c r="D96" s="622"/>
      <c r="E96" s="622"/>
      <c r="F96" s="622"/>
      <c r="G96" s="622"/>
      <c r="H96" s="622"/>
      <c r="J96" s="187" t="s">
        <v>453</v>
      </c>
      <c r="K96" s="811">
        <v>0</v>
      </c>
    </row>
    <row r="97" spans="1:11" ht="30" customHeight="1" x14ac:dyDescent="0.25">
      <c r="A97" s="625" t="s">
        <v>454</v>
      </c>
      <c r="B97" s="626"/>
      <c r="C97" s="626"/>
      <c r="D97" s="626"/>
      <c r="E97" s="626"/>
      <c r="F97" s="626"/>
      <c r="G97" s="626"/>
      <c r="H97" s="626"/>
      <c r="J97" s="187" t="s">
        <v>455</v>
      </c>
      <c r="K97" s="188">
        <f>K94*K95*K96</f>
        <v>0</v>
      </c>
    </row>
    <row r="98" spans="1:11" ht="30" customHeight="1" x14ac:dyDescent="0.25">
      <c r="A98" s="625" t="s">
        <v>456</v>
      </c>
      <c r="B98" s="626"/>
      <c r="C98" s="626"/>
      <c r="D98" s="626"/>
      <c r="E98" s="626"/>
      <c r="F98" s="626"/>
      <c r="G98" s="626"/>
      <c r="H98" s="626"/>
      <c r="J98" s="187" t="s">
        <v>457</v>
      </c>
      <c r="K98" s="188">
        <f>H35*6%</f>
        <v>0</v>
      </c>
    </row>
    <row r="99" spans="1:11" x14ac:dyDescent="0.25">
      <c r="A99" s="625" t="s">
        <v>458</v>
      </c>
      <c r="B99" s="626"/>
      <c r="C99" s="626"/>
      <c r="D99" s="626"/>
      <c r="E99" s="626"/>
      <c r="F99" s="626"/>
      <c r="G99" s="626"/>
      <c r="H99" s="626"/>
      <c r="J99" s="189" t="s">
        <v>445</v>
      </c>
      <c r="K99" s="192">
        <f>K97-K98</f>
        <v>0</v>
      </c>
    </row>
    <row r="101" spans="1:11" ht="15" customHeight="1" x14ac:dyDescent="0.25">
      <c r="A101" s="709" t="s">
        <v>459</v>
      </c>
      <c r="B101" s="710"/>
      <c r="C101" s="710"/>
      <c r="D101" s="710"/>
      <c r="E101" s="710"/>
      <c r="F101" s="710"/>
      <c r="G101" s="710"/>
      <c r="H101" s="711"/>
    </row>
    <row r="102" spans="1:11" ht="15" customHeight="1" x14ac:dyDescent="0.25">
      <c r="A102" s="38"/>
      <c r="B102" s="648" t="s">
        <v>403</v>
      </c>
      <c r="C102" s="648"/>
      <c r="D102" s="648"/>
      <c r="E102" s="648"/>
      <c r="F102" s="648"/>
      <c r="G102" s="648"/>
      <c r="H102" s="5" t="s">
        <v>460</v>
      </c>
    </row>
    <row r="103" spans="1:11" ht="15" customHeight="1" x14ac:dyDescent="0.25">
      <c r="A103" s="6" t="s">
        <v>402</v>
      </c>
      <c r="B103" s="636" t="s">
        <v>461</v>
      </c>
      <c r="C103" s="636"/>
      <c r="D103" s="636"/>
      <c r="E103" s="636"/>
      <c r="F103" s="636"/>
      <c r="G103" s="636"/>
      <c r="H103" s="11">
        <f>H56</f>
        <v>0</v>
      </c>
    </row>
    <row r="104" spans="1:11" ht="15" customHeight="1" x14ac:dyDescent="0.25">
      <c r="A104" s="6" t="s">
        <v>412</v>
      </c>
      <c r="B104" s="641" t="s">
        <v>462</v>
      </c>
      <c r="C104" s="641"/>
      <c r="D104" s="641"/>
      <c r="E104" s="641"/>
      <c r="F104" s="641"/>
      <c r="G104" s="641"/>
      <c r="H104" s="11">
        <f>H73</f>
        <v>0</v>
      </c>
    </row>
    <row r="105" spans="1:11" ht="15" customHeight="1" x14ac:dyDescent="0.25">
      <c r="A105" s="6" t="s">
        <v>437</v>
      </c>
      <c r="B105" s="636" t="s">
        <v>463</v>
      </c>
      <c r="C105" s="636"/>
      <c r="D105" s="636"/>
      <c r="E105" s="636"/>
      <c r="F105" s="636"/>
      <c r="G105" s="636"/>
      <c r="H105" s="11">
        <f>H95</f>
        <v>0</v>
      </c>
    </row>
    <row r="106" spans="1:11" ht="15" customHeight="1" x14ac:dyDescent="0.25">
      <c r="A106" s="642" t="s">
        <v>195</v>
      </c>
      <c r="B106" s="642"/>
      <c r="C106" s="642"/>
      <c r="D106" s="642"/>
      <c r="E106" s="642"/>
      <c r="F106" s="642"/>
      <c r="G106" s="642"/>
      <c r="H106" s="33">
        <f>SUM(H103:H105)</f>
        <v>0</v>
      </c>
    </row>
    <row r="107" spans="1:11" ht="15" customHeight="1" x14ac:dyDescent="0.25"/>
    <row r="108" spans="1:11" ht="15" customHeight="1" x14ac:dyDescent="0.25"/>
    <row r="109" spans="1:11" ht="15" customHeight="1" x14ac:dyDescent="0.25">
      <c r="A109" s="565" t="s">
        <v>465</v>
      </c>
      <c r="B109" s="565"/>
      <c r="C109" s="565"/>
      <c r="D109" s="565"/>
      <c r="E109" s="565"/>
      <c r="F109" s="565"/>
      <c r="G109" s="565"/>
      <c r="H109" s="565"/>
    </row>
    <row r="110" spans="1:11" ht="15" customHeight="1" x14ac:dyDescent="0.25"/>
    <row r="111" spans="1:11" x14ac:dyDescent="0.25">
      <c r="A111" s="661" t="s">
        <v>466</v>
      </c>
      <c r="B111" s="661"/>
      <c r="C111" s="661"/>
      <c r="D111" s="661"/>
      <c r="E111" s="661"/>
      <c r="F111" s="661"/>
      <c r="G111" s="661"/>
      <c r="H111" s="202">
        <f>(H41+H106)-(SUM(H65:H71))</f>
        <v>0</v>
      </c>
    </row>
    <row r="112" spans="1:11" ht="15.75" customHeight="1" x14ac:dyDescent="0.25">
      <c r="A112" s="661" t="s">
        <v>467</v>
      </c>
      <c r="B112" s="661"/>
      <c r="C112" s="661"/>
      <c r="D112" s="661"/>
      <c r="E112" s="661"/>
      <c r="F112" s="661"/>
      <c r="G112" s="661"/>
      <c r="H112" s="203">
        <f>H41+H106</f>
        <v>0</v>
      </c>
    </row>
    <row r="113" spans="1:9" x14ac:dyDescent="0.25">
      <c r="A113" s="195">
        <v>3</v>
      </c>
      <c r="B113" s="649" t="s">
        <v>403</v>
      </c>
      <c r="C113" s="649"/>
      <c r="D113" s="649"/>
      <c r="E113" s="649"/>
      <c r="F113" s="649"/>
      <c r="G113" s="200" t="s">
        <v>468</v>
      </c>
      <c r="H113" s="201" t="s">
        <v>469</v>
      </c>
    </row>
    <row r="114" spans="1:9" ht="15" customHeight="1" x14ac:dyDescent="0.25">
      <c r="A114" s="10" t="s">
        <v>382</v>
      </c>
      <c r="B114" s="632" t="s">
        <v>470</v>
      </c>
      <c r="C114" s="632"/>
      <c r="D114" s="632"/>
      <c r="E114" s="632"/>
      <c r="F114" s="632"/>
      <c r="G114" s="812">
        <v>0</v>
      </c>
      <c r="H114" s="9">
        <f>H111*G114</f>
        <v>0</v>
      </c>
      <c r="I114" s="193"/>
    </row>
    <row r="115" spans="1:9" x14ac:dyDescent="0.25">
      <c r="A115" s="6" t="s">
        <v>385</v>
      </c>
      <c r="B115" s="636" t="s">
        <v>471</v>
      </c>
      <c r="C115" s="636"/>
      <c r="D115" s="636"/>
      <c r="E115" s="636"/>
      <c r="F115" s="636"/>
      <c r="G115" s="813">
        <v>0</v>
      </c>
      <c r="H115" s="11">
        <f>H114*G115</f>
        <v>0</v>
      </c>
      <c r="I115" s="193"/>
    </row>
    <row r="116" spans="1:9" x14ac:dyDescent="0.25">
      <c r="A116" s="53" t="s">
        <v>387</v>
      </c>
      <c r="B116" s="662" t="s">
        <v>472</v>
      </c>
      <c r="C116" s="636"/>
      <c r="D116" s="636"/>
      <c r="E116" s="636"/>
      <c r="F116" s="636"/>
      <c r="G116" s="813">
        <v>0</v>
      </c>
      <c r="H116" s="11">
        <f>H114*G116</f>
        <v>0</v>
      </c>
      <c r="I116" s="193"/>
    </row>
    <row r="117" spans="1:9" x14ac:dyDescent="0.25">
      <c r="A117" s="43" t="s">
        <v>389</v>
      </c>
      <c r="B117" s="636" t="s">
        <v>473</v>
      </c>
      <c r="C117" s="636"/>
      <c r="D117" s="636"/>
      <c r="E117" s="636"/>
      <c r="F117" s="636"/>
      <c r="G117" s="813">
        <v>0</v>
      </c>
      <c r="H117" s="11">
        <f>H112*G117</f>
        <v>0</v>
      </c>
      <c r="I117" s="193"/>
    </row>
    <row r="118" spans="1:9" x14ac:dyDescent="0.25">
      <c r="A118" s="53" t="s">
        <v>391</v>
      </c>
      <c r="B118" s="636" t="s">
        <v>474</v>
      </c>
      <c r="C118" s="636"/>
      <c r="D118" s="636"/>
      <c r="E118" s="636"/>
      <c r="F118" s="636"/>
      <c r="G118" s="813">
        <f>G73</f>
        <v>0</v>
      </c>
      <c r="H118" s="11">
        <f>G118*H117</f>
        <v>0</v>
      </c>
      <c r="I118" s="193"/>
    </row>
    <row r="119" spans="1:9" x14ac:dyDescent="0.25">
      <c r="A119" s="43" t="s">
        <v>393</v>
      </c>
      <c r="B119" s="660" t="s">
        <v>475</v>
      </c>
      <c r="C119" s="641"/>
      <c r="D119" s="641"/>
      <c r="E119" s="641"/>
      <c r="F119" s="641"/>
      <c r="G119" s="813">
        <v>0</v>
      </c>
      <c r="H119" s="11">
        <f>G119*H117</f>
        <v>0</v>
      </c>
      <c r="I119" s="193"/>
    </row>
    <row r="120" spans="1:9" x14ac:dyDescent="0.25">
      <c r="A120" s="663" t="s">
        <v>195</v>
      </c>
      <c r="B120" s="664"/>
      <c r="C120" s="664"/>
      <c r="D120" s="664"/>
      <c r="E120" s="664"/>
      <c r="F120" s="665"/>
      <c r="G120" s="194">
        <f>SUM(G114:G119)</f>
        <v>0</v>
      </c>
      <c r="H120" s="33">
        <f>SUM(H114:H119)</f>
        <v>0</v>
      </c>
      <c r="I120" s="193"/>
    </row>
    <row r="121" spans="1:9" ht="15" customHeight="1" x14ac:dyDescent="0.25">
      <c r="A121" s="621" t="s">
        <v>372</v>
      </c>
      <c r="B121" s="622"/>
      <c r="C121" s="622"/>
      <c r="D121" s="622"/>
      <c r="E121" s="622"/>
      <c r="F121" s="622"/>
      <c r="G121" s="622"/>
      <c r="H121" s="622"/>
    </row>
    <row r="122" spans="1:9" ht="30" customHeight="1" x14ac:dyDescent="0.25">
      <c r="A122" s="625" t="s">
        <v>476</v>
      </c>
      <c r="B122" s="626"/>
      <c r="C122" s="626"/>
      <c r="D122" s="626"/>
      <c r="E122" s="626"/>
      <c r="F122" s="626"/>
      <c r="G122" s="626"/>
      <c r="H122" s="626"/>
    </row>
    <row r="123" spans="1:9" ht="45" customHeight="1" x14ac:dyDescent="0.25">
      <c r="A123" s="625" t="s">
        <v>477</v>
      </c>
      <c r="B123" s="626"/>
      <c r="C123" s="626"/>
      <c r="D123" s="626"/>
      <c r="E123" s="626"/>
      <c r="F123" s="626"/>
      <c r="G123" s="626"/>
      <c r="H123" s="626"/>
    </row>
    <row r="124" spans="1:9" ht="30" customHeight="1" x14ac:dyDescent="0.25">
      <c r="A124" s="625" t="s">
        <v>478</v>
      </c>
      <c r="B124" s="626"/>
      <c r="C124" s="626"/>
      <c r="D124" s="626"/>
      <c r="E124" s="626"/>
      <c r="F124" s="626"/>
      <c r="G124" s="626"/>
      <c r="H124" s="626"/>
    </row>
    <row r="125" spans="1:9" ht="14.25" customHeight="1" x14ac:dyDescent="0.25"/>
    <row r="126" spans="1:9" ht="14.25" customHeight="1" x14ac:dyDescent="0.25"/>
    <row r="127" spans="1:9" ht="15.75" x14ac:dyDescent="0.25">
      <c r="A127" s="565" t="s">
        <v>479</v>
      </c>
      <c r="B127" s="565"/>
      <c r="C127" s="565"/>
      <c r="D127" s="565"/>
      <c r="E127" s="565"/>
      <c r="F127" s="565"/>
      <c r="G127" s="565"/>
      <c r="H127" s="565"/>
    </row>
    <row r="128" spans="1:9" ht="16.5" customHeight="1" x14ac:dyDescent="0.25">
      <c r="A128" s="621" t="s">
        <v>372</v>
      </c>
      <c r="B128" s="622"/>
      <c r="C128" s="622"/>
      <c r="D128" s="622"/>
      <c r="E128" s="622"/>
      <c r="F128" s="622"/>
      <c r="G128" s="622"/>
      <c r="H128" s="622"/>
    </row>
    <row r="129" spans="1:10" ht="30" customHeight="1" x14ac:dyDescent="0.25">
      <c r="A129" s="625" t="s">
        <v>480</v>
      </c>
      <c r="B129" s="626"/>
      <c r="C129" s="626"/>
      <c r="D129" s="626"/>
      <c r="E129" s="626"/>
      <c r="F129" s="626"/>
      <c r="G129" s="626"/>
      <c r="H129" s="626"/>
    </row>
    <row r="130" spans="1:10" ht="15.75" x14ac:dyDescent="0.25">
      <c r="A130" s="19"/>
      <c r="B130" s="19"/>
      <c r="C130" s="19"/>
      <c r="D130" s="19"/>
      <c r="E130" s="19"/>
      <c r="F130" s="19"/>
      <c r="G130" s="19"/>
      <c r="H130" s="19"/>
    </row>
    <row r="131" spans="1:10" ht="15.75" x14ac:dyDescent="0.25">
      <c r="A131" s="708" t="s">
        <v>481</v>
      </c>
      <c r="B131" s="708"/>
      <c r="C131" s="708"/>
      <c r="D131" s="708"/>
      <c r="E131" s="708"/>
      <c r="F131" s="708"/>
      <c r="G131" s="708"/>
      <c r="H131" s="708"/>
    </row>
    <row r="132" spans="1:10" x14ac:dyDescent="0.25">
      <c r="A132" s="182"/>
      <c r="B132" s="182"/>
      <c r="C132" s="182"/>
      <c r="D132" s="182"/>
      <c r="E132" s="182"/>
      <c r="F132" s="182"/>
      <c r="G132" s="182"/>
      <c r="H132" s="182"/>
    </row>
    <row r="133" spans="1:10" ht="16.5" customHeight="1" x14ac:dyDescent="0.25">
      <c r="A133" s="658" t="s">
        <v>482</v>
      </c>
      <c r="B133" s="658"/>
      <c r="C133" s="658"/>
      <c r="D133" s="658"/>
      <c r="E133" s="658"/>
      <c r="F133" s="658"/>
      <c r="G133" s="658"/>
      <c r="H133" s="205">
        <f>H41+H106+H120</f>
        <v>0</v>
      </c>
    </row>
    <row r="134" spans="1:10" x14ac:dyDescent="0.25">
      <c r="A134" s="195" t="s">
        <v>483</v>
      </c>
      <c r="B134" s="649" t="s">
        <v>403</v>
      </c>
      <c r="C134" s="649"/>
      <c r="D134" s="649"/>
      <c r="E134" s="649"/>
      <c r="F134" s="649"/>
      <c r="G134" s="200" t="s">
        <v>468</v>
      </c>
      <c r="H134" s="201" t="s">
        <v>469</v>
      </c>
      <c r="I134" s="4"/>
    </row>
    <row r="135" spans="1:10" ht="15" customHeight="1" x14ac:dyDescent="0.25">
      <c r="A135" s="10" t="s">
        <v>382</v>
      </c>
      <c r="B135" s="650" t="s">
        <v>484</v>
      </c>
      <c r="C135" s="650"/>
      <c r="D135" s="650"/>
      <c r="E135" s="650"/>
      <c r="F135" s="650"/>
      <c r="G135" s="814">
        <v>0</v>
      </c>
      <c r="H135" s="28">
        <f>$H$133*G135</f>
        <v>0</v>
      </c>
      <c r="I135" s="4"/>
    </row>
    <row r="136" spans="1:10" x14ac:dyDescent="0.25">
      <c r="A136" s="10" t="s">
        <v>385</v>
      </c>
      <c r="B136" s="650" t="s">
        <v>485</v>
      </c>
      <c r="C136" s="650"/>
      <c r="D136" s="650"/>
      <c r="E136" s="650"/>
      <c r="F136" s="650"/>
      <c r="G136" s="814">
        <v>0</v>
      </c>
      <c r="H136" s="28">
        <f t="shared" ref="H136:H141" si="1">$H$133*G136</f>
        <v>0</v>
      </c>
      <c r="I136" s="4"/>
      <c r="J136" s="210"/>
    </row>
    <row r="137" spans="1:10" ht="15" customHeight="1" x14ac:dyDescent="0.25">
      <c r="A137" s="10" t="s">
        <v>387</v>
      </c>
      <c r="B137" s="651" t="s">
        <v>486</v>
      </c>
      <c r="C137" s="652"/>
      <c r="D137" s="652"/>
      <c r="E137" s="652"/>
      <c r="F137" s="653"/>
      <c r="G137" s="814">
        <v>0</v>
      </c>
      <c r="H137" s="28">
        <f t="shared" si="1"/>
        <v>0</v>
      </c>
      <c r="I137" s="4"/>
    </row>
    <row r="138" spans="1:10" ht="14.25" customHeight="1" x14ac:dyDescent="0.25">
      <c r="A138" s="10" t="s">
        <v>389</v>
      </c>
      <c r="B138" s="650" t="s">
        <v>487</v>
      </c>
      <c r="C138" s="650"/>
      <c r="D138" s="650"/>
      <c r="E138" s="650"/>
      <c r="F138" s="650"/>
      <c r="G138" s="814">
        <v>0</v>
      </c>
      <c r="H138" s="28">
        <f t="shared" si="1"/>
        <v>0</v>
      </c>
      <c r="I138" s="4"/>
    </row>
    <row r="139" spans="1:10" x14ac:dyDescent="0.25">
      <c r="A139" s="10" t="s">
        <v>391</v>
      </c>
      <c r="B139" s="651" t="s">
        <v>488</v>
      </c>
      <c r="C139" s="652"/>
      <c r="D139" s="652"/>
      <c r="E139" s="652"/>
      <c r="F139" s="653"/>
      <c r="G139" s="814">
        <f>(4/12)/12*0.02</f>
        <v>5.5555555555555556E-4</v>
      </c>
      <c r="H139" s="28">
        <f t="shared" si="1"/>
        <v>0</v>
      </c>
      <c r="I139" s="45"/>
      <c r="J139" s="209"/>
    </row>
    <row r="140" spans="1:10" ht="15.75" customHeight="1" x14ac:dyDescent="0.25">
      <c r="A140" s="6" t="s">
        <v>393</v>
      </c>
      <c r="B140" s="655" t="s">
        <v>489</v>
      </c>
      <c r="C140" s="656"/>
      <c r="D140" s="656"/>
      <c r="E140" s="656"/>
      <c r="F140" s="657"/>
      <c r="G140" s="814">
        <v>0</v>
      </c>
      <c r="H140" s="28">
        <f t="shared" si="1"/>
        <v>0</v>
      </c>
      <c r="I140" s="4"/>
    </row>
    <row r="141" spans="1:10" x14ac:dyDescent="0.25">
      <c r="A141" s="6" t="s">
        <v>419</v>
      </c>
      <c r="B141" s="816" t="s">
        <v>490</v>
      </c>
      <c r="C141" s="816"/>
      <c r="D141" s="816"/>
      <c r="E141" s="816"/>
      <c r="F141" s="816"/>
      <c r="G141" s="814"/>
      <c r="H141" s="28">
        <f t="shared" si="1"/>
        <v>0</v>
      </c>
      <c r="I141" s="4"/>
    </row>
    <row r="142" spans="1:10" x14ac:dyDescent="0.25">
      <c r="A142" s="659" t="s">
        <v>195</v>
      </c>
      <c r="B142" s="659" t="s">
        <v>424</v>
      </c>
      <c r="C142" s="659"/>
      <c r="D142" s="659"/>
      <c r="E142" s="659"/>
      <c r="F142" s="659"/>
      <c r="G142" s="20"/>
      <c r="H142" s="32">
        <f>H135+H136+H137+H138+H139+H140+H141</f>
        <v>0</v>
      </c>
      <c r="I142" s="4"/>
    </row>
    <row r="143" spans="1:10" ht="15.75" customHeight="1" x14ac:dyDescent="0.25">
      <c r="A143" s="621" t="s">
        <v>372</v>
      </c>
      <c r="B143" s="622"/>
      <c r="C143" s="622"/>
      <c r="D143" s="622"/>
      <c r="E143" s="622"/>
      <c r="F143" s="622"/>
      <c r="G143" s="622"/>
      <c r="H143" s="622"/>
    </row>
    <row r="144" spans="1:10" x14ac:dyDescent="0.25">
      <c r="A144" s="625" t="s">
        <v>492</v>
      </c>
      <c r="B144" s="626"/>
      <c r="C144" s="626"/>
      <c r="D144" s="626"/>
      <c r="E144" s="626"/>
      <c r="F144" s="626"/>
      <c r="G144" s="626"/>
      <c r="H144" s="626"/>
    </row>
    <row r="145" spans="1:11" ht="86.25" customHeight="1" x14ac:dyDescent="0.25">
      <c r="A145" s="625" t="s">
        <v>493</v>
      </c>
      <c r="B145" s="626"/>
      <c r="C145" s="626"/>
      <c r="D145" s="626"/>
      <c r="E145" s="626"/>
      <c r="F145" s="626"/>
      <c r="G145" s="626"/>
      <c r="H145" s="626"/>
      <c r="J145" s="208"/>
      <c r="K145" s="209"/>
    </row>
    <row r="146" spans="1:11" ht="37.5" customHeight="1" x14ac:dyDescent="0.25">
      <c r="A146" s="625" t="s">
        <v>494</v>
      </c>
      <c r="B146" s="626"/>
      <c r="C146" s="626"/>
      <c r="D146" s="626"/>
      <c r="E146" s="626"/>
      <c r="F146" s="626"/>
      <c r="G146" s="626"/>
      <c r="H146" s="626"/>
    </row>
    <row r="147" spans="1:11" ht="37.5" customHeight="1" x14ac:dyDescent="0.25">
      <c r="A147" s="625" t="s">
        <v>495</v>
      </c>
      <c r="B147" s="626"/>
      <c r="C147" s="626"/>
      <c r="D147" s="626"/>
      <c r="E147" s="626"/>
      <c r="F147" s="626"/>
      <c r="G147" s="626"/>
      <c r="H147" s="626"/>
    </row>
    <row r="148" spans="1:11" ht="37.5" customHeight="1" x14ac:dyDescent="0.25">
      <c r="A148" s="625" t="s">
        <v>496</v>
      </c>
      <c r="B148" s="626"/>
      <c r="C148" s="626"/>
      <c r="D148" s="626"/>
      <c r="E148" s="626"/>
      <c r="F148" s="626"/>
      <c r="G148" s="626"/>
      <c r="H148" s="626"/>
    </row>
    <row r="150" spans="1:11" x14ac:dyDescent="0.25">
      <c r="A150" s="644" t="s">
        <v>497</v>
      </c>
      <c r="B150" s="644"/>
      <c r="C150" s="644"/>
      <c r="D150" s="644"/>
      <c r="E150" s="644"/>
      <c r="F150" s="644"/>
      <c r="G150" s="644"/>
      <c r="H150" s="644"/>
    </row>
    <row r="151" spans="1:11" ht="15" customHeight="1" x14ac:dyDescent="0.25">
      <c r="A151" s="38" t="s">
        <v>498</v>
      </c>
      <c r="B151" s="600" t="s">
        <v>403</v>
      </c>
      <c r="C151" s="601"/>
      <c r="D151" s="601"/>
      <c r="E151" s="601"/>
      <c r="F151" s="601"/>
      <c r="G151" s="602"/>
      <c r="H151" s="18" t="s">
        <v>469</v>
      </c>
    </row>
    <row r="152" spans="1:11" ht="15" customHeight="1" x14ac:dyDescent="0.25">
      <c r="A152" s="10" t="s">
        <v>382</v>
      </c>
      <c r="B152" s="707" t="s">
        <v>547</v>
      </c>
      <c r="C152" s="604"/>
      <c r="D152" s="604"/>
      <c r="E152" s="604"/>
      <c r="F152" s="604"/>
      <c r="G152" s="605"/>
      <c r="H152" s="11">
        <f>G152*H41</f>
        <v>0</v>
      </c>
      <c r="J152" s="15"/>
      <c r="K152" s="15"/>
    </row>
    <row r="153" spans="1:11" x14ac:dyDescent="0.25">
      <c r="A153" s="615" t="s">
        <v>195</v>
      </c>
      <c r="B153" s="616"/>
      <c r="C153" s="616"/>
      <c r="D153" s="616"/>
      <c r="E153" s="616"/>
      <c r="F153" s="616"/>
      <c r="G153" s="617"/>
      <c r="H153" s="32">
        <f>SUM(H152)</f>
        <v>0</v>
      </c>
      <c r="J153" s="15"/>
    </row>
    <row r="154" spans="1:11" x14ac:dyDescent="0.25">
      <c r="J154" s="15"/>
    </row>
    <row r="155" spans="1:11" x14ac:dyDescent="0.25">
      <c r="J155" s="15"/>
    </row>
    <row r="156" spans="1:11" ht="18" customHeight="1" x14ac:dyDescent="0.25">
      <c r="A156" s="703" t="s">
        <v>501</v>
      </c>
      <c r="B156" s="704"/>
      <c r="C156" s="704"/>
      <c r="D156" s="704"/>
      <c r="E156" s="704"/>
      <c r="F156" s="704"/>
      <c r="G156" s="704"/>
      <c r="H156" s="705"/>
      <c r="J156" s="15"/>
    </row>
    <row r="157" spans="1:11" ht="15.95" customHeight="1" x14ac:dyDescent="0.25">
      <c r="A157" s="38"/>
      <c r="B157" s="648" t="s">
        <v>403</v>
      </c>
      <c r="C157" s="648"/>
      <c r="D157" s="648"/>
      <c r="E157" s="648"/>
      <c r="F157" s="648"/>
      <c r="G157" s="648"/>
      <c r="H157" s="5" t="s">
        <v>460</v>
      </c>
    </row>
    <row r="158" spans="1:11" x14ac:dyDescent="0.25">
      <c r="A158" s="6" t="s">
        <v>483</v>
      </c>
      <c r="B158" s="662" t="s">
        <v>548</v>
      </c>
      <c r="C158" s="636"/>
      <c r="D158" s="636"/>
      <c r="E158" s="636"/>
      <c r="F158" s="636"/>
      <c r="G158" s="636"/>
      <c r="H158" s="11">
        <f>H142</f>
        <v>0</v>
      </c>
    </row>
    <row r="159" spans="1:11" x14ac:dyDescent="0.25">
      <c r="A159" s="6" t="s">
        <v>498</v>
      </c>
      <c r="B159" s="706" t="s">
        <v>549</v>
      </c>
      <c r="C159" s="641"/>
      <c r="D159" s="641"/>
      <c r="E159" s="641"/>
      <c r="F159" s="641"/>
      <c r="G159" s="641"/>
      <c r="H159" s="11">
        <f>H153</f>
        <v>0</v>
      </c>
    </row>
    <row r="160" spans="1:11" x14ac:dyDescent="0.25">
      <c r="A160" s="642" t="s">
        <v>195</v>
      </c>
      <c r="B160" s="642"/>
      <c r="C160" s="642"/>
      <c r="D160" s="642"/>
      <c r="E160" s="642"/>
      <c r="F160" s="642"/>
      <c r="G160" s="642"/>
      <c r="H160" s="33">
        <f>SUM(H158:H159)</f>
        <v>0</v>
      </c>
    </row>
    <row r="161" spans="1:10" ht="15.75" customHeight="1" x14ac:dyDescent="0.25"/>
    <row r="162" spans="1:10" ht="15.75" customHeight="1" x14ac:dyDescent="0.25"/>
    <row r="163" spans="1:10" ht="15.75" customHeight="1" x14ac:dyDescent="0.25">
      <c r="A163" s="565" t="s">
        <v>504</v>
      </c>
      <c r="B163" s="565"/>
      <c r="C163" s="565"/>
      <c r="D163" s="565"/>
      <c r="E163" s="565"/>
      <c r="F163" s="565"/>
      <c r="G163" s="565"/>
      <c r="H163" s="565"/>
    </row>
    <row r="164" spans="1:10" ht="15" customHeight="1" x14ac:dyDescent="0.25"/>
    <row r="165" spans="1:10" ht="15" customHeight="1" x14ac:dyDescent="0.25">
      <c r="A165" s="38">
        <v>5</v>
      </c>
      <c r="B165" s="600" t="s">
        <v>403</v>
      </c>
      <c r="C165" s="601"/>
      <c r="D165" s="601"/>
      <c r="E165" s="601"/>
      <c r="F165" s="601"/>
      <c r="G165" s="602"/>
      <c r="H165" s="18" t="s">
        <v>460</v>
      </c>
    </row>
    <row r="166" spans="1:10" ht="15" customHeight="1" x14ac:dyDescent="0.25">
      <c r="A166" s="10" t="s">
        <v>382</v>
      </c>
      <c r="B166" s="606" t="s">
        <v>505</v>
      </c>
      <c r="C166" s="607"/>
      <c r="D166" s="607"/>
      <c r="E166" s="607"/>
      <c r="F166" s="607"/>
      <c r="G166" s="608"/>
      <c r="H166" s="9">
        <f>Uniforme!N29</f>
        <v>0</v>
      </c>
    </row>
    <row r="167" spans="1:10" ht="15" customHeight="1" x14ac:dyDescent="0.25">
      <c r="A167" s="6" t="s">
        <v>385</v>
      </c>
      <c r="B167" s="609" t="s">
        <v>506</v>
      </c>
      <c r="C167" s="610"/>
      <c r="D167" s="610"/>
      <c r="E167" s="610"/>
      <c r="F167" s="610"/>
      <c r="G167" s="611"/>
      <c r="H167" s="21">
        <f>'Mat Lavanderia'!H36</f>
        <v>0</v>
      </c>
      <c r="J167" s="15"/>
    </row>
    <row r="168" spans="1:10" ht="15" customHeight="1" x14ac:dyDescent="0.25">
      <c r="A168" s="6" t="s">
        <v>387</v>
      </c>
      <c r="B168" s="609" t="s">
        <v>507</v>
      </c>
      <c r="C168" s="610"/>
      <c r="D168" s="610"/>
      <c r="E168" s="610"/>
      <c r="F168" s="610"/>
      <c r="G168" s="611"/>
      <c r="H168" s="21">
        <f>Equipamentos!H30</f>
        <v>0</v>
      </c>
      <c r="J168" s="15"/>
    </row>
    <row r="169" spans="1:10" ht="15" customHeight="1" x14ac:dyDescent="0.25">
      <c r="A169" s="43" t="s">
        <v>389</v>
      </c>
      <c r="B169" s="612" t="s">
        <v>508</v>
      </c>
      <c r="C169" s="613"/>
      <c r="D169" s="613"/>
      <c r="E169" s="613"/>
      <c r="F169" s="613"/>
      <c r="G169" s="614"/>
      <c r="H169" s="21">
        <f>'EPI''s e EPC''s'!N37</f>
        <v>0</v>
      </c>
    </row>
    <row r="170" spans="1:10" ht="15" customHeight="1" x14ac:dyDescent="0.25">
      <c r="A170" s="43" t="s">
        <v>391</v>
      </c>
      <c r="B170" s="817" t="s">
        <v>509</v>
      </c>
      <c r="C170" s="818"/>
      <c r="D170" s="818"/>
      <c r="E170" s="818"/>
      <c r="F170" s="818"/>
      <c r="G170" s="819"/>
      <c r="H170" s="810">
        <v>0</v>
      </c>
      <c r="I170" s="23"/>
    </row>
    <row r="171" spans="1:10" ht="15" customHeight="1" x14ac:dyDescent="0.25">
      <c r="A171" s="642" t="s">
        <v>195</v>
      </c>
      <c r="B171" s="642"/>
      <c r="C171" s="642"/>
      <c r="D171" s="642"/>
      <c r="E171" s="642"/>
      <c r="F171" s="642"/>
      <c r="G171" s="642"/>
      <c r="H171" s="33">
        <f>SUM(H166:H170)</f>
        <v>0</v>
      </c>
    </row>
    <row r="172" spans="1:10" ht="15" customHeight="1" x14ac:dyDescent="0.25">
      <c r="A172" s="621" t="s">
        <v>372</v>
      </c>
      <c r="B172" s="622"/>
      <c r="C172" s="622"/>
      <c r="D172" s="622"/>
      <c r="E172" s="622"/>
      <c r="F172" s="622"/>
      <c r="G172" s="622"/>
      <c r="H172" s="622"/>
    </row>
    <row r="173" spans="1:10" ht="30" customHeight="1" x14ac:dyDescent="0.25">
      <c r="A173" s="625" t="s">
        <v>511</v>
      </c>
      <c r="B173" s="626"/>
      <c r="C173" s="626"/>
      <c r="D173" s="626"/>
      <c r="E173" s="626"/>
      <c r="F173" s="626"/>
      <c r="G173" s="626"/>
      <c r="H173" s="626"/>
    </row>
    <row r="174" spans="1:10" x14ac:dyDescent="0.25">
      <c r="A174" s="625" t="s">
        <v>512</v>
      </c>
      <c r="B174" s="626"/>
      <c r="C174" s="626"/>
      <c r="D174" s="626"/>
      <c r="E174" s="626"/>
      <c r="F174" s="626"/>
      <c r="G174" s="626"/>
      <c r="H174" s="626"/>
    </row>
    <row r="175" spans="1:10" ht="30" customHeight="1" x14ac:dyDescent="0.25">
      <c r="A175" s="625" t="s">
        <v>513</v>
      </c>
      <c r="B175" s="626"/>
      <c r="C175" s="626"/>
      <c r="D175" s="626"/>
      <c r="E175" s="626"/>
      <c r="F175" s="626"/>
      <c r="G175" s="626"/>
      <c r="H175" s="626"/>
    </row>
    <row r="176" spans="1:10" ht="15" customHeight="1" x14ac:dyDescent="0.25">
      <c r="A176" s="35"/>
      <c r="B176" s="35"/>
      <c r="C176" s="35"/>
      <c r="D176" s="35"/>
      <c r="E176" s="35"/>
      <c r="F176" s="35"/>
      <c r="G176" s="35"/>
      <c r="H176" s="22"/>
    </row>
    <row r="177" spans="1:11" ht="15" customHeight="1" x14ac:dyDescent="0.25">
      <c r="A177" s="35"/>
      <c r="B177" s="35"/>
      <c r="C177" s="35"/>
      <c r="D177" s="35"/>
      <c r="E177" s="35"/>
      <c r="F177" s="35"/>
      <c r="G177" s="35"/>
      <c r="H177" s="22"/>
      <c r="J177" s="24"/>
      <c r="K177" s="24"/>
    </row>
    <row r="178" spans="1:11" ht="15.75" customHeight="1" x14ac:dyDescent="0.25">
      <c r="A178" s="565" t="s">
        <v>514</v>
      </c>
      <c r="B178" s="565"/>
      <c r="C178" s="565"/>
      <c r="D178" s="565"/>
      <c r="E178" s="565"/>
      <c r="F178" s="565"/>
      <c r="G178" s="565"/>
      <c r="H178" s="565"/>
      <c r="I178" s="24"/>
      <c r="J178" s="24"/>
      <c r="K178" s="24"/>
    </row>
    <row r="179" spans="1:11" ht="15.75" customHeight="1" x14ac:dyDescent="0.25">
      <c r="A179" s="179"/>
      <c r="B179" s="179"/>
      <c r="C179" s="179"/>
      <c r="D179" s="179"/>
      <c r="E179" s="179"/>
      <c r="F179" s="179"/>
      <c r="G179" s="179"/>
      <c r="H179" s="179"/>
      <c r="I179" s="24"/>
      <c r="J179" s="24"/>
      <c r="K179" s="24"/>
    </row>
    <row r="180" spans="1:11" ht="15.75" customHeight="1" x14ac:dyDescent="0.25">
      <c r="A180" s="631" t="s">
        <v>515</v>
      </c>
      <c r="B180" s="631"/>
      <c r="C180" s="631"/>
      <c r="D180" s="631"/>
      <c r="E180" s="631"/>
      <c r="F180" s="631"/>
      <c r="G180" s="631"/>
      <c r="H180" s="213">
        <f>SUM(H41,H106,H120,H160,H171)</f>
        <v>0</v>
      </c>
      <c r="I180" s="24"/>
    </row>
    <row r="181" spans="1:11" ht="15.75" customHeight="1" x14ac:dyDescent="0.25">
      <c r="A181" s="631" t="s">
        <v>516</v>
      </c>
      <c r="B181" s="631"/>
      <c r="C181" s="631"/>
      <c r="D181" s="631"/>
      <c r="E181" s="631"/>
      <c r="F181" s="631"/>
      <c r="G181" s="631"/>
      <c r="H181" s="213">
        <f>H180+H184</f>
        <v>0</v>
      </c>
      <c r="I181" s="24"/>
    </row>
    <row r="182" spans="1:11" x14ac:dyDescent="0.25">
      <c r="A182" s="631" t="s">
        <v>517</v>
      </c>
      <c r="B182" s="631"/>
      <c r="C182" s="631"/>
      <c r="D182" s="631"/>
      <c r="E182" s="631"/>
      <c r="F182" s="631"/>
      <c r="G182" s="631"/>
      <c r="H182" s="214">
        <f>(H181+H185)/(1-G186)</f>
        <v>0</v>
      </c>
      <c r="I182" s="24"/>
    </row>
    <row r="183" spans="1:11" ht="15.75" customHeight="1" x14ac:dyDescent="0.25">
      <c r="A183" s="633" t="s">
        <v>403</v>
      </c>
      <c r="B183" s="633"/>
      <c r="C183" s="633"/>
      <c r="D183" s="633"/>
      <c r="E183" s="633"/>
      <c r="F183" s="633"/>
      <c r="G183" s="25" t="s">
        <v>468</v>
      </c>
      <c r="H183" s="211" t="s">
        <v>469</v>
      </c>
      <c r="I183" s="24"/>
      <c r="J183" s="29"/>
    </row>
    <row r="184" spans="1:11" ht="15.75" customHeight="1" x14ac:dyDescent="0.25">
      <c r="A184" s="40" t="s">
        <v>382</v>
      </c>
      <c r="B184" s="632" t="s">
        <v>518</v>
      </c>
      <c r="C184" s="632"/>
      <c r="D184" s="632"/>
      <c r="E184" s="632"/>
      <c r="F184" s="632"/>
      <c r="G184" s="820">
        <v>0</v>
      </c>
      <c r="H184" s="221">
        <f>H180*G184</f>
        <v>0</v>
      </c>
      <c r="I184" s="24"/>
    </row>
    <row r="185" spans="1:11" x14ac:dyDescent="0.25">
      <c r="A185" s="40" t="s">
        <v>385</v>
      </c>
      <c r="B185" s="632" t="s">
        <v>519</v>
      </c>
      <c r="C185" s="632"/>
      <c r="D185" s="632"/>
      <c r="E185" s="632"/>
      <c r="F185" s="632"/>
      <c r="G185" s="820">
        <v>0</v>
      </c>
      <c r="H185" s="221">
        <f>H181*G185</f>
        <v>0</v>
      </c>
      <c r="I185" s="24"/>
    </row>
    <row r="186" spans="1:11" x14ac:dyDescent="0.25">
      <c r="A186" s="27" t="s">
        <v>387</v>
      </c>
      <c r="B186" s="634" t="s">
        <v>520</v>
      </c>
      <c r="C186" s="634"/>
      <c r="D186" s="634"/>
      <c r="E186" s="634"/>
      <c r="F186" s="634"/>
      <c r="G186" s="821">
        <f>SUM(G187:G192)</f>
        <v>0</v>
      </c>
      <c r="H186" s="26"/>
      <c r="I186" s="15"/>
    </row>
    <row r="187" spans="1:11" x14ac:dyDescent="0.25">
      <c r="A187" s="684" t="s">
        <v>521</v>
      </c>
      <c r="B187" s="634" t="s">
        <v>522</v>
      </c>
      <c r="C187" s="634"/>
      <c r="D187" s="634"/>
      <c r="E187" s="634"/>
      <c r="F187" s="634"/>
      <c r="G187" s="821"/>
      <c r="H187" s="28"/>
    </row>
    <row r="188" spans="1:11" x14ac:dyDescent="0.25">
      <c r="A188" s="684"/>
      <c r="B188" s="39"/>
      <c r="C188" s="655" t="s">
        <v>523</v>
      </c>
      <c r="D188" s="656"/>
      <c r="E188" s="656"/>
      <c r="F188" s="657"/>
      <c r="G188" s="821">
        <v>0</v>
      </c>
      <c r="H188" s="26">
        <f>$H$182*G188</f>
        <v>0</v>
      </c>
      <c r="I188" s="15"/>
    </row>
    <row r="189" spans="1:11" x14ac:dyDescent="0.25">
      <c r="A189" s="684"/>
      <c r="B189" s="39"/>
      <c r="C189" s="655" t="s">
        <v>524</v>
      </c>
      <c r="D189" s="656"/>
      <c r="E189" s="656"/>
      <c r="F189" s="657"/>
      <c r="G189" s="821">
        <v>0</v>
      </c>
      <c r="H189" s="26">
        <f t="shared" ref="H189:H192" si="2">$H$182*G189</f>
        <v>0</v>
      </c>
      <c r="I189" s="15"/>
    </row>
    <row r="190" spans="1:11" x14ac:dyDescent="0.25">
      <c r="A190" s="684"/>
      <c r="B190" s="807" t="s">
        <v>525</v>
      </c>
      <c r="C190" s="807"/>
      <c r="D190" s="807"/>
      <c r="E190" s="807"/>
      <c r="F190" s="807"/>
      <c r="G190" s="821">
        <v>0</v>
      </c>
      <c r="H190" s="26">
        <f t="shared" si="2"/>
        <v>0</v>
      </c>
      <c r="I190" s="15"/>
    </row>
    <row r="191" spans="1:11" x14ac:dyDescent="0.25">
      <c r="A191" s="684"/>
      <c r="B191" s="650" t="s">
        <v>526</v>
      </c>
      <c r="C191" s="650"/>
      <c r="D191" s="650"/>
      <c r="E191" s="650"/>
      <c r="F191" s="650"/>
      <c r="G191" s="821">
        <v>0</v>
      </c>
      <c r="H191" s="26">
        <f t="shared" si="2"/>
        <v>0</v>
      </c>
      <c r="I191" s="15"/>
    </row>
    <row r="192" spans="1:11" x14ac:dyDescent="0.25">
      <c r="A192" s="684"/>
      <c r="B192" s="807" t="s">
        <v>527</v>
      </c>
      <c r="C192" s="807"/>
      <c r="D192" s="807"/>
      <c r="E192" s="807"/>
      <c r="F192" s="807"/>
      <c r="G192" s="821">
        <v>0</v>
      </c>
      <c r="H192" s="26">
        <f t="shared" si="2"/>
        <v>0</v>
      </c>
      <c r="I192" s="15"/>
    </row>
    <row r="193" spans="1:8" x14ac:dyDescent="0.25">
      <c r="A193" s="642" t="s">
        <v>195</v>
      </c>
      <c r="B193" s="642"/>
      <c r="C193" s="642"/>
      <c r="D193" s="642"/>
      <c r="E193" s="642"/>
      <c r="F193" s="642"/>
      <c r="G193" s="642"/>
      <c r="H193" s="33">
        <f>SUM(H184:H192)</f>
        <v>0</v>
      </c>
    </row>
    <row r="194" spans="1:8" ht="15.75" customHeight="1" x14ac:dyDescent="0.25">
      <c r="A194" s="621" t="s">
        <v>372</v>
      </c>
      <c r="B194" s="622"/>
      <c r="C194" s="622"/>
      <c r="D194" s="622"/>
      <c r="E194" s="622"/>
      <c r="F194" s="622"/>
      <c r="G194" s="622"/>
      <c r="H194" s="622"/>
    </row>
    <row r="195" spans="1:8" ht="48.75" customHeight="1" x14ac:dyDescent="0.25">
      <c r="A195" s="623" t="s">
        <v>529</v>
      </c>
      <c r="B195" s="624"/>
      <c r="C195" s="624"/>
      <c r="D195" s="624"/>
      <c r="E195" s="624"/>
      <c r="F195" s="624"/>
      <c r="G195" s="624"/>
      <c r="H195" s="624"/>
    </row>
    <row r="196" spans="1:8" x14ac:dyDescent="0.25">
      <c r="A196" s="625" t="s">
        <v>530</v>
      </c>
      <c r="B196" s="626"/>
      <c r="C196" s="626"/>
      <c r="D196" s="626"/>
      <c r="E196" s="626"/>
      <c r="F196" s="626"/>
      <c r="G196" s="626"/>
      <c r="H196" s="626"/>
    </row>
    <row r="197" spans="1:8" x14ac:dyDescent="0.25">
      <c r="A197" s="625"/>
      <c r="B197" s="626"/>
      <c r="C197" s="626"/>
      <c r="D197" s="626"/>
      <c r="E197" s="626"/>
      <c r="F197" s="626"/>
      <c r="G197" s="626"/>
      <c r="H197" s="626"/>
    </row>
    <row r="198" spans="1:8" x14ac:dyDescent="0.25">
      <c r="A198" s="627"/>
      <c r="B198" s="628"/>
      <c r="C198" s="628"/>
      <c r="D198" s="628"/>
      <c r="E198" s="628"/>
      <c r="F198" s="628"/>
      <c r="G198" s="628"/>
      <c r="H198" s="628"/>
    </row>
    <row r="199" spans="1:8" ht="15.75" x14ac:dyDescent="0.25">
      <c r="A199" s="697" t="s">
        <v>531</v>
      </c>
      <c r="B199" s="698"/>
      <c r="C199" s="698"/>
      <c r="D199" s="698"/>
      <c r="E199" s="698"/>
      <c r="F199" s="698"/>
      <c r="G199" s="698"/>
      <c r="H199" s="698"/>
    </row>
    <row r="200" spans="1:8" x14ac:dyDescent="0.25">
      <c r="A200" s="206"/>
      <c r="B200" s="207"/>
      <c r="C200" s="207"/>
      <c r="D200" s="207"/>
      <c r="E200" s="207"/>
      <c r="F200" s="207"/>
      <c r="G200" s="207"/>
      <c r="H200" s="207"/>
    </row>
    <row r="201" spans="1:8" ht="15" customHeight="1" x14ac:dyDescent="0.25">
      <c r="A201" s="215"/>
      <c r="B201" s="699" t="s">
        <v>532</v>
      </c>
      <c r="C201" s="699"/>
      <c r="D201" s="699"/>
      <c r="E201" s="699"/>
      <c r="F201" s="699"/>
      <c r="G201" s="699"/>
      <c r="H201" s="216" t="s">
        <v>381</v>
      </c>
    </row>
    <row r="202" spans="1:8" ht="15.75" customHeight="1" x14ac:dyDescent="0.25">
      <c r="A202" s="212" t="s">
        <v>382</v>
      </c>
      <c r="B202" s="696" t="s">
        <v>533</v>
      </c>
      <c r="C202" s="696"/>
      <c r="D202" s="696"/>
      <c r="E202" s="696"/>
      <c r="F202" s="696"/>
      <c r="G202" s="696"/>
      <c r="H202" s="217">
        <f>H41</f>
        <v>0</v>
      </c>
    </row>
    <row r="203" spans="1:8" ht="15.75" customHeight="1" x14ac:dyDescent="0.25">
      <c r="A203" s="212" t="s">
        <v>385</v>
      </c>
      <c r="B203" s="700" t="s">
        <v>534</v>
      </c>
      <c r="C203" s="701"/>
      <c r="D203" s="701"/>
      <c r="E203" s="701"/>
      <c r="F203" s="701"/>
      <c r="G203" s="702"/>
      <c r="H203" s="217">
        <f>H106</f>
        <v>0</v>
      </c>
    </row>
    <row r="204" spans="1:8" ht="15.75" customHeight="1" x14ac:dyDescent="0.25">
      <c r="A204" s="212" t="s">
        <v>387</v>
      </c>
      <c r="B204" s="700" t="s">
        <v>535</v>
      </c>
      <c r="C204" s="701"/>
      <c r="D204" s="701"/>
      <c r="E204" s="701"/>
      <c r="F204" s="701"/>
      <c r="G204" s="702"/>
      <c r="H204" s="217">
        <f>H120</f>
        <v>0</v>
      </c>
    </row>
    <row r="205" spans="1:8" ht="15.75" customHeight="1" x14ac:dyDescent="0.25">
      <c r="A205" s="212" t="s">
        <v>389</v>
      </c>
      <c r="B205" s="696" t="s">
        <v>536</v>
      </c>
      <c r="C205" s="696"/>
      <c r="D205" s="696"/>
      <c r="E205" s="696"/>
      <c r="F205" s="696"/>
      <c r="G205" s="696"/>
      <c r="H205" s="217">
        <f>H142</f>
        <v>0</v>
      </c>
    </row>
    <row r="206" spans="1:8" ht="15.75" customHeight="1" x14ac:dyDescent="0.25">
      <c r="A206" s="212" t="s">
        <v>391</v>
      </c>
      <c r="B206" s="696" t="s">
        <v>537</v>
      </c>
      <c r="C206" s="696"/>
      <c r="D206" s="696"/>
      <c r="E206" s="696"/>
      <c r="F206" s="696"/>
      <c r="G206" s="696"/>
      <c r="H206" s="217">
        <f>H171</f>
        <v>0</v>
      </c>
    </row>
    <row r="207" spans="1:8" ht="15.75" customHeight="1" x14ac:dyDescent="0.25">
      <c r="A207" s="695" t="s">
        <v>538</v>
      </c>
      <c r="B207" s="695"/>
      <c r="C207" s="695"/>
      <c r="D207" s="695"/>
      <c r="E207" s="695"/>
      <c r="F207" s="695"/>
      <c r="G207" s="695"/>
      <c r="H207" s="218">
        <f>SUM(H202:H206)</f>
        <v>0</v>
      </c>
    </row>
    <row r="208" spans="1:8" ht="15.75" customHeight="1" x14ac:dyDescent="0.25">
      <c r="A208" s="212" t="s">
        <v>393</v>
      </c>
      <c r="B208" s="696" t="s">
        <v>539</v>
      </c>
      <c r="C208" s="696"/>
      <c r="D208" s="696"/>
      <c r="E208" s="696"/>
      <c r="F208" s="696"/>
      <c r="G208" s="696"/>
      <c r="H208" s="217">
        <f>H193</f>
        <v>0</v>
      </c>
    </row>
    <row r="209" spans="1:8" ht="15.75" customHeight="1" x14ac:dyDescent="0.25">
      <c r="A209" s="695" t="s">
        <v>540</v>
      </c>
      <c r="B209" s="695"/>
      <c r="C209" s="695"/>
      <c r="D209" s="695"/>
      <c r="E209" s="695"/>
      <c r="F209" s="695"/>
      <c r="G209" s="695"/>
      <c r="H209" s="218">
        <f>H207+H208</f>
        <v>0</v>
      </c>
    </row>
    <row r="210" spans="1:8" ht="15.75" customHeight="1" x14ac:dyDescent="0.25">
      <c r="A210" s="695" t="s">
        <v>541</v>
      </c>
      <c r="B210" s="695"/>
      <c r="C210" s="695"/>
      <c r="D210" s="695"/>
      <c r="E210" s="695"/>
      <c r="F210" s="695"/>
      <c r="G210" s="695"/>
      <c r="H210" s="220">
        <v>1</v>
      </c>
    </row>
    <row r="211" spans="1:8" ht="15.75" customHeight="1" x14ac:dyDescent="0.25">
      <c r="A211" s="695" t="s">
        <v>542</v>
      </c>
      <c r="B211" s="695"/>
      <c r="C211" s="695"/>
      <c r="D211" s="695"/>
      <c r="E211" s="695"/>
      <c r="F211" s="695"/>
      <c r="G211" s="695"/>
      <c r="H211" s="219">
        <f>H209*H210</f>
        <v>0</v>
      </c>
    </row>
    <row r="212" spans="1:8" ht="15.75" customHeight="1" x14ac:dyDescent="0.25">
      <c r="A212" s="695" t="s">
        <v>543</v>
      </c>
      <c r="B212" s="695"/>
      <c r="C212" s="695"/>
      <c r="D212" s="695"/>
      <c r="E212" s="695"/>
      <c r="F212" s="695"/>
      <c r="G212" s="695"/>
      <c r="H212" s="219">
        <f>H211*12</f>
        <v>0</v>
      </c>
    </row>
    <row r="213" spans="1:8" x14ac:dyDescent="0.25">
      <c r="A213"/>
      <c r="B213"/>
      <c r="C213"/>
      <c r="D213"/>
      <c r="E213"/>
      <c r="F213"/>
      <c r="G213"/>
      <c r="H213"/>
    </row>
    <row r="214" spans="1:8" x14ac:dyDescent="0.25">
      <c r="A214"/>
      <c r="B214"/>
      <c r="C214"/>
      <c r="D214"/>
      <c r="E214"/>
      <c r="F214"/>
      <c r="G214"/>
      <c r="H214"/>
    </row>
    <row r="215" spans="1:8" x14ac:dyDescent="0.25">
      <c r="A215"/>
      <c r="B215"/>
      <c r="C215"/>
      <c r="D215"/>
      <c r="E215"/>
      <c r="F215"/>
      <c r="G215"/>
      <c r="H215"/>
    </row>
    <row r="216" spans="1:8" x14ac:dyDescent="0.25">
      <c r="A216"/>
      <c r="B216"/>
      <c r="C216"/>
      <c r="D216"/>
      <c r="E216"/>
      <c r="F216"/>
      <c r="G216"/>
      <c r="H216"/>
    </row>
    <row r="217" spans="1:8" x14ac:dyDescent="0.25">
      <c r="A217"/>
      <c r="B217"/>
      <c r="C217"/>
      <c r="D217"/>
      <c r="E217"/>
      <c r="F217"/>
      <c r="G217"/>
      <c r="H217"/>
    </row>
    <row r="218" spans="1:8" x14ac:dyDescent="0.25">
      <c r="A218"/>
      <c r="B218"/>
      <c r="C218"/>
      <c r="D218"/>
      <c r="E218"/>
      <c r="F218"/>
      <c r="G218"/>
      <c r="H218"/>
    </row>
  </sheetData>
  <sheetProtection algorithmName="SHA-512" hashValue="1rwFCv9JlN7BmPOKpW6QjpTZsoV2NuQj80NhN1tmIHy8q/wEFvQbNGNVVrqdiuFUTssOF/fHOqGrtAGLHjOzTA==" saltValue="EVLtxVSg/0GQtAUCvwpeEA==" spinCount="100000" sheet="1" objects="1" scenarios="1"/>
  <mergeCells count="189">
    <mergeCell ref="G17:H17"/>
    <mergeCell ref="G19:H19"/>
    <mergeCell ref="A12:H12"/>
    <mergeCell ref="A5:H5"/>
    <mergeCell ref="A6:H6"/>
    <mergeCell ref="A8:H8"/>
    <mergeCell ref="A9:H9"/>
    <mergeCell ref="A10:H10"/>
    <mergeCell ref="A11:H11"/>
    <mergeCell ref="G24:H24"/>
    <mergeCell ref="A25:H25"/>
    <mergeCell ref="A26:H26"/>
    <mergeCell ref="A27:H27"/>
    <mergeCell ref="A28:H28"/>
    <mergeCell ref="G20:H20"/>
    <mergeCell ref="G21:H21"/>
    <mergeCell ref="G22:H22"/>
    <mergeCell ref="B22:F22"/>
    <mergeCell ref="B23:F23"/>
    <mergeCell ref="G23:H23"/>
    <mergeCell ref="B24:F24"/>
    <mergeCell ref="B36:F36"/>
    <mergeCell ref="B37:F37"/>
    <mergeCell ref="B38:F38"/>
    <mergeCell ref="B39:F39"/>
    <mergeCell ref="B40:F40"/>
    <mergeCell ref="A41:G41"/>
    <mergeCell ref="A29:H29"/>
    <mergeCell ref="A30:H30"/>
    <mergeCell ref="A31:H31"/>
    <mergeCell ref="A32:H32"/>
    <mergeCell ref="B34:F34"/>
    <mergeCell ref="B35:F35"/>
    <mergeCell ref="A49:H49"/>
    <mergeCell ref="A51:H51"/>
    <mergeCell ref="B53:F53"/>
    <mergeCell ref="B54:F54"/>
    <mergeCell ref="B55:F55"/>
    <mergeCell ref="A42:H42"/>
    <mergeCell ref="A43:H43"/>
    <mergeCell ref="A44:H44"/>
    <mergeCell ref="A46:H46"/>
    <mergeCell ref="A47:H47"/>
    <mergeCell ref="A48:H48"/>
    <mergeCell ref="B64:F64"/>
    <mergeCell ref="B65:F65"/>
    <mergeCell ref="B66:F66"/>
    <mergeCell ref="B67:F67"/>
    <mergeCell ref="B68:F68"/>
    <mergeCell ref="B69:F69"/>
    <mergeCell ref="A57:H57"/>
    <mergeCell ref="A58:H58"/>
    <mergeCell ref="A59:H59"/>
    <mergeCell ref="A61:H61"/>
    <mergeCell ref="A76:H76"/>
    <mergeCell ref="A77:H77"/>
    <mergeCell ref="A78:H78"/>
    <mergeCell ref="A79:H79"/>
    <mergeCell ref="A80:H80"/>
    <mergeCell ref="A81:H81"/>
    <mergeCell ref="B70:F70"/>
    <mergeCell ref="B71:F71"/>
    <mergeCell ref="B72:F72"/>
    <mergeCell ref="A73:F73"/>
    <mergeCell ref="A74:H74"/>
    <mergeCell ref="A75:H75"/>
    <mergeCell ref="B90:F90"/>
    <mergeCell ref="B91:F91"/>
    <mergeCell ref="B92:F92"/>
    <mergeCell ref="B93:F93"/>
    <mergeCell ref="J93:K93"/>
    <mergeCell ref="B94:F94"/>
    <mergeCell ref="A82:H82"/>
    <mergeCell ref="A83:H83"/>
    <mergeCell ref="A86:H86"/>
    <mergeCell ref="J86:K86"/>
    <mergeCell ref="B88:F88"/>
    <mergeCell ref="B89:F89"/>
    <mergeCell ref="B102:G102"/>
    <mergeCell ref="B103:G103"/>
    <mergeCell ref="B104:G104"/>
    <mergeCell ref="B105:G105"/>
    <mergeCell ref="A106:G106"/>
    <mergeCell ref="A109:H109"/>
    <mergeCell ref="A95:G95"/>
    <mergeCell ref="A96:H96"/>
    <mergeCell ref="A97:H97"/>
    <mergeCell ref="A98:H98"/>
    <mergeCell ref="A99:H99"/>
    <mergeCell ref="A101:H101"/>
    <mergeCell ref="B117:F117"/>
    <mergeCell ref="B118:F118"/>
    <mergeCell ref="B119:F119"/>
    <mergeCell ref="A120:F120"/>
    <mergeCell ref="A121:H121"/>
    <mergeCell ref="A122:H122"/>
    <mergeCell ref="A111:G111"/>
    <mergeCell ref="A112:G112"/>
    <mergeCell ref="B113:F113"/>
    <mergeCell ref="B114:F114"/>
    <mergeCell ref="B115:F115"/>
    <mergeCell ref="B116:F116"/>
    <mergeCell ref="A133:G133"/>
    <mergeCell ref="B134:F134"/>
    <mergeCell ref="B135:F135"/>
    <mergeCell ref="B136:F136"/>
    <mergeCell ref="B137:F137"/>
    <mergeCell ref="B138:F138"/>
    <mergeCell ref="A123:H123"/>
    <mergeCell ref="A124:H124"/>
    <mergeCell ref="A127:H127"/>
    <mergeCell ref="A128:H128"/>
    <mergeCell ref="A129:H129"/>
    <mergeCell ref="A131:H131"/>
    <mergeCell ref="A145:H145"/>
    <mergeCell ref="A146:H146"/>
    <mergeCell ref="A147:H147"/>
    <mergeCell ref="A148:H148"/>
    <mergeCell ref="A150:H150"/>
    <mergeCell ref="B151:G151"/>
    <mergeCell ref="B139:F139"/>
    <mergeCell ref="B140:F140"/>
    <mergeCell ref="B141:F141"/>
    <mergeCell ref="A142:F142"/>
    <mergeCell ref="A143:H143"/>
    <mergeCell ref="A144:H144"/>
    <mergeCell ref="A160:G160"/>
    <mergeCell ref="A163:H163"/>
    <mergeCell ref="B165:G165"/>
    <mergeCell ref="B166:G166"/>
    <mergeCell ref="B167:G167"/>
    <mergeCell ref="B168:G168"/>
    <mergeCell ref="B152:G152"/>
    <mergeCell ref="A153:G153"/>
    <mergeCell ref="A156:H156"/>
    <mergeCell ref="B157:G157"/>
    <mergeCell ref="B158:G158"/>
    <mergeCell ref="B159:G159"/>
    <mergeCell ref="A175:H175"/>
    <mergeCell ref="A178:H178"/>
    <mergeCell ref="A180:G180"/>
    <mergeCell ref="A181:G181"/>
    <mergeCell ref="A182:G182"/>
    <mergeCell ref="A183:F183"/>
    <mergeCell ref="B169:G169"/>
    <mergeCell ref="B170:G170"/>
    <mergeCell ref="A171:G171"/>
    <mergeCell ref="A172:H172"/>
    <mergeCell ref="A173:H173"/>
    <mergeCell ref="A174:H174"/>
    <mergeCell ref="A194:H194"/>
    <mergeCell ref="A195:H195"/>
    <mergeCell ref="A196:H196"/>
    <mergeCell ref="A197:H197"/>
    <mergeCell ref="A198:H198"/>
    <mergeCell ref="B184:F184"/>
    <mergeCell ref="B185:F185"/>
    <mergeCell ref="B186:F186"/>
    <mergeCell ref="A187:A192"/>
    <mergeCell ref="B187:F187"/>
    <mergeCell ref="C188:F188"/>
    <mergeCell ref="C189:F189"/>
    <mergeCell ref="B190:F190"/>
    <mergeCell ref="B191:F191"/>
    <mergeCell ref="B192:F192"/>
    <mergeCell ref="A56:F56"/>
    <mergeCell ref="A212:G212"/>
    <mergeCell ref="A14:H14"/>
    <mergeCell ref="A15:H15"/>
    <mergeCell ref="A16:H16"/>
    <mergeCell ref="B17:F17"/>
    <mergeCell ref="B18:F18"/>
    <mergeCell ref="G18:H18"/>
    <mergeCell ref="B19:F19"/>
    <mergeCell ref="B20:F20"/>
    <mergeCell ref="B21:F21"/>
    <mergeCell ref="B206:G206"/>
    <mergeCell ref="A207:G207"/>
    <mergeCell ref="B208:G208"/>
    <mergeCell ref="A209:G209"/>
    <mergeCell ref="A210:G210"/>
    <mergeCell ref="A211:G211"/>
    <mergeCell ref="A199:H199"/>
    <mergeCell ref="B201:G201"/>
    <mergeCell ref="B202:G202"/>
    <mergeCell ref="B203:G203"/>
    <mergeCell ref="B204:G204"/>
    <mergeCell ref="B205:G205"/>
    <mergeCell ref="A193:G193"/>
  </mergeCells>
  <printOptions horizontalCentered="1" verticalCentered="1"/>
  <pageMargins left="0.51181102362204722" right="0.51181102362204722" top="0.74803149606299213" bottom="0.74803149606299213" header="0.31496062992125984" footer="0.31496062992125984"/>
  <pageSetup paperSize="9" scale="72" fitToWidth="0" fitToHeight="0" orientation="portrait" r:id="rId1"/>
  <headerFooter alignWithMargins="0">
    <oddFooter>&amp;A</oddFooter>
  </headerFooter>
  <rowBreaks count="3" manualBreakCount="3">
    <brk id="50" max="7" man="1"/>
    <brk id="99" max="7" man="1"/>
    <brk id="148" max="7" man="1"/>
  </rowBreaks>
  <drawing r:id="rId2"/>
  <legacyDrawing r:id="rId3"/>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59999389629810485"/>
  </sheetPr>
  <dimension ref="A1:K218"/>
  <sheetViews>
    <sheetView showGridLines="0" zoomScaleNormal="100" workbookViewId="0">
      <selection activeCell="K1" sqref="K1"/>
    </sheetView>
  </sheetViews>
  <sheetFormatPr defaultRowHeight="15" x14ac:dyDescent="0.25"/>
  <cols>
    <col min="1" max="1" width="4.7109375" style="3" customWidth="1"/>
    <col min="2" max="2" width="8.85546875" style="3" customWidth="1"/>
    <col min="3" max="3" width="12.7109375" style="3" customWidth="1"/>
    <col min="4" max="4" width="8.85546875" style="3" customWidth="1"/>
    <col min="5" max="5" width="7.42578125" style="3" customWidth="1"/>
    <col min="6" max="6" width="26.140625" style="3" customWidth="1"/>
    <col min="7" max="7" width="18.140625" style="3" customWidth="1"/>
    <col min="8" max="8" width="16.7109375" style="13" customWidth="1"/>
    <col min="9" max="9" width="11.5703125" style="3" customWidth="1"/>
    <col min="10" max="10" width="48.85546875" style="3" bestFit="1" customWidth="1"/>
    <col min="11" max="11" width="12.140625" style="3" customWidth="1"/>
    <col min="12" max="16384" width="9.140625" style="3"/>
  </cols>
  <sheetData>
    <row r="1" spans="1:8" ht="15" customHeight="1" x14ac:dyDescent="0.25">
      <c r="A1" s="36"/>
      <c r="B1" s="36"/>
      <c r="C1" s="36"/>
      <c r="D1" s="36"/>
      <c r="E1" s="36"/>
      <c r="F1" s="36"/>
      <c r="G1" s="36"/>
      <c r="H1" s="36"/>
    </row>
    <row r="2" spans="1:8" ht="15" customHeight="1" x14ac:dyDescent="0.25">
      <c r="A2" s="36"/>
      <c r="B2" s="36"/>
      <c r="C2" s="36"/>
      <c r="D2" s="36"/>
      <c r="E2" s="36"/>
      <c r="F2" s="36"/>
      <c r="G2" s="36"/>
      <c r="H2" s="36"/>
    </row>
    <row r="3" spans="1:8" ht="15" customHeight="1" x14ac:dyDescent="0.25">
      <c r="A3" s="36"/>
      <c r="B3" s="36"/>
      <c r="C3" s="36"/>
      <c r="D3" s="36"/>
      <c r="E3" s="36"/>
      <c r="F3" s="36"/>
      <c r="G3" s="36"/>
      <c r="H3" s="36"/>
    </row>
    <row r="4" spans="1:8" ht="15" customHeight="1" x14ac:dyDescent="0.25">
      <c r="A4" s="36"/>
      <c r="B4" s="36"/>
      <c r="C4" s="36"/>
      <c r="D4" s="36"/>
      <c r="E4" s="36"/>
      <c r="F4" s="36"/>
      <c r="G4" s="36"/>
      <c r="H4" s="36"/>
    </row>
    <row r="5" spans="1:8" ht="15" customHeight="1" x14ac:dyDescent="0.25">
      <c r="A5" s="490" t="str">
        <f>ORIENTAÇÕES!A5</f>
        <v>MINISTÉRIO DA AGRICULTURA E PECUÁRIA</v>
      </c>
      <c r="B5" s="490"/>
      <c r="C5" s="490"/>
      <c r="D5" s="490"/>
      <c r="E5" s="490"/>
      <c r="F5" s="490"/>
      <c r="G5" s="490"/>
      <c r="H5" s="490"/>
    </row>
    <row r="6" spans="1:8" ht="15" customHeight="1" x14ac:dyDescent="0.25">
      <c r="A6" s="490" t="str">
        <f>ORIENTAÇÕES!A6</f>
        <v>LABORATÓRIO FEDERAL DE DEFESA AGROPECUÁRIA NO PARÁ</v>
      </c>
      <c r="B6" s="490"/>
      <c r="C6" s="490"/>
      <c r="D6" s="490"/>
      <c r="E6" s="490"/>
      <c r="F6" s="490"/>
      <c r="G6" s="490"/>
      <c r="H6" s="490"/>
    </row>
    <row r="7" spans="1:8" ht="15" customHeight="1" x14ac:dyDescent="0.25">
      <c r="A7" s="36"/>
      <c r="B7" s="36"/>
      <c r="C7" s="36"/>
      <c r="D7" s="36"/>
      <c r="E7" s="36"/>
      <c r="F7" s="36"/>
      <c r="G7" s="36"/>
      <c r="H7" s="36"/>
    </row>
    <row r="8" spans="1:8" ht="19.5" customHeight="1" x14ac:dyDescent="0.25">
      <c r="A8" s="689" t="str">
        <f>ORIENTAÇÕES!A8</f>
        <v xml:space="preserve">PLANILHA REFERENCIAL DE CUSTO E FORMAÇÃO DE PREÇO </v>
      </c>
      <c r="B8" s="689"/>
      <c r="C8" s="689"/>
      <c r="D8" s="689"/>
      <c r="E8" s="689"/>
      <c r="F8" s="689"/>
      <c r="G8" s="689"/>
      <c r="H8" s="689"/>
    </row>
    <row r="9" spans="1:8" ht="15" customHeight="1" x14ac:dyDescent="0.25">
      <c r="A9" s="690" t="s">
        <v>361</v>
      </c>
      <c r="B9" s="690"/>
      <c r="C9" s="690"/>
      <c r="D9" s="690"/>
      <c r="E9" s="690"/>
      <c r="F9" s="690"/>
      <c r="G9" s="690"/>
      <c r="H9" s="690"/>
    </row>
    <row r="10" spans="1:8" ht="15" customHeight="1" x14ac:dyDescent="0.25">
      <c r="A10" s="487" t="str">
        <f>ORIENTAÇÕES!A10</f>
        <v>Pregão Eletrônico 12/2023</v>
      </c>
      <c r="B10" s="487"/>
      <c r="C10" s="487"/>
      <c r="D10" s="487"/>
      <c r="E10" s="487"/>
      <c r="F10" s="487"/>
      <c r="G10" s="487"/>
      <c r="H10" s="487"/>
    </row>
    <row r="11" spans="1:8" ht="15" customHeight="1" x14ac:dyDescent="0.25">
      <c r="A11" s="487" t="str">
        <f>ORIENTAÇÕES!A11</f>
        <v>PROCESSO Nº. :  21000.001352/2023-57</v>
      </c>
      <c r="B11" s="487"/>
      <c r="C11" s="487"/>
      <c r="D11" s="487"/>
      <c r="E11" s="487"/>
      <c r="F11" s="487"/>
      <c r="G11" s="487"/>
      <c r="H11" s="487"/>
    </row>
    <row r="12" spans="1:8" ht="15" customHeight="1" x14ac:dyDescent="0.25">
      <c r="A12" s="480"/>
      <c r="B12" s="480"/>
      <c r="C12" s="480"/>
      <c r="D12" s="480"/>
      <c r="E12" s="480"/>
      <c r="F12" s="480"/>
      <c r="G12" s="480"/>
      <c r="H12" s="480"/>
    </row>
    <row r="13" spans="1:8" ht="15" customHeight="1" thickBot="1" x14ac:dyDescent="0.3">
      <c r="A13" s="377" t="s">
        <v>362</v>
      </c>
      <c r="B13" s="378"/>
      <c r="C13" s="378"/>
      <c r="D13" s="378"/>
      <c r="E13" s="378"/>
      <c r="F13" s="378"/>
      <c r="G13" s="378"/>
      <c r="H13" s="378"/>
    </row>
    <row r="14" spans="1:8" ht="45" customHeight="1" thickBot="1" x14ac:dyDescent="0.3">
      <c r="A14" s="594" t="s">
        <v>363</v>
      </c>
      <c r="B14" s="595"/>
      <c r="C14" s="595"/>
      <c r="D14" s="595"/>
      <c r="E14" s="595"/>
      <c r="F14" s="595"/>
      <c r="G14" s="595"/>
      <c r="H14" s="596"/>
    </row>
    <row r="15" spans="1:8" x14ac:dyDescent="0.25">
      <c r="A15" s="480"/>
      <c r="B15" s="480"/>
      <c r="C15" s="480"/>
      <c r="D15" s="480"/>
      <c r="E15" s="480"/>
      <c r="F15" s="480"/>
      <c r="G15" s="480"/>
      <c r="H15" s="480"/>
    </row>
    <row r="16" spans="1:8" x14ac:dyDescent="0.25">
      <c r="A16" s="635" t="s">
        <v>364</v>
      </c>
      <c r="B16" s="635"/>
      <c r="C16" s="635"/>
      <c r="D16" s="635"/>
      <c r="E16" s="635"/>
      <c r="F16" s="635"/>
      <c r="G16" s="635"/>
      <c r="H16" s="635"/>
    </row>
    <row r="17" spans="1:8" ht="15.75" x14ac:dyDescent="0.25">
      <c r="A17" s="369">
        <v>1</v>
      </c>
      <c r="B17" s="593"/>
      <c r="C17" s="593"/>
      <c r="D17" s="593"/>
      <c r="E17" s="593"/>
      <c r="F17" s="593"/>
      <c r="G17" s="678" t="str">
        <f>RESUMO!D33</f>
        <v>Motorista</v>
      </c>
      <c r="H17" s="678"/>
    </row>
    <row r="18" spans="1:8" ht="15.75" customHeight="1" x14ac:dyDescent="0.25">
      <c r="A18" s="369">
        <v>2</v>
      </c>
      <c r="B18" s="593" t="s">
        <v>365</v>
      </c>
      <c r="C18" s="593"/>
      <c r="D18" s="593"/>
      <c r="E18" s="593"/>
      <c r="F18" s="593"/>
      <c r="G18" s="692">
        <f>RESUMO!F33</f>
        <v>0</v>
      </c>
      <c r="H18" s="693"/>
    </row>
    <row r="19" spans="1:8" ht="15.75" customHeight="1" x14ac:dyDescent="0.25">
      <c r="A19" s="369">
        <v>3</v>
      </c>
      <c r="B19" s="680" t="s">
        <v>366</v>
      </c>
      <c r="C19" s="680"/>
      <c r="D19" s="680"/>
      <c r="E19" s="680"/>
      <c r="F19" s="680"/>
      <c r="G19" s="691">
        <f>RESUMO!G33</f>
        <v>0</v>
      </c>
      <c r="H19" s="691"/>
    </row>
    <row r="20" spans="1:8" ht="15.75" x14ac:dyDescent="0.25">
      <c r="A20" s="369">
        <v>4</v>
      </c>
      <c r="B20" s="681" t="s">
        <v>367</v>
      </c>
      <c r="C20" s="681"/>
      <c r="D20" s="681"/>
      <c r="E20" s="681"/>
      <c r="F20" s="681"/>
      <c r="G20" s="694" t="str">
        <f>RESUMO!C33</f>
        <v>Condutor de Veículo</v>
      </c>
      <c r="H20" s="694"/>
    </row>
    <row r="21" spans="1:8" ht="15.75" x14ac:dyDescent="0.25">
      <c r="A21" s="369">
        <v>5</v>
      </c>
      <c r="B21" s="593" t="s">
        <v>368</v>
      </c>
      <c r="C21" s="593"/>
      <c r="D21" s="593"/>
      <c r="E21" s="593"/>
      <c r="F21" s="593"/>
      <c r="G21" s="679" t="str">
        <f>RESUMO!J33</f>
        <v>00/00/0000</v>
      </c>
      <c r="H21" s="682"/>
    </row>
    <row r="22" spans="1:8" ht="15.75" x14ac:dyDescent="0.25">
      <c r="A22" s="369">
        <v>6</v>
      </c>
      <c r="B22" s="593" t="s">
        <v>369</v>
      </c>
      <c r="C22" s="593"/>
      <c r="D22" s="593"/>
      <c r="E22" s="593"/>
      <c r="F22" s="593"/>
      <c r="G22" s="683">
        <f>RESUMO!I33</f>
        <v>0</v>
      </c>
      <c r="H22" s="683"/>
    </row>
    <row r="23" spans="1:8" ht="15.75" x14ac:dyDescent="0.25">
      <c r="A23" s="369">
        <v>7</v>
      </c>
      <c r="B23" s="593" t="s">
        <v>370</v>
      </c>
      <c r="C23" s="593"/>
      <c r="D23" s="593"/>
      <c r="E23" s="593"/>
      <c r="F23" s="593"/>
      <c r="G23" s="679" t="str">
        <f>RESUMO!J16</f>
        <v>00/00/0000</v>
      </c>
      <c r="H23" s="679"/>
    </row>
    <row r="24" spans="1:8" ht="15.75" x14ac:dyDescent="0.25">
      <c r="A24" s="369">
        <v>8</v>
      </c>
      <c r="B24" s="593" t="s">
        <v>371</v>
      </c>
      <c r="C24" s="593"/>
      <c r="D24" s="593"/>
      <c r="E24" s="593"/>
      <c r="F24" s="593"/>
      <c r="G24" s="666" t="str">
        <f>RESUMO!D22</f>
        <v>Belém-PA</v>
      </c>
      <c r="H24" s="666"/>
    </row>
    <row r="25" spans="1:8" ht="15.75" customHeight="1" x14ac:dyDescent="0.25">
      <c r="A25" s="621" t="s">
        <v>372</v>
      </c>
      <c r="B25" s="622"/>
      <c r="C25" s="622"/>
      <c r="D25" s="622"/>
      <c r="E25" s="622"/>
      <c r="F25" s="622"/>
      <c r="G25" s="622"/>
      <c r="H25" s="622"/>
    </row>
    <row r="26" spans="1:8" x14ac:dyDescent="0.25">
      <c r="A26" s="625" t="s">
        <v>373</v>
      </c>
      <c r="B26" s="626"/>
      <c r="C26" s="626"/>
      <c r="D26" s="626"/>
      <c r="E26" s="626"/>
      <c r="F26" s="626"/>
      <c r="G26" s="626"/>
      <c r="H26" s="626"/>
    </row>
    <row r="27" spans="1:8" x14ac:dyDescent="0.25">
      <c r="A27" s="625" t="s">
        <v>374</v>
      </c>
      <c r="B27" s="626"/>
      <c r="C27" s="626"/>
      <c r="D27" s="626"/>
      <c r="E27" s="626"/>
      <c r="F27" s="626"/>
      <c r="G27" s="626"/>
      <c r="H27" s="626"/>
    </row>
    <row r="28" spans="1:8" x14ac:dyDescent="0.25">
      <c r="A28" s="670" t="s">
        <v>375</v>
      </c>
      <c r="B28" s="671"/>
      <c r="C28" s="671"/>
      <c r="D28" s="671"/>
      <c r="E28" s="671"/>
      <c r="F28" s="671"/>
      <c r="G28" s="671"/>
      <c r="H28" s="671"/>
    </row>
    <row r="29" spans="1:8" ht="15" customHeight="1" x14ac:dyDescent="0.25">
      <c r="A29" s="672" t="s">
        <v>550</v>
      </c>
      <c r="B29" s="673"/>
      <c r="C29" s="673"/>
      <c r="D29" s="673"/>
      <c r="E29" s="673"/>
      <c r="F29" s="673"/>
      <c r="G29" s="673"/>
      <c r="H29" s="673"/>
    </row>
    <row r="30" spans="1:8" ht="30" customHeight="1" x14ac:dyDescent="0.25">
      <c r="A30" s="672" t="s">
        <v>377</v>
      </c>
      <c r="B30" s="673"/>
      <c r="C30" s="673"/>
      <c r="D30" s="673"/>
      <c r="E30" s="673"/>
      <c r="F30" s="673"/>
      <c r="G30" s="673"/>
      <c r="H30" s="673"/>
    </row>
    <row r="31" spans="1:8" x14ac:dyDescent="0.25">
      <c r="A31" s="674"/>
      <c r="B31" s="674"/>
      <c r="C31" s="674"/>
      <c r="D31" s="674"/>
      <c r="E31" s="674"/>
      <c r="F31" s="674"/>
      <c r="G31" s="674"/>
      <c r="H31" s="674"/>
    </row>
    <row r="32" spans="1:8" ht="18" customHeight="1" x14ac:dyDescent="0.25">
      <c r="A32" s="565" t="s">
        <v>378</v>
      </c>
      <c r="B32" s="565"/>
      <c r="C32" s="565"/>
      <c r="D32" s="565"/>
      <c r="E32" s="565"/>
      <c r="F32" s="565"/>
      <c r="G32" s="565"/>
      <c r="H32" s="565"/>
    </row>
    <row r="33" spans="1:8" ht="18" customHeight="1" x14ac:dyDescent="0.25">
      <c r="A33" s="37"/>
      <c r="B33" s="37"/>
      <c r="C33" s="37"/>
      <c r="D33" s="37"/>
      <c r="E33" s="37"/>
      <c r="F33" s="37"/>
      <c r="G33" s="37"/>
      <c r="H33" s="37"/>
    </row>
    <row r="34" spans="1:8" ht="18" customHeight="1" x14ac:dyDescent="0.25">
      <c r="A34" s="38">
        <v>1</v>
      </c>
      <c r="B34" s="669" t="s">
        <v>379</v>
      </c>
      <c r="C34" s="669"/>
      <c r="D34" s="669"/>
      <c r="E34" s="669"/>
      <c r="F34" s="669"/>
      <c r="G34" s="5" t="s">
        <v>380</v>
      </c>
      <c r="H34" s="5" t="s">
        <v>381</v>
      </c>
    </row>
    <row r="35" spans="1:8" x14ac:dyDescent="0.25">
      <c r="A35" s="6" t="s">
        <v>382</v>
      </c>
      <c r="B35" s="636" t="s">
        <v>383</v>
      </c>
      <c r="C35" s="636"/>
      <c r="D35" s="636"/>
      <c r="E35" s="636"/>
      <c r="F35" s="636"/>
      <c r="G35" s="359" t="s">
        <v>384</v>
      </c>
      <c r="H35" s="475">
        <f>G19</f>
        <v>0</v>
      </c>
    </row>
    <row r="36" spans="1:8" x14ac:dyDescent="0.25">
      <c r="A36" s="6" t="s">
        <v>385</v>
      </c>
      <c r="B36" s="636" t="s">
        <v>386</v>
      </c>
      <c r="C36" s="636"/>
      <c r="D36" s="636"/>
      <c r="E36" s="636"/>
      <c r="F36" s="636"/>
      <c r="G36" s="360" t="s">
        <v>109</v>
      </c>
      <c r="H36" s="9">
        <v>0</v>
      </c>
    </row>
    <row r="37" spans="1:8" x14ac:dyDescent="0.25">
      <c r="A37" s="10" t="s">
        <v>387</v>
      </c>
      <c r="B37" s="636" t="s">
        <v>388</v>
      </c>
      <c r="C37" s="636"/>
      <c r="D37" s="636"/>
      <c r="E37" s="636"/>
      <c r="F37" s="636"/>
      <c r="G37" s="362">
        <v>0</v>
      </c>
      <c r="H37" s="11">
        <f>H35*G37</f>
        <v>0</v>
      </c>
    </row>
    <row r="38" spans="1:8" x14ac:dyDescent="0.25">
      <c r="A38" s="6" t="s">
        <v>389</v>
      </c>
      <c r="B38" s="636" t="s">
        <v>390</v>
      </c>
      <c r="C38" s="636"/>
      <c r="D38" s="636"/>
      <c r="E38" s="636"/>
      <c r="F38" s="636"/>
      <c r="G38" s="116" t="s">
        <v>109</v>
      </c>
      <c r="H38" s="9">
        <v>0</v>
      </c>
    </row>
    <row r="39" spans="1:8" x14ac:dyDescent="0.25">
      <c r="A39" s="6" t="s">
        <v>391</v>
      </c>
      <c r="B39" s="636" t="s">
        <v>392</v>
      </c>
      <c r="C39" s="636"/>
      <c r="D39" s="636"/>
      <c r="E39" s="636"/>
      <c r="F39" s="636"/>
      <c r="G39" s="116" t="s">
        <v>109</v>
      </c>
      <c r="H39" s="9">
        <v>0</v>
      </c>
    </row>
    <row r="40" spans="1:8" x14ac:dyDescent="0.25">
      <c r="A40" s="6" t="s">
        <v>393</v>
      </c>
      <c r="B40" s="685" t="s">
        <v>394</v>
      </c>
      <c r="C40" s="686"/>
      <c r="D40" s="686"/>
      <c r="E40" s="686"/>
      <c r="F40" s="686"/>
      <c r="G40" s="361" t="s">
        <v>109</v>
      </c>
      <c r="H40" s="42">
        <v>0</v>
      </c>
    </row>
    <row r="41" spans="1:8" s="12" customFormat="1" ht="14.25" customHeight="1" x14ac:dyDescent="0.25">
      <c r="A41" s="642" t="s">
        <v>395</v>
      </c>
      <c r="B41" s="642"/>
      <c r="C41" s="642"/>
      <c r="D41" s="642"/>
      <c r="E41" s="642"/>
      <c r="F41" s="642"/>
      <c r="G41" s="642"/>
      <c r="H41" s="31">
        <f>SUM(H35:H40)</f>
        <v>0</v>
      </c>
    </row>
    <row r="42" spans="1:8" s="12" customFormat="1" ht="15" customHeight="1" x14ac:dyDescent="0.25">
      <c r="A42" s="621" t="s">
        <v>372</v>
      </c>
      <c r="B42" s="622"/>
      <c r="C42" s="622"/>
      <c r="D42" s="622"/>
      <c r="E42" s="622"/>
      <c r="F42" s="622"/>
      <c r="G42" s="622"/>
      <c r="H42" s="622"/>
    </row>
    <row r="43" spans="1:8" s="12" customFormat="1" x14ac:dyDescent="0.25">
      <c r="A43" s="625" t="s">
        <v>396</v>
      </c>
      <c r="B43" s="626"/>
      <c r="C43" s="626"/>
      <c r="D43" s="626"/>
      <c r="E43" s="626"/>
      <c r="F43" s="626"/>
      <c r="G43" s="626"/>
      <c r="H43" s="626"/>
    </row>
    <row r="44" spans="1:8" s="12" customFormat="1" x14ac:dyDescent="0.25">
      <c r="A44" s="625" t="s">
        <v>397</v>
      </c>
      <c r="B44" s="626"/>
      <c r="C44" s="626"/>
      <c r="D44" s="626"/>
      <c r="E44" s="626"/>
      <c r="F44" s="626"/>
      <c r="G44" s="626"/>
      <c r="H44" s="626"/>
    </row>
    <row r="45" spans="1:8" s="12" customFormat="1" ht="17.25" customHeight="1" x14ac:dyDescent="0.25">
      <c r="A45" s="3"/>
      <c r="B45" s="3"/>
      <c r="C45" s="3"/>
      <c r="D45" s="3"/>
      <c r="E45" s="3"/>
      <c r="F45" s="3"/>
      <c r="G45" s="3"/>
      <c r="H45" s="13"/>
    </row>
    <row r="46" spans="1:8" ht="15.75" x14ac:dyDescent="0.25">
      <c r="A46" s="565" t="s">
        <v>398</v>
      </c>
      <c r="B46" s="565"/>
      <c r="C46" s="565"/>
      <c r="D46" s="565"/>
      <c r="E46" s="565"/>
      <c r="F46" s="565"/>
      <c r="G46" s="565"/>
      <c r="H46" s="565"/>
    </row>
    <row r="47" spans="1:8" ht="16.5" customHeight="1" x14ac:dyDescent="0.25">
      <c r="A47" s="621" t="s">
        <v>372</v>
      </c>
      <c r="B47" s="622"/>
      <c r="C47" s="622"/>
      <c r="D47" s="622"/>
      <c r="E47" s="622"/>
      <c r="F47" s="622"/>
      <c r="G47" s="622"/>
      <c r="H47" s="622"/>
    </row>
    <row r="48" spans="1:8" ht="30" customHeight="1" x14ac:dyDescent="0.25">
      <c r="A48" s="625" t="s">
        <v>399</v>
      </c>
      <c r="B48" s="626"/>
      <c r="C48" s="626"/>
      <c r="D48" s="626"/>
      <c r="E48" s="626"/>
      <c r="F48" s="626"/>
      <c r="G48" s="626"/>
      <c r="H48" s="626"/>
    </row>
    <row r="49" spans="1:9" ht="30" customHeight="1" x14ac:dyDescent="0.25">
      <c r="A49" s="625" t="s">
        <v>400</v>
      </c>
      <c r="B49" s="626"/>
      <c r="C49" s="626"/>
      <c r="D49" s="626"/>
      <c r="E49" s="626"/>
      <c r="F49" s="626"/>
      <c r="G49" s="626"/>
      <c r="H49" s="626"/>
    </row>
    <row r="50" spans="1:9" x14ac:dyDescent="0.25">
      <c r="A50" s="14"/>
      <c r="B50" s="14"/>
      <c r="C50" s="14"/>
      <c r="D50" s="14"/>
      <c r="E50" s="14"/>
      <c r="F50" s="14"/>
      <c r="G50" s="14"/>
      <c r="H50" s="14"/>
      <c r="I50" s="15"/>
    </row>
    <row r="51" spans="1:9" ht="15.75" x14ac:dyDescent="0.25">
      <c r="A51" s="713" t="s">
        <v>401</v>
      </c>
      <c r="B51" s="713"/>
      <c r="C51" s="713"/>
      <c r="D51" s="713"/>
      <c r="E51" s="713"/>
      <c r="F51" s="713"/>
      <c r="G51" s="713"/>
      <c r="H51" s="713"/>
      <c r="I51" s="15"/>
    </row>
    <row r="52" spans="1:9" x14ac:dyDescent="0.25">
      <c r="A52" s="49"/>
      <c r="B52" s="49"/>
      <c r="C52" s="49"/>
      <c r="D52" s="49"/>
      <c r="E52" s="49"/>
      <c r="F52" s="49"/>
      <c r="G52" s="49"/>
      <c r="H52" s="49"/>
      <c r="I52" s="15"/>
    </row>
    <row r="53" spans="1:9" x14ac:dyDescent="0.25">
      <c r="A53" s="44" t="s">
        <v>402</v>
      </c>
      <c r="B53" s="637" t="s">
        <v>403</v>
      </c>
      <c r="C53" s="637"/>
      <c r="D53" s="637"/>
      <c r="E53" s="637"/>
      <c r="F53" s="637"/>
      <c r="G53" s="183" t="s">
        <v>404</v>
      </c>
      <c r="H53" s="183" t="s">
        <v>381</v>
      </c>
    </row>
    <row r="54" spans="1:9" x14ac:dyDescent="0.25">
      <c r="A54" s="6" t="s">
        <v>382</v>
      </c>
      <c r="B54" s="636" t="s">
        <v>405</v>
      </c>
      <c r="C54" s="636"/>
      <c r="D54" s="636"/>
      <c r="E54" s="636"/>
      <c r="F54" s="636"/>
      <c r="G54" s="16">
        <f>1/12</f>
        <v>8.3333333333333329E-2</v>
      </c>
      <c r="H54" s="11">
        <f>$H$41*G54</f>
        <v>0</v>
      </c>
      <c r="I54" s="15"/>
    </row>
    <row r="55" spans="1:9" x14ac:dyDescent="0.25">
      <c r="A55" s="6" t="s">
        <v>385</v>
      </c>
      <c r="B55" s="636" t="s">
        <v>546</v>
      </c>
      <c r="C55" s="636"/>
      <c r="D55" s="636"/>
      <c r="E55" s="636"/>
      <c r="F55" s="636"/>
      <c r="G55" s="16">
        <v>0.121</v>
      </c>
      <c r="H55" s="11">
        <f>$H$41*G55</f>
        <v>0</v>
      </c>
    </row>
    <row r="56" spans="1:9" s="12" customFormat="1" ht="18" customHeight="1" x14ac:dyDescent="0.25">
      <c r="A56" s="615" t="s">
        <v>407</v>
      </c>
      <c r="B56" s="616"/>
      <c r="C56" s="616"/>
      <c r="D56" s="616"/>
      <c r="E56" s="616"/>
      <c r="F56" s="617"/>
      <c r="G56" s="396">
        <f>SUM(G54:G55)</f>
        <v>0.20433333333333331</v>
      </c>
      <c r="H56" s="32">
        <f>SUM(H54:H55)</f>
        <v>0</v>
      </c>
    </row>
    <row r="57" spans="1:9" s="12" customFormat="1" ht="18" customHeight="1" x14ac:dyDescent="0.25">
      <c r="A57" s="621" t="s">
        <v>372</v>
      </c>
      <c r="B57" s="622"/>
      <c r="C57" s="622"/>
      <c r="D57" s="622"/>
      <c r="E57" s="622"/>
      <c r="F57" s="622"/>
      <c r="G57" s="622"/>
      <c r="H57" s="622"/>
    </row>
    <row r="58" spans="1:9" s="12" customFormat="1" ht="30" customHeight="1" x14ac:dyDescent="0.25">
      <c r="A58" s="625" t="s">
        <v>408</v>
      </c>
      <c r="B58" s="626"/>
      <c r="C58" s="626"/>
      <c r="D58" s="626"/>
      <c r="E58" s="626"/>
      <c r="F58" s="626"/>
      <c r="G58" s="626"/>
      <c r="H58" s="626"/>
    </row>
    <row r="59" spans="1:9" s="12" customFormat="1" ht="30" customHeight="1" x14ac:dyDescent="0.25">
      <c r="A59" s="625" t="s">
        <v>409</v>
      </c>
      <c r="B59" s="626"/>
      <c r="C59" s="626"/>
      <c r="D59" s="626"/>
      <c r="E59" s="626"/>
      <c r="F59" s="626"/>
      <c r="G59" s="626"/>
      <c r="H59" s="626"/>
    </row>
    <row r="60" spans="1:9" s="12" customFormat="1" ht="17.25" customHeight="1" x14ac:dyDescent="0.25">
      <c r="A60" s="14"/>
      <c r="B60" s="14"/>
      <c r="C60" s="14"/>
      <c r="D60" s="14"/>
      <c r="E60" s="14"/>
      <c r="F60" s="14"/>
      <c r="G60" s="14"/>
      <c r="H60" s="14"/>
    </row>
    <row r="61" spans="1:9" s="12" customFormat="1" ht="33" customHeight="1" x14ac:dyDescent="0.25">
      <c r="A61" s="708" t="s">
        <v>410</v>
      </c>
      <c r="B61" s="708"/>
      <c r="C61" s="708"/>
      <c r="D61" s="708"/>
      <c r="E61" s="708"/>
      <c r="F61" s="708"/>
      <c r="G61" s="708"/>
      <c r="H61" s="708"/>
    </row>
    <row r="62" spans="1:9" s="12" customFormat="1" x14ac:dyDescent="0.25">
      <c r="A62" s="182"/>
      <c r="B62" s="182"/>
      <c r="C62" s="182"/>
      <c r="D62" s="182"/>
      <c r="E62" s="182"/>
      <c r="F62" s="182"/>
      <c r="G62" s="182"/>
      <c r="H62" s="182"/>
    </row>
    <row r="63" spans="1:9" s="12" customFormat="1" x14ac:dyDescent="0.25">
      <c r="A63" s="181"/>
      <c r="B63" s="181"/>
      <c r="C63" s="181"/>
      <c r="D63" s="181"/>
      <c r="E63" s="181"/>
      <c r="G63" s="204" t="s">
        <v>411</v>
      </c>
      <c r="H63" s="184">
        <f>H41+H56</f>
        <v>0</v>
      </c>
    </row>
    <row r="64" spans="1:9" s="12" customFormat="1" ht="17.25" customHeight="1" x14ac:dyDescent="0.25">
      <c r="A64" s="195" t="s">
        <v>412</v>
      </c>
      <c r="B64" s="649" t="s">
        <v>403</v>
      </c>
      <c r="C64" s="649"/>
      <c r="D64" s="649"/>
      <c r="E64" s="649"/>
      <c r="F64" s="649"/>
      <c r="G64" s="196" t="s">
        <v>404</v>
      </c>
      <c r="H64" s="197" t="s">
        <v>381</v>
      </c>
    </row>
    <row r="65" spans="1:8" s="12" customFormat="1" x14ac:dyDescent="0.25">
      <c r="A65" s="6" t="s">
        <v>382</v>
      </c>
      <c r="B65" s="636" t="s">
        <v>413</v>
      </c>
      <c r="C65" s="636"/>
      <c r="D65" s="636"/>
      <c r="E65" s="636"/>
      <c r="F65" s="636"/>
      <c r="G65" s="806">
        <v>0</v>
      </c>
      <c r="H65" s="11">
        <f t="shared" ref="H65:H72" si="0">$H$63*G65</f>
        <v>0</v>
      </c>
    </row>
    <row r="66" spans="1:8" s="12" customFormat="1" x14ac:dyDescent="0.25">
      <c r="A66" s="6" t="s">
        <v>385</v>
      </c>
      <c r="B66" s="636" t="s">
        <v>414</v>
      </c>
      <c r="C66" s="636"/>
      <c r="D66" s="636"/>
      <c r="E66" s="636"/>
      <c r="F66" s="636"/>
      <c r="G66" s="806">
        <v>0</v>
      </c>
      <c r="H66" s="11">
        <f t="shared" si="0"/>
        <v>0</v>
      </c>
    </row>
    <row r="67" spans="1:8" s="12" customFormat="1" x14ac:dyDescent="0.25">
      <c r="A67" s="6" t="s">
        <v>387</v>
      </c>
      <c r="B67" s="636" t="s">
        <v>415</v>
      </c>
      <c r="C67" s="636"/>
      <c r="D67" s="636"/>
      <c r="E67" s="636"/>
      <c r="F67" s="636"/>
      <c r="G67" s="806">
        <v>0</v>
      </c>
      <c r="H67" s="11">
        <f t="shared" si="0"/>
        <v>0</v>
      </c>
    </row>
    <row r="68" spans="1:8" s="12" customFormat="1" x14ac:dyDescent="0.25">
      <c r="A68" s="6" t="s">
        <v>389</v>
      </c>
      <c r="B68" s="636" t="s">
        <v>416</v>
      </c>
      <c r="C68" s="636"/>
      <c r="D68" s="636"/>
      <c r="E68" s="636"/>
      <c r="F68" s="636"/>
      <c r="G68" s="806">
        <v>0</v>
      </c>
      <c r="H68" s="11">
        <f t="shared" si="0"/>
        <v>0</v>
      </c>
    </row>
    <row r="69" spans="1:8" s="12" customFormat="1" x14ac:dyDescent="0.25">
      <c r="A69" s="6" t="s">
        <v>391</v>
      </c>
      <c r="B69" s="636" t="s">
        <v>417</v>
      </c>
      <c r="C69" s="636"/>
      <c r="D69" s="636"/>
      <c r="E69" s="636"/>
      <c r="F69" s="636"/>
      <c r="G69" s="806">
        <v>0</v>
      </c>
      <c r="H69" s="11">
        <f t="shared" si="0"/>
        <v>0</v>
      </c>
    </row>
    <row r="70" spans="1:8" s="12" customFormat="1" x14ac:dyDescent="0.25">
      <c r="A70" s="6" t="s">
        <v>393</v>
      </c>
      <c r="B70" s="636" t="s">
        <v>418</v>
      </c>
      <c r="C70" s="636"/>
      <c r="D70" s="636"/>
      <c r="E70" s="636"/>
      <c r="F70" s="636"/>
      <c r="G70" s="806">
        <v>0</v>
      </c>
      <c r="H70" s="11">
        <f t="shared" si="0"/>
        <v>0</v>
      </c>
    </row>
    <row r="71" spans="1:8" s="12" customFormat="1" x14ac:dyDescent="0.25">
      <c r="A71" s="6" t="s">
        <v>419</v>
      </c>
      <c r="B71" s="636" t="s">
        <v>420</v>
      </c>
      <c r="C71" s="636"/>
      <c r="D71" s="636"/>
      <c r="E71" s="636"/>
      <c r="F71" s="636"/>
      <c r="G71" s="806">
        <v>0</v>
      </c>
      <c r="H71" s="11">
        <f t="shared" si="0"/>
        <v>0</v>
      </c>
    </row>
    <row r="72" spans="1:8" s="12" customFormat="1" x14ac:dyDescent="0.25">
      <c r="A72" s="6" t="s">
        <v>421</v>
      </c>
      <c r="B72" s="636" t="s">
        <v>422</v>
      </c>
      <c r="C72" s="636"/>
      <c r="D72" s="636"/>
      <c r="E72" s="636"/>
      <c r="F72" s="636"/>
      <c r="G72" s="806">
        <v>0</v>
      </c>
      <c r="H72" s="11">
        <f t="shared" si="0"/>
        <v>0</v>
      </c>
    </row>
    <row r="73" spans="1:8" x14ac:dyDescent="0.25">
      <c r="A73" s="659" t="s">
        <v>423</v>
      </c>
      <c r="B73" s="659" t="s">
        <v>424</v>
      </c>
      <c r="C73" s="659"/>
      <c r="D73" s="659"/>
      <c r="E73" s="659"/>
      <c r="F73" s="659"/>
      <c r="G73" s="34">
        <f>SUM(G65:G72)</f>
        <v>0</v>
      </c>
      <c r="H73" s="32">
        <f>SUM(H65:H72)</f>
        <v>0</v>
      </c>
    </row>
    <row r="74" spans="1:8" ht="15.75" customHeight="1" x14ac:dyDescent="0.25">
      <c r="A74" s="621" t="s">
        <v>372</v>
      </c>
      <c r="B74" s="622"/>
      <c r="C74" s="622"/>
      <c r="D74" s="622"/>
      <c r="E74" s="622"/>
      <c r="F74" s="622"/>
      <c r="G74" s="622"/>
      <c r="H74" s="622"/>
    </row>
    <row r="75" spans="1:8" ht="30" customHeight="1" x14ac:dyDescent="0.25">
      <c r="A75" s="625" t="s">
        <v>425</v>
      </c>
      <c r="B75" s="626"/>
      <c r="C75" s="626"/>
      <c r="D75" s="626"/>
      <c r="E75" s="626"/>
      <c r="F75" s="626"/>
      <c r="G75" s="626"/>
      <c r="H75" s="626"/>
    </row>
    <row r="76" spans="1:8" ht="45" customHeight="1" x14ac:dyDescent="0.25">
      <c r="A76" s="625" t="s">
        <v>426</v>
      </c>
      <c r="B76" s="626"/>
      <c r="C76" s="626"/>
      <c r="D76" s="626"/>
      <c r="E76" s="626"/>
      <c r="F76" s="626"/>
      <c r="G76" s="626"/>
      <c r="H76" s="626"/>
    </row>
    <row r="77" spans="1:8" ht="30" customHeight="1" x14ac:dyDescent="0.25">
      <c r="A77" s="625" t="s">
        <v>427</v>
      </c>
      <c r="B77" s="626"/>
      <c r="C77" s="626"/>
      <c r="D77" s="626"/>
      <c r="E77" s="626"/>
      <c r="F77" s="626"/>
      <c r="G77" s="626"/>
      <c r="H77" s="626"/>
    </row>
    <row r="78" spans="1:8" x14ac:dyDescent="0.25">
      <c r="A78" s="625" t="s">
        <v>428</v>
      </c>
      <c r="B78" s="626"/>
      <c r="C78" s="626"/>
      <c r="D78" s="626"/>
      <c r="E78" s="626"/>
      <c r="F78" s="626"/>
      <c r="G78" s="626"/>
      <c r="H78" s="626"/>
    </row>
    <row r="79" spans="1:8" ht="30" customHeight="1" x14ac:dyDescent="0.25">
      <c r="A79" s="621" t="s">
        <v>429</v>
      </c>
      <c r="B79" s="622"/>
      <c r="C79" s="622"/>
      <c r="D79" s="622"/>
      <c r="E79" s="622"/>
      <c r="F79" s="622"/>
      <c r="G79" s="622"/>
      <c r="H79" s="622"/>
    </row>
    <row r="80" spans="1:8" x14ac:dyDescent="0.25">
      <c r="A80" s="667" t="s">
        <v>430</v>
      </c>
      <c r="B80" s="668"/>
      <c r="C80" s="668"/>
      <c r="D80" s="668"/>
      <c r="E80" s="668"/>
      <c r="F80" s="668"/>
      <c r="G80" s="668"/>
      <c r="H80" s="668"/>
    </row>
    <row r="81" spans="1:11" x14ac:dyDescent="0.25">
      <c r="A81" s="625" t="s">
        <v>431</v>
      </c>
      <c r="B81" s="626"/>
      <c r="C81" s="626"/>
      <c r="D81" s="626"/>
      <c r="E81" s="626"/>
      <c r="F81" s="626"/>
      <c r="G81" s="626"/>
      <c r="H81" s="626"/>
    </row>
    <row r="82" spans="1:11" x14ac:dyDescent="0.25">
      <c r="A82" s="625" t="s">
        <v>432</v>
      </c>
      <c r="B82" s="626"/>
      <c r="C82" s="626"/>
      <c r="D82" s="626"/>
      <c r="E82" s="626"/>
      <c r="F82" s="626"/>
      <c r="G82" s="626"/>
      <c r="H82" s="626"/>
    </row>
    <row r="83" spans="1:11" ht="30" customHeight="1" x14ac:dyDescent="0.25">
      <c r="A83" s="676" t="s">
        <v>433</v>
      </c>
      <c r="B83" s="677"/>
      <c r="C83" s="677"/>
      <c r="D83" s="677"/>
      <c r="E83" s="677"/>
      <c r="F83" s="677"/>
      <c r="G83" s="677"/>
      <c r="H83" s="677"/>
    </row>
    <row r="84" spans="1:11" x14ac:dyDescent="0.25">
      <c r="A84" s="37"/>
      <c r="B84" s="37"/>
      <c r="C84" s="37"/>
      <c r="D84" s="37"/>
      <c r="E84" s="37"/>
      <c r="F84" s="37"/>
      <c r="G84" s="185"/>
      <c r="H84" s="180"/>
    </row>
    <row r="85" spans="1:11" ht="16.5" customHeight="1" x14ac:dyDescent="0.25">
      <c r="A85" s="14"/>
      <c r="B85" s="14"/>
      <c r="C85" s="14"/>
      <c r="D85" s="14"/>
      <c r="E85" s="14"/>
      <c r="F85" s="14"/>
      <c r="G85" s="14"/>
      <c r="H85" s="14"/>
    </row>
    <row r="86" spans="1:11" ht="16.5" customHeight="1" x14ac:dyDescent="0.25">
      <c r="A86" s="712" t="s">
        <v>434</v>
      </c>
      <c r="B86" s="712"/>
      <c r="C86" s="712"/>
      <c r="D86" s="712"/>
      <c r="E86" s="712"/>
      <c r="F86" s="712"/>
      <c r="G86" s="712"/>
      <c r="H86" s="712"/>
      <c r="J86" s="654" t="s">
        <v>435</v>
      </c>
      <c r="K86" s="654"/>
    </row>
    <row r="87" spans="1:11" ht="16.5" customHeight="1" x14ac:dyDescent="0.25">
      <c r="A87" s="186"/>
      <c r="B87" s="186"/>
      <c r="C87" s="186"/>
      <c r="D87" s="186"/>
      <c r="E87" s="186"/>
      <c r="F87" s="186"/>
      <c r="G87" s="186"/>
      <c r="H87" s="186"/>
      <c r="J87" s="187" t="s">
        <v>551</v>
      </c>
      <c r="K87" s="811">
        <v>0</v>
      </c>
    </row>
    <row r="88" spans="1:11" ht="16.5" customHeight="1" x14ac:dyDescent="0.25">
      <c r="A88" s="198" t="s">
        <v>437</v>
      </c>
      <c r="B88" s="687" t="s">
        <v>403</v>
      </c>
      <c r="C88" s="687"/>
      <c r="D88" s="687"/>
      <c r="E88" s="687"/>
      <c r="F88" s="687"/>
      <c r="G88" s="199" t="s">
        <v>438</v>
      </c>
      <c r="H88" s="199" t="s">
        <v>381</v>
      </c>
      <c r="J88" s="187" t="s">
        <v>552</v>
      </c>
      <c r="K88" s="811">
        <v>0</v>
      </c>
    </row>
    <row r="89" spans="1:11" ht="16.5" customHeight="1" x14ac:dyDescent="0.25">
      <c r="A89" s="6" t="s">
        <v>382</v>
      </c>
      <c r="B89" s="636" t="s">
        <v>440</v>
      </c>
      <c r="C89" s="636"/>
      <c r="D89" s="636"/>
      <c r="E89" s="636"/>
      <c r="F89" s="636"/>
      <c r="G89" s="808">
        <f>K94</f>
        <v>0</v>
      </c>
      <c r="H89" s="11">
        <f>K99</f>
        <v>0</v>
      </c>
      <c r="J89" s="187" t="s">
        <v>441</v>
      </c>
      <c r="K89" s="188">
        <f>(K87*22)</f>
        <v>0</v>
      </c>
    </row>
    <row r="90" spans="1:11" x14ac:dyDescent="0.25">
      <c r="A90" s="6" t="s">
        <v>385</v>
      </c>
      <c r="B90" s="636" t="s">
        <v>442</v>
      </c>
      <c r="C90" s="636"/>
      <c r="D90" s="636"/>
      <c r="E90" s="636"/>
      <c r="F90" s="636"/>
      <c r="G90" s="808">
        <f>K87</f>
        <v>0</v>
      </c>
      <c r="H90" s="11">
        <f>K91</f>
        <v>0</v>
      </c>
      <c r="J90" s="187" t="s">
        <v>443</v>
      </c>
      <c r="K90" s="188">
        <f>K89*10%</f>
        <v>0</v>
      </c>
    </row>
    <row r="91" spans="1:11" x14ac:dyDescent="0.25">
      <c r="A91" s="6" t="s">
        <v>387</v>
      </c>
      <c r="B91" s="636" t="s">
        <v>444</v>
      </c>
      <c r="C91" s="636"/>
      <c r="D91" s="636"/>
      <c r="E91" s="636"/>
      <c r="F91" s="636"/>
      <c r="G91" s="808" t="s">
        <v>109</v>
      </c>
      <c r="H91" s="810">
        <v>0</v>
      </c>
      <c r="J91" s="189" t="s">
        <v>445</v>
      </c>
      <c r="K91" s="190">
        <f>K89-K90</f>
        <v>0</v>
      </c>
    </row>
    <row r="92" spans="1:11" x14ac:dyDescent="0.25">
      <c r="A92" s="17" t="s">
        <v>389</v>
      </c>
      <c r="B92" s="636" t="s">
        <v>446</v>
      </c>
      <c r="C92" s="636"/>
      <c r="D92" s="636"/>
      <c r="E92" s="636"/>
      <c r="F92" s="636"/>
      <c r="G92" s="808">
        <v>0</v>
      </c>
      <c r="H92" s="810">
        <v>0</v>
      </c>
      <c r="J92" s="191"/>
      <c r="K92" s="191"/>
    </row>
    <row r="93" spans="1:11" x14ac:dyDescent="0.25">
      <c r="A93" s="6" t="s">
        <v>391</v>
      </c>
      <c r="B93" s="636" t="s">
        <v>447</v>
      </c>
      <c r="C93" s="636"/>
      <c r="D93" s="636"/>
      <c r="E93" s="636"/>
      <c r="F93" s="636"/>
      <c r="G93" s="808" t="s">
        <v>109</v>
      </c>
      <c r="H93" s="810">
        <v>0</v>
      </c>
      <c r="J93" s="654" t="s">
        <v>448</v>
      </c>
      <c r="K93" s="654"/>
    </row>
    <row r="94" spans="1:11" x14ac:dyDescent="0.25">
      <c r="A94" s="6" t="s">
        <v>393</v>
      </c>
      <c r="B94" s="807" t="s">
        <v>449</v>
      </c>
      <c r="C94" s="807"/>
      <c r="D94" s="807"/>
      <c r="E94" s="807"/>
      <c r="F94" s="807"/>
      <c r="G94" s="808" t="s">
        <v>109</v>
      </c>
      <c r="H94" s="810">
        <v>0</v>
      </c>
      <c r="J94" s="187" t="s">
        <v>450</v>
      </c>
      <c r="K94" s="811">
        <v>0</v>
      </c>
    </row>
    <row r="95" spans="1:11" ht="15.75" customHeight="1" x14ac:dyDescent="0.25">
      <c r="A95" s="637" t="s">
        <v>451</v>
      </c>
      <c r="B95" s="637"/>
      <c r="C95" s="637"/>
      <c r="D95" s="637"/>
      <c r="E95" s="637"/>
      <c r="F95" s="637"/>
      <c r="G95" s="637"/>
      <c r="H95" s="32">
        <f>SUM(H89:H94)</f>
        <v>0</v>
      </c>
      <c r="J95" s="187" t="s">
        <v>452</v>
      </c>
      <c r="K95" s="811">
        <v>0</v>
      </c>
    </row>
    <row r="96" spans="1:11" ht="15.75" customHeight="1" x14ac:dyDescent="0.25">
      <c r="A96" s="621" t="s">
        <v>372</v>
      </c>
      <c r="B96" s="622"/>
      <c r="C96" s="622"/>
      <c r="D96" s="622"/>
      <c r="E96" s="622"/>
      <c r="F96" s="622"/>
      <c r="G96" s="622"/>
      <c r="H96" s="622"/>
      <c r="J96" s="187" t="s">
        <v>453</v>
      </c>
      <c r="K96" s="811">
        <v>0</v>
      </c>
    </row>
    <row r="97" spans="1:11" ht="30" customHeight="1" x14ac:dyDescent="0.25">
      <c r="A97" s="625" t="s">
        <v>454</v>
      </c>
      <c r="B97" s="626"/>
      <c r="C97" s="626"/>
      <c r="D97" s="626"/>
      <c r="E97" s="626"/>
      <c r="F97" s="626"/>
      <c r="G97" s="626"/>
      <c r="H97" s="626"/>
      <c r="J97" s="187" t="s">
        <v>455</v>
      </c>
      <c r="K97" s="188">
        <f>K94*K95*K96</f>
        <v>0</v>
      </c>
    </row>
    <row r="98" spans="1:11" ht="30" customHeight="1" x14ac:dyDescent="0.25">
      <c r="A98" s="625" t="s">
        <v>456</v>
      </c>
      <c r="B98" s="626"/>
      <c r="C98" s="626"/>
      <c r="D98" s="626"/>
      <c r="E98" s="626"/>
      <c r="F98" s="626"/>
      <c r="G98" s="626"/>
      <c r="H98" s="626"/>
      <c r="J98" s="187" t="s">
        <v>457</v>
      </c>
      <c r="K98" s="188">
        <f>H35*6%</f>
        <v>0</v>
      </c>
    </row>
    <row r="99" spans="1:11" x14ac:dyDescent="0.25">
      <c r="A99" s="625" t="s">
        <v>458</v>
      </c>
      <c r="B99" s="626"/>
      <c r="C99" s="626"/>
      <c r="D99" s="626"/>
      <c r="E99" s="626"/>
      <c r="F99" s="626"/>
      <c r="G99" s="626"/>
      <c r="H99" s="626"/>
      <c r="J99" s="189" t="s">
        <v>445</v>
      </c>
      <c r="K99" s="192">
        <f>K97-K98</f>
        <v>0</v>
      </c>
    </row>
    <row r="101" spans="1:11" ht="15" customHeight="1" x14ac:dyDescent="0.25">
      <c r="A101" s="709" t="s">
        <v>459</v>
      </c>
      <c r="B101" s="710"/>
      <c r="C101" s="710"/>
      <c r="D101" s="710"/>
      <c r="E101" s="710"/>
      <c r="F101" s="710"/>
      <c r="G101" s="710"/>
      <c r="H101" s="711"/>
    </row>
    <row r="102" spans="1:11" ht="15" customHeight="1" x14ac:dyDescent="0.25">
      <c r="A102" s="38"/>
      <c r="B102" s="648" t="s">
        <v>403</v>
      </c>
      <c r="C102" s="648"/>
      <c r="D102" s="648"/>
      <c r="E102" s="648"/>
      <c r="F102" s="648"/>
      <c r="G102" s="648"/>
      <c r="H102" s="5" t="s">
        <v>460</v>
      </c>
    </row>
    <row r="103" spans="1:11" ht="15" customHeight="1" x14ac:dyDescent="0.25">
      <c r="A103" s="6" t="s">
        <v>402</v>
      </c>
      <c r="B103" s="636" t="s">
        <v>461</v>
      </c>
      <c r="C103" s="636"/>
      <c r="D103" s="636"/>
      <c r="E103" s="636"/>
      <c r="F103" s="636"/>
      <c r="G103" s="636"/>
      <c r="H103" s="11">
        <f>H56</f>
        <v>0</v>
      </c>
    </row>
    <row r="104" spans="1:11" ht="15" customHeight="1" x14ac:dyDescent="0.25">
      <c r="A104" s="6" t="s">
        <v>412</v>
      </c>
      <c r="B104" s="641" t="s">
        <v>462</v>
      </c>
      <c r="C104" s="641"/>
      <c r="D104" s="641"/>
      <c r="E104" s="641"/>
      <c r="F104" s="641"/>
      <c r="G104" s="641"/>
      <c r="H104" s="11">
        <f>H73</f>
        <v>0</v>
      </c>
    </row>
    <row r="105" spans="1:11" ht="15" customHeight="1" x14ac:dyDescent="0.25">
      <c r="A105" s="6" t="s">
        <v>437</v>
      </c>
      <c r="B105" s="636" t="s">
        <v>463</v>
      </c>
      <c r="C105" s="636"/>
      <c r="D105" s="636"/>
      <c r="E105" s="636"/>
      <c r="F105" s="636"/>
      <c r="G105" s="636"/>
      <c r="H105" s="11">
        <f>H95</f>
        <v>0</v>
      </c>
    </row>
    <row r="106" spans="1:11" ht="15" customHeight="1" x14ac:dyDescent="0.25">
      <c r="A106" s="642" t="s">
        <v>195</v>
      </c>
      <c r="B106" s="642"/>
      <c r="C106" s="642"/>
      <c r="D106" s="642"/>
      <c r="E106" s="642"/>
      <c r="F106" s="642"/>
      <c r="G106" s="642"/>
      <c r="H106" s="33">
        <f>SUM(H103:H105)</f>
        <v>0</v>
      </c>
    </row>
    <row r="107" spans="1:11" ht="15" customHeight="1" x14ac:dyDescent="0.25"/>
    <row r="108" spans="1:11" ht="15" customHeight="1" x14ac:dyDescent="0.25"/>
    <row r="109" spans="1:11" ht="15" customHeight="1" x14ac:dyDescent="0.25">
      <c r="A109" s="565" t="s">
        <v>465</v>
      </c>
      <c r="B109" s="565"/>
      <c r="C109" s="565"/>
      <c r="D109" s="565"/>
      <c r="E109" s="565"/>
      <c r="F109" s="565"/>
      <c r="G109" s="565"/>
      <c r="H109" s="565"/>
    </row>
    <row r="110" spans="1:11" ht="15" customHeight="1" x14ac:dyDescent="0.25"/>
    <row r="111" spans="1:11" x14ac:dyDescent="0.25">
      <c r="A111" s="661" t="s">
        <v>466</v>
      </c>
      <c r="B111" s="661"/>
      <c r="C111" s="661"/>
      <c r="D111" s="661"/>
      <c r="E111" s="661"/>
      <c r="F111" s="661"/>
      <c r="G111" s="661"/>
      <c r="H111" s="202">
        <f>(H41+H106)-(SUM(H65:H71))</f>
        <v>0</v>
      </c>
    </row>
    <row r="112" spans="1:11" ht="15.75" customHeight="1" x14ac:dyDescent="0.25">
      <c r="A112" s="661" t="s">
        <v>467</v>
      </c>
      <c r="B112" s="661"/>
      <c r="C112" s="661"/>
      <c r="D112" s="661"/>
      <c r="E112" s="661"/>
      <c r="F112" s="661"/>
      <c r="G112" s="661"/>
      <c r="H112" s="203">
        <f>H41+H106</f>
        <v>0</v>
      </c>
    </row>
    <row r="113" spans="1:9" x14ac:dyDescent="0.25">
      <c r="A113" s="195">
        <v>3</v>
      </c>
      <c r="B113" s="649" t="s">
        <v>403</v>
      </c>
      <c r="C113" s="649"/>
      <c r="D113" s="649"/>
      <c r="E113" s="649"/>
      <c r="F113" s="649"/>
      <c r="G113" s="200" t="s">
        <v>468</v>
      </c>
      <c r="H113" s="201" t="s">
        <v>469</v>
      </c>
    </row>
    <row r="114" spans="1:9" ht="15" customHeight="1" x14ac:dyDescent="0.25">
      <c r="A114" s="10" t="s">
        <v>382</v>
      </c>
      <c r="B114" s="632" t="s">
        <v>470</v>
      </c>
      <c r="C114" s="632"/>
      <c r="D114" s="632"/>
      <c r="E114" s="632"/>
      <c r="F114" s="632"/>
      <c r="G114" s="812">
        <v>0</v>
      </c>
      <c r="H114" s="9">
        <f>H111*G114</f>
        <v>0</v>
      </c>
      <c r="I114" s="193"/>
    </row>
    <row r="115" spans="1:9" x14ac:dyDescent="0.25">
      <c r="A115" s="6" t="s">
        <v>385</v>
      </c>
      <c r="B115" s="636" t="s">
        <v>471</v>
      </c>
      <c r="C115" s="636"/>
      <c r="D115" s="636"/>
      <c r="E115" s="636"/>
      <c r="F115" s="636"/>
      <c r="G115" s="813">
        <v>0</v>
      </c>
      <c r="H115" s="11">
        <f>H114*G115</f>
        <v>0</v>
      </c>
      <c r="I115" s="193"/>
    </row>
    <row r="116" spans="1:9" x14ac:dyDescent="0.25">
      <c r="A116" s="53" t="s">
        <v>387</v>
      </c>
      <c r="B116" s="662" t="s">
        <v>472</v>
      </c>
      <c r="C116" s="636"/>
      <c r="D116" s="636"/>
      <c r="E116" s="636"/>
      <c r="F116" s="636"/>
      <c r="G116" s="813">
        <v>0</v>
      </c>
      <c r="H116" s="11">
        <f>H114*G116</f>
        <v>0</v>
      </c>
      <c r="I116" s="193"/>
    </row>
    <row r="117" spans="1:9" x14ac:dyDescent="0.25">
      <c r="A117" s="43" t="s">
        <v>389</v>
      </c>
      <c r="B117" s="636" t="s">
        <v>473</v>
      </c>
      <c r="C117" s="636"/>
      <c r="D117" s="636"/>
      <c r="E117" s="636"/>
      <c r="F117" s="636"/>
      <c r="G117" s="813">
        <v>0</v>
      </c>
      <c r="H117" s="11">
        <f>H112*G117</f>
        <v>0</v>
      </c>
      <c r="I117" s="193"/>
    </row>
    <row r="118" spans="1:9" x14ac:dyDescent="0.25">
      <c r="A118" s="53" t="s">
        <v>391</v>
      </c>
      <c r="B118" s="636" t="s">
        <v>474</v>
      </c>
      <c r="C118" s="636"/>
      <c r="D118" s="636"/>
      <c r="E118" s="636"/>
      <c r="F118" s="636"/>
      <c r="G118" s="813">
        <f>G73</f>
        <v>0</v>
      </c>
      <c r="H118" s="11">
        <f>G118*H117</f>
        <v>0</v>
      </c>
      <c r="I118" s="193"/>
    </row>
    <row r="119" spans="1:9" x14ac:dyDescent="0.25">
      <c r="A119" s="43" t="s">
        <v>393</v>
      </c>
      <c r="B119" s="660" t="s">
        <v>475</v>
      </c>
      <c r="C119" s="641"/>
      <c r="D119" s="641"/>
      <c r="E119" s="641"/>
      <c r="F119" s="641"/>
      <c r="G119" s="813">
        <v>0</v>
      </c>
      <c r="H119" s="11">
        <f>G119*H117</f>
        <v>0</v>
      </c>
      <c r="I119" s="193"/>
    </row>
    <row r="120" spans="1:9" x14ac:dyDescent="0.25">
      <c r="A120" s="663" t="s">
        <v>195</v>
      </c>
      <c r="B120" s="664"/>
      <c r="C120" s="664"/>
      <c r="D120" s="664"/>
      <c r="E120" s="664"/>
      <c r="F120" s="665"/>
      <c r="G120" s="194">
        <f>SUM(G114:G119)</f>
        <v>0</v>
      </c>
      <c r="H120" s="33">
        <f>SUM(H114:H119)</f>
        <v>0</v>
      </c>
      <c r="I120" s="193"/>
    </row>
    <row r="121" spans="1:9" ht="15" customHeight="1" x14ac:dyDescent="0.25">
      <c r="A121" s="621" t="s">
        <v>372</v>
      </c>
      <c r="B121" s="622"/>
      <c r="C121" s="622"/>
      <c r="D121" s="622"/>
      <c r="E121" s="622"/>
      <c r="F121" s="622"/>
      <c r="G121" s="622"/>
      <c r="H121" s="622"/>
    </row>
    <row r="122" spans="1:9" ht="30" customHeight="1" x14ac:dyDescent="0.25">
      <c r="A122" s="625" t="s">
        <v>476</v>
      </c>
      <c r="B122" s="626"/>
      <c r="C122" s="626"/>
      <c r="D122" s="626"/>
      <c r="E122" s="626"/>
      <c r="F122" s="626"/>
      <c r="G122" s="626"/>
      <c r="H122" s="626"/>
    </row>
    <row r="123" spans="1:9" ht="45" customHeight="1" x14ac:dyDescent="0.25">
      <c r="A123" s="625" t="s">
        <v>477</v>
      </c>
      <c r="B123" s="626"/>
      <c r="C123" s="626"/>
      <c r="D123" s="626"/>
      <c r="E123" s="626"/>
      <c r="F123" s="626"/>
      <c r="G123" s="626"/>
      <c r="H123" s="626"/>
    </row>
    <row r="124" spans="1:9" ht="30" customHeight="1" x14ac:dyDescent="0.25">
      <c r="A124" s="625" t="s">
        <v>478</v>
      </c>
      <c r="B124" s="626"/>
      <c r="C124" s="626"/>
      <c r="D124" s="626"/>
      <c r="E124" s="626"/>
      <c r="F124" s="626"/>
      <c r="G124" s="626"/>
      <c r="H124" s="626"/>
    </row>
    <row r="125" spans="1:9" ht="14.25" customHeight="1" x14ac:dyDescent="0.25"/>
    <row r="126" spans="1:9" ht="14.25" customHeight="1" x14ac:dyDescent="0.25"/>
    <row r="127" spans="1:9" ht="15.75" x14ac:dyDescent="0.25">
      <c r="A127" s="565" t="s">
        <v>479</v>
      </c>
      <c r="B127" s="565"/>
      <c r="C127" s="565"/>
      <c r="D127" s="565"/>
      <c r="E127" s="565"/>
      <c r="F127" s="565"/>
      <c r="G127" s="565"/>
      <c r="H127" s="565"/>
    </row>
    <row r="128" spans="1:9" ht="16.5" customHeight="1" x14ac:dyDescent="0.25">
      <c r="A128" s="621" t="s">
        <v>372</v>
      </c>
      <c r="B128" s="622"/>
      <c r="C128" s="622"/>
      <c r="D128" s="622"/>
      <c r="E128" s="622"/>
      <c r="F128" s="622"/>
      <c r="G128" s="622"/>
      <c r="H128" s="622"/>
    </row>
    <row r="129" spans="1:10" ht="30" customHeight="1" x14ac:dyDescent="0.25">
      <c r="A129" s="625" t="s">
        <v>480</v>
      </c>
      <c r="B129" s="626"/>
      <c r="C129" s="626"/>
      <c r="D129" s="626"/>
      <c r="E129" s="626"/>
      <c r="F129" s="626"/>
      <c r="G129" s="626"/>
      <c r="H129" s="626"/>
    </row>
    <row r="130" spans="1:10" ht="15.75" x14ac:dyDescent="0.25">
      <c r="A130" s="19"/>
      <c r="B130" s="19"/>
      <c r="C130" s="19"/>
      <c r="D130" s="19"/>
      <c r="E130" s="19"/>
      <c r="F130" s="19"/>
      <c r="G130" s="19"/>
      <c r="H130" s="19"/>
    </row>
    <row r="131" spans="1:10" ht="15.75" x14ac:dyDescent="0.25">
      <c r="A131" s="708" t="s">
        <v>481</v>
      </c>
      <c r="B131" s="708"/>
      <c r="C131" s="708"/>
      <c r="D131" s="708"/>
      <c r="E131" s="708"/>
      <c r="F131" s="708"/>
      <c r="G131" s="708"/>
      <c r="H131" s="708"/>
    </row>
    <row r="132" spans="1:10" x14ac:dyDescent="0.25">
      <c r="A132" s="182"/>
      <c r="B132" s="182"/>
      <c r="C132" s="182"/>
      <c r="D132" s="182"/>
      <c r="E132" s="182"/>
      <c r="F132" s="182"/>
      <c r="G132" s="182"/>
      <c r="H132" s="182"/>
    </row>
    <row r="133" spans="1:10" ht="16.5" customHeight="1" x14ac:dyDescent="0.25">
      <c r="A133" s="658" t="s">
        <v>482</v>
      </c>
      <c r="B133" s="658"/>
      <c r="C133" s="658"/>
      <c r="D133" s="658"/>
      <c r="E133" s="658"/>
      <c r="F133" s="658"/>
      <c r="G133" s="658"/>
      <c r="H133" s="205">
        <f>H41+H106+H120</f>
        <v>0</v>
      </c>
    </row>
    <row r="134" spans="1:10" x14ac:dyDescent="0.25">
      <c r="A134" s="195" t="s">
        <v>483</v>
      </c>
      <c r="B134" s="649" t="s">
        <v>403</v>
      </c>
      <c r="C134" s="649"/>
      <c r="D134" s="649"/>
      <c r="E134" s="649"/>
      <c r="F134" s="649"/>
      <c r="G134" s="200" t="s">
        <v>468</v>
      </c>
      <c r="H134" s="201" t="s">
        <v>469</v>
      </c>
      <c r="I134" s="4"/>
    </row>
    <row r="135" spans="1:10" ht="15" customHeight="1" x14ac:dyDescent="0.25">
      <c r="A135" s="10" t="s">
        <v>382</v>
      </c>
      <c r="B135" s="650" t="s">
        <v>484</v>
      </c>
      <c r="C135" s="650"/>
      <c r="D135" s="650"/>
      <c r="E135" s="650"/>
      <c r="F135" s="650"/>
      <c r="G135" s="814">
        <v>0</v>
      </c>
      <c r="H135" s="28">
        <f>$H$133*G135</f>
        <v>0</v>
      </c>
      <c r="I135" s="4"/>
    </row>
    <row r="136" spans="1:10" x14ac:dyDescent="0.25">
      <c r="A136" s="10" t="s">
        <v>385</v>
      </c>
      <c r="B136" s="650" t="s">
        <v>485</v>
      </c>
      <c r="C136" s="650"/>
      <c r="D136" s="650"/>
      <c r="E136" s="650"/>
      <c r="F136" s="650"/>
      <c r="G136" s="814">
        <v>0</v>
      </c>
      <c r="H136" s="28">
        <f t="shared" ref="H136:H141" si="1">$H$133*G136</f>
        <v>0</v>
      </c>
      <c r="I136" s="4"/>
      <c r="J136" s="210"/>
    </row>
    <row r="137" spans="1:10" ht="15" customHeight="1" x14ac:dyDescent="0.25">
      <c r="A137" s="10" t="s">
        <v>387</v>
      </c>
      <c r="B137" s="651" t="s">
        <v>486</v>
      </c>
      <c r="C137" s="652"/>
      <c r="D137" s="652"/>
      <c r="E137" s="652"/>
      <c r="F137" s="653"/>
      <c r="G137" s="814">
        <v>0</v>
      </c>
      <c r="H137" s="28">
        <f t="shared" si="1"/>
        <v>0</v>
      </c>
      <c r="I137" s="4"/>
    </row>
    <row r="138" spans="1:10" ht="14.25" customHeight="1" x14ac:dyDescent="0.25">
      <c r="A138" s="10" t="s">
        <v>389</v>
      </c>
      <c r="B138" s="650" t="s">
        <v>487</v>
      </c>
      <c r="C138" s="650"/>
      <c r="D138" s="650"/>
      <c r="E138" s="650"/>
      <c r="F138" s="650"/>
      <c r="G138" s="814">
        <v>0</v>
      </c>
      <c r="H138" s="28">
        <f t="shared" si="1"/>
        <v>0</v>
      </c>
      <c r="I138" s="4"/>
    </row>
    <row r="139" spans="1:10" x14ac:dyDescent="0.25">
      <c r="A139" s="10" t="s">
        <v>391</v>
      </c>
      <c r="B139" s="651" t="s">
        <v>488</v>
      </c>
      <c r="C139" s="652"/>
      <c r="D139" s="652"/>
      <c r="E139" s="652"/>
      <c r="F139" s="653"/>
      <c r="G139" s="814">
        <v>0</v>
      </c>
      <c r="H139" s="28">
        <f t="shared" si="1"/>
        <v>0</v>
      </c>
      <c r="I139" s="45"/>
      <c r="J139" s="209"/>
    </row>
    <row r="140" spans="1:10" ht="15.75" customHeight="1" x14ac:dyDescent="0.25">
      <c r="A140" s="6" t="s">
        <v>393</v>
      </c>
      <c r="B140" s="655" t="s">
        <v>489</v>
      </c>
      <c r="C140" s="656"/>
      <c r="D140" s="656"/>
      <c r="E140" s="656"/>
      <c r="F140" s="657"/>
      <c r="G140" s="814">
        <v>0</v>
      </c>
      <c r="H140" s="28">
        <f t="shared" si="1"/>
        <v>0</v>
      </c>
      <c r="I140" s="4"/>
    </row>
    <row r="141" spans="1:10" x14ac:dyDescent="0.25">
      <c r="A141" s="6" t="s">
        <v>419</v>
      </c>
      <c r="B141" s="816" t="s">
        <v>490</v>
      </c>
      <c r="C141" s="816"/>
      <c r="D141" s="816"/>
      <c r="E141" s="816"/>
      <c r="F141" s="816"/>
      <c r="G141" s="815"/>
      <c r="H141" s="11">
        <f t="shared" si="1"/>
        <v>0</v>
      </c>
      <c r="I141" s="4"/>
    </row>
    <row r="142" spans="1:10" x14ac:dyDescent="0.25">
      <c r="A142" s="659" t="s">
        <v>195</v>
      </c>
      <c r="B142" s="659" t="s">
        <v>424</v>
      </c>
      <c r="C142" s="659"/>
      <c r="D142" s="659"/>
      <c r="E142" s="659"/>
      <c r="F142" s="659"/>
      <c r="G142" s="20"/>
      <c r="H142" s="32">
        <f>H135+H136+H137+H138+H139+H140+H141</f>
        <v>0</v>
      </c>
      <c r="I142" s="4"/>
    </row>
    <row r="143" spans="1:10" ht="15.75" customHeight="1" x14ac:dyDescent="0.25">
      <c r="A143" s="621" t="s">
        <v>372</v>
      </c>
      <c r="B143" s="622"/>
      <c r="C143" s="622"/>
      <c r="D143" s="622"/>
      <c r="E143" s="622"/>
      <c r="F143" s="622"/>
      <c r="G143" s="622"/>
      <c r="H143" s="622"/>
    </row>
    <row r="144" spans="1:10" x14ac:dyDescent="0.25">
      <c r="A144" s="625" t="s">
        <v>492</v>
      </c>
      <c r="B144" s="626"/>
      <c r="C144" s="626"/>
      <c r="D144" s="626"/>
      <c r="E144" s="626"/>
      <c r="F144" s="626"/>
      <c r="G144" s="626"/>
      <c r="H144" s="626"/>
    </row>
    <row r="145" spans="1:11" ht="86.25" customHeight="1" x14ac:dyDescent="0.25">
      <c r="A145" s="625" t="s">
        <v>493</v>
      </c>
      <c r="B145" s="626"/>
      <c r="C145" s="626"/>
      <c r="D145" s="626"/>
      <c r="E145" s="626"/>
      <c r="F145" s="626"/>
      <c r="G145" s="626"/>
      <c r="H145" s="626"/>
      <c r="J145" s="208"/>
      <c r="K145" s="209"/>
    </row>
    <row r="146" spans="1:11" ht="37.5" customHeight="1" x14ac:dyDescent="0.25">
      <c r="A146" s="625" t="s">
        <v>494</v>
      </c>
      <c r="B146" s="626"/>
      <c r="C146" s="626"/>
      <c r="D146" s="626"/>
      <c r="E146" s="626"/>
      <c r="F146" s="626"/>
      <c r="G146" s="626"/>
      <c r="H146" s="626"/>
    </row>
    <row r="147" spans="1:11" ht="37.5" customHeight="1" x14ac:dyDescent="0.25">
      <c r="A147" s="625" t="s">
        <v>495</v>
      </c>
      <c r="B147" s="626"/>
      <c r="C147" s="626"/>
      <c r="D147" s="626"/>
      <c r="E147" s="626"/>
      <c r="F147" s="626"/>
      <c r="G147" s="626"/>
      <c r="H147" s="626"/>
    </row>
    <row r="148" spans="1:11" ht="37.5" customHeight="1" x14ac:dyDescent="0.25">
      <c r="A148" s="625" t="s">
        <v>496</v>
      </c>
      <c r="B148" s="626"/>
      <c r="C148" s="626"/>
      <c r="D148" s="626"/>
      <c r="E148" s="626"/>
      <c r="F148" s="626"/>
      <c r="G148" s="626"/>
      <c r="H148" s="626"/>
    </row>
    <row r="150" spans="1:11" x14ac:dyDescent="0.25">
      <c r="A150" s="644" t="s">
        <v>497</v>
      </c>
      <c r="B150" s="644"/>
      <c r="C150" s="644"/>
      <c r="D150" s="644"/>
      <c r="E150" s="644"/>
      <c r="F150" s="644"/>
      <c r="G150" s="644"/>
      <c r="H150" s="644"/>
    </row>
    <row r="151" spans="1:11" ht="15" customHeight="1" x14ac:dyDescent="0.25">
      <c r="A151" s="38" t="s">
        <v>498</v>
      </c>
      <c r="B151" s="600" t="s">
        <v>403</v>
      </c>
      <c r="C151" s="601"/>
      <c r="D151" s="601"/>
      <c r="E151" s="601"/>
      <c r="F151" s="601"/>
      <c r="G151" s="602"/>
      <c r="H151" s="18" t="s">
        <v>469</v>
      </c>
    </row>
    <row r="152" spans="1:11" ht="15" customHeight="1" x14ac:dyDescent="0.25">
      <c r="A152" s="10" t="s">
        <v>382</v>
      </c>
      <c r="B152" s="707" t="s">
        <v>547</v>
      </c>
      <c r="C152" s="604"/>
      <c r="D152" s="604"/>
      <c r="E152" s="604"/>
      <c r="F152" s="604"/>
      <c r="G152" s="605"/>
      <c r="H152" s="11">
        <f>G152*H41</f>
        <v>0</v>
      </c>
      <c r="J152" s="15"/>
      <c r="K152" s="15"/>
    </row>
    <row r="153" spans="1:11" x14ac:dyDescent="0.25">
      <c r="A153" s="615" t="s">
        <v>195</v>
      </c>
      <c r="B153" s="616"/>
      <c r="C153" s="616"/>
      <c r="D153" s="616"/>
      <c r="E153" s="616"/>
      <c r="F153" s="616"/>
      <c r="G153" s="617"/>
      <c r="H153" s="32">
        <f>SUM(H152)</f>
        <v>0</v>
      </c>
      <c r="J153" s="15"/>
    </row>
    <row r="154" spans="1:11" x14ac:dyDescent="0.25">
      <c r="J154" s="15"/>
    </row>
    <row r="155" spans="1:11" x14ac:dyDescent="0.25">
      <c r="J155" s="15"/>
    </row>
    <row r="156" spans="1:11" ht="18" customHeight="1" x14ac:dyDescent="0.25">
      <c r="A156" s="703" t="s">
        <v>501</v>
      </c>
      <c r="B156" s="704"/>
      <c r="C156" s="704"/>
      <c r="D156" s="704"/>
      <c r="E156" s="704"/>
      <c r="F156" s="704"/>
      <c r="G156" s="704"/>
      <c r="H156" s="705"/>
      <c r="J156" s="15"/>
    </row>
    <row r="157" spans="1:11" ht="15.95" customHeight="1" x14ac:dyDescent="0.25">
      <c r="A157" s="38"/>
      <c r="B157" s="648" t="s">
        <v>403</v>
      </c>
      <c r="C157" s="648"/>
      <c r="D157" s="648"/>
      <c r="E157" s="648"/>
      <c r="F157" s="648"/>
      <c r="G157" s="648"/>
      <c r="H157" s="5" t="s">
        <v>460</v>
      </c>
    </row>
    <row r="158" spans="1:11" x14ac:dyDescent="0.25">
      <c r="A158" s="6" t="s">
        <v>483</v>
      </c>
      <c r="B158" s="662" t="s">
        <v>548</v>
      </c>
      <c r="C158" s="636"/>
      <c r="D158" s="636"/>
      <c r="E158" s="636"/>
      <c r="F158" s="636"/>
      <c r="G158" s="636"/>
      <c r="H158" s="11">
        <f>H142</f>
        <v>0</v>
      </c>
    </row>
    <row r="159" spans="1:11" x14ac:dyDescent="0.25">
      <c r="A159" s="6" t="s">
        <v>498</v>
      </c>
      <c r="B159" s="706" t="s">
        <v>549</v>
      </c>
      <c r="C159" s="641"/>
      <c r="D159" s="641"/>
      <c r="E159" s="641"/>
      <c r="F159" s="641"/>
      <c r="G159" s="641"/>
      <c r="H159" s="11">
        <f>H153</f>
        <v>0</v>
      </c>
    </row>
    <row r="160" spans="1:11" x14ac:dyDescent="0.25">
      <c r="A160" s="642" t="s">
        <v>195</v>
      </c>
      <c r="B160" s="642"/>
      <c r="C160" s="642"/>
      <c r="D160" s="642"/>
      <c r="E160" s="642"/>
      <c r="F160" s="642"/>
      <c r="G160" s="642"/>
      <c r="H160" s="33">
        <f>SUM(H158:H159)</f>
        <v>0</v>
      </c>
    </row>
    <row r="161" spans="1:10" ht="15.75" customHeight="1" x14ac:dyDescent="0.25"/>
    <row r="162" spans="1:10" ht="15.75" customHeight="1" x14ac:dyDescent="0.25"/>
    <row r="163" spans="1:10" ht="15.75" customHeight="1" x14ac:dyDescent="0.25">
      <c r="A163" s="565" t="s">
        <v>504</v>
      </c>
      <c r="B163" s="565"/>
      <c r="C163" s="565"/>
      <c r="D163" s="565"/>
      <c r="E163" s="565"/>
      <c r="F163" s="565"/>
      <c r="G163" s="565"/>
      <c r="H163" s="565"/>
    </row>
    <row r="164" spans="1:10" ht="15" customHeight="1" x14ac:dyDescent="0.25"/>
    <row r="165" spans="1:10" ht="15" customHeight="1" x14ac:dyDescent="0.25">
      <c r="A165" s="38">
        <v>5</v>
      </c>
      <c r="B165" s="600" t="s">
        <v>403</v>
      </c>
      <c r="C165" s="601"/>
      <c r="D165" s="601"/>
      <c r="E165" s="601"/>
      <c r="F165" s="601"/>
      <c r="G165" s="602"/>
      <c r="H165" s="18" t="s">
        <v>460</v>
      </c>
    </row>
    <row r="166" spans="1:10" ht="15" customHeight="1" x14ac:dyDescent="0.25">
      <c r="A166" s="10" t="s">
        <v>382</v>
      </c>
      <c r="B166" s="606" t="s">
        <v>505</v>
      </c>
      <c r="C166" s="607"/>
      <c r="D166" s="607"/>
      <c r="E166" s="607"/>
      <c r="F166" s="607"/>
      <c r="G166" s="608"/>
      <c r="H166" s="9">
        <f>Uniforme!O29</f>
        <v>0</v>
      </c>
    </row>
    <row r="167" spans="1:10" ht="15" customHeight="1" x14ac:dyDescent="0.25">
      <c r="A167" s="6" t="s">
        <v>385</v>
      </c>
      <c r="B167" s="609" t="s">
        <v>506</v>
      </c>
      <c r="C167" s="610"/>
      <c r="D167" s="610"/>
      <c r="E167" s="610"/>
      <c r="F167" s="610"/>
      <c r="G167" s="611"/>
      <c r="H167" s="21">
        <v>0</v>
      </c>
      <c r="J167" s="15"/>
    </row>
    <row r="168" spans="1:10" ht="15" customHeight="1" x14ac:dyDescent="0.25">
      <c r="A168" s="6" t="s">
        <v>387</v>
      </c>
      <c r="B168" s="609" t="s">
        <v>507</v>
      </c>
      <c r="C168" s="610"/>
      <c r="D168" s="610"/>
      <c r="E168" s="610"/>
      <c r="F168" s="610"/>
      <c r="G168" s="611"/>
      <c r="H168" s="21">
        <v>0</v>
      </c>
      <c r="J168" s="15"/>
    </row>
    <row r="169" spans="1:10" ht="15" customHeight="1" x14ac:dyDescent="0.25">
      <c r="A169" s="43" t="s">
        <v>389</v>
      </c>
      <c r="B169" s="612" t="s">
        <v>508</v>
      </c>
      <c r="C169" s="613"/>
      <c r="D169" s="613"/>
      <c r="E169" s="613"/>
      <c r="F169" s="613"/>
      <c r="G169" s="614"/>
      <c r="H169" s="21">
        <f>'EPI''s e EPC''s'!O37</f>
        <v>0</v>
      </c>
    </row>
    <row r="170" spans="1:10" ht="15" customHeight="1" x14ac:dyDescent="0.25">
      <c r="A170" s="43" t="s">
        <v>391</v>
      </c>
      <c r="B170" s="817" t="s">
        <v>509</v>
      </c>
      <c r="C170" s="818"/>
      <c r="D170" s="818"/>
      <c r="E170" s="818"/>
      <c r="F170" s="818"/>
      <c r="G170" s="819"/>
      <c r="H170" s="810">
        <v>0</v>
      </c>
      <c r="I170" s="23"/>
    </row>
    <row r="171" spans="1:10" ht="15" customHeight="1" x14ac:dyDescent="0.25">
      <c r="A171" s="642" t="s">
        <v>195</v>
      </c>
      <c r="B171" s="642"/>
      <c r="C171" s="642"/>
      <c r="D171" s="642"/>
      <c r="E171" s="642"/>
      <c r="F171" s="642"/>
      <c r="G171" s="642"/>
      <c r="H171" s="33">
        <f>SUM(H166:H170)</f>
        <v>0</v>
      </c>
    </row>
    <row r="172" spans="1:10" ht="15" customHeight="1" x14ac:dyDescent="0.25">
      <c r="A172" s="621" t="s">
        <v>372</v>
      </c>
      <c r="B172" s="622"/>
      <c r="C172" s="622"/>
      <c r="D172" s="622"/>
      <c r="E172" s="622"/>
      <c r="F172" s="622"/>
      <c r="G172" s="622"/>
      <c r="H172" s="622"/>
    </row>
    <row r="173" spans="1:10" ht="30" customHeight="1" x14ac:dyDescent="0.25">
      <c r="A173" s="625" t="s">
        <v>511</v>
      </c>
      <c r="B173" s="626"/>
      <c r="C173" s="626"/>
      <c r="D173" s="626"/>
      <c r="E173" s="626"/>
      <c r="F173" s="626"/>
      <c r="G173" s="626"/>
      <c r="H173" s="626"/>
    </row>
    <row r="174" spans="1:10" x14ac:dyDescent="0.25">
      <c r="A174" s="625" t="s">
        <v>512</v>
      </c>
      <c r="B174" s="626"/>
      <c r="C174" s="626"/>
      <c r="D174" s="626"/>
      <c r="E174" s="626"/>
      <c r="F174" s="626"/>
      <c r="G174" s="626"/>
      <c r="H174" s="626"/>
    </row>
    <row r="175" spans="1:10" ht="30" customHeight="1" x14ac:dyDescent="0.25">
      <c r="A175" s="625" t="s">
        <v>513</v>
      </c>
      <c r="B175" s="626"/>
      <c r="C175" s="626"/>
      <c r="D175" s="626"/>
      <c r="E175" s="626"/>
      <c r="F175" s="626"/>
      <c r="G175" s="626"/>
      <c r="H175" s="626"/>
    </row>
    <row r="176" spans="1:10" ht="15" customHeight="1" x14ac:dyDescent="0.25">
      <c r="A176" s="35"/>
      <c r="B176" s="35"/>
      <c r="C176" s="35"/>
      <c r="D176" s="35"/>
      <c r="E176" s="35"/>
      <c r="F176" s="35"/>
      <c r="G176" s="35"/>
      <c r="H176" s="22"/>
    </row>
    <row r="177" spans="1:11" ht="15" customHeight="1" x14ac:dyDescent="0.25">
      <c r="A177" s="35"/>
      <c r="B177" s="35"/>
      <c r="C177" s="35"/>
      <c r="D177" s="35"/>
      <c r="E177" s="35"/>
      <c r="F177" s="35"/>
      <c r="G177" s="35"/>
      <c r="H177" s="22"/>
      <c r="J177" s="24"/>
      <c r="K177" s="24"/>
    </row>
    <row r="178" spans="1:11" ht="15.75" customHeight="1" x14ac:dyDescent="0.25">
      <c r="A178" s="565" t="s">
        <v>514</v>
      </c>
      <c r="B178" s="565"/>
      <c r="C178" s="565"/>
      <c r="D178" s="565"/>
      <c r="E178" s="565"/>
      <c r="F178" s="565"/>
      <c r="G178" s="565"/>
      <c r="H178" s="565"/>
      <c r="I178" s="24"/>
      <c r="J178" s="24"/>
      <c r="K178" s="24"/>
    </row>
    <row r="179" spans="1:11" ht="15.75" customHeight="1" x14ac:dyDescent="0.25">
      <c r="A179" s="179"/>
      <c r="B179" s="179"/>
      <c r="C179" s="179"/>
      <c r="D179" s="179"/>
      <c r="E179" s="179"/>
      <c r="F179" s="179"/>
      <c r="G179" s="179"/>
      <c r="H179" s="179"/>
      <c r="I179" s="24"/>
      <c r="J179" s="24"/>
      <c r="K179" s="24"/>
    </row>
    <row r="180" spans="1:11" ht="15.75" customHeight="1" x14ac:dyDescent="0.25">
      <c r="A180" s="631" t="s">
        <v>515</v>
      </c>
      <c r="B180" s="631"/>
      <c r="C180" s="631"/>
      <c r="D180" s="631"/>
      <c r="E180" s="631"/>
      <c r="F180" s="631"/>
      <c r="G180" s="631"/>
      <c r="H180" s="213">
        <f>SUM(H41,H106,H120,H160,H171)</f>
        <v>0</v>
      </c>
      <c r="I180" s="24"/>
    </row>
    <row r="181" spans="1:11" ht="15.75" customHeight="1" x14ac:dyDescent="0.25">
      <c r="A181" s="631" t="s">
        <v>516</v>
      </c>
      <c r="B181" s="631"/>
      <c r="C181" s="631"/>
      <c r="D181" s="631"/>
      <c r="E181" s="631"/>
      <c r="F181" s="631"/>
      <c r="G181" s="631"/>
      <c r="H181" s="213">
        <f>H180+H184</f>
        <v>0</v>
      </c>
      <c r="I181" s="24"/>
    </row>
    <row r="182" spans="1:11" x14ac:dyDescent="0.25">
      <c r="A182" s="631" t="s">
        <v>517</v>
      </c>
      <c r="B182" s="631"/>
      <c r="C182" s="631"/>
      <c r="D182" s="631"/>
      <c r="E182" s="631"/>
      <c r="F182" s="631"/>
      <c r="G182" s="631"/>
      <c r="H182" s="214">
        <f>(H181+H185)/(1-G186)</f>
        <v>0</v>
      </c>
      <c r="I182" s="24"/>
    </row>
    <row r="183" spans="1:11" ht="15.75" customHeight="1" x14ac:dyDescent="0.25">
      <c r="A183" s="633" t="s">
        <v>403</v>
      </c>
      <c r="B183" s="633"/>
      <c r="C183" s="633"/>
      <c r="D183" s="633"/>
      <c r="E183" s="633"/>
      <c r="F183" s="633"/>
      <c r="G183" s="25" t="s">
        <v>468</v>
      </c>
      <c r="H183" s="211" t="s">
        <v>469</v>
      </c>
      <c r="I183" s="24"/>
      <c r="J183" s="29"/>
    </row>
    <row r="184" spans="1:11" ht="15.75" customHeight="1" x14ac:dyDescent="0.25">
      <c r="A184" s="40" t="s">
        <v>382</v>
      </c>
      <c r="B184" s="632" t="s">
        <v>518</v>
      </c>
      <c r="C184" s="632"/>
      <c r="D184" s="632"/>
      <c r="E184" s="632"/>
      <c r="F184" s="632"/>
      <c r="G184" s="820">
        <v>0</v>
      </c>
      <c r="H184" s="221">
        <f>H180*G184</f>
        <v>0</v>
      </c>
      <c r="I184" s="24"/>
    </row>
    <row r="185" spans="1:11" x14ac:dyDescent="0.25">
      <c r="A185" s="40" t="s">
        <v>385</v>
      </c>
      <c r="B185" s="632" t="s">
        <v>519</v>
      </c>
      <c r="C185" s="632"/>
      <c r="D185" s="632"/>
      <c r="E185" s="632"/>
      <c r="F185" s="632"/>
      <c r="G185" s="820">
        <v>0</v>
      </c>
      <c r="H185" s="221">
        <f>H181*G185</f>
        <v>0</v>
      </c>
      <c r="I185" s="24"/>
    </row>
    <row r="186" spans="1:11" x14ac:dyDescent="0.25">
      <c r="A186" s="27" t="s">
        <v>387</v>
      </c>
      <c r="B186" s="634" t="s">
        <v>520</v>
      </c>
      <c r="C186" s="634"/>
      <c r="D186" s="634"/>
      <c r="E186" s="634"/>
      <c r="F186" s="634"/>
      <c r="G186" s="821">
        <f>SUM(G187:G192)</f>
        <v>0</v>
      </c>
      <c r="H186" s="26"/>
      <c r="I186" s="15"/>
    </row>
    <row r="187" spans="1:11" x14ac:dyDescent="0.25">
      <c r="A187" s="684" t="s">
        <v>521</v>
      </c>
      <c r="B187" s="634" t="s">
        <v>522</v>
      </c>
      <c r="C187" s="634"/>
      <c r="D187" s="634"/>
      <c r="E187" s="634"/>
      <c r="F187" s="634"/>
      <c r="G187" s="821"/>
      <c r="H187" s="28"/>
    </row>
    <row r="188" spans="1:11" x14ac:dyDescent="0.25">
      <c r="A188" s="684"/>
      <c r="B188" s="39"/>
      <c r="C188" s="655" t="s">
        <v>523</v>
      </c>
      <c r="D188" s="656"/>
      <c r="E188" s="656"/>
      <c r="F188" s="657"/>
      <c r="G188" s="821">
        <v>0</v>
      </c>
      <c r="H188" s="26">
        <f>$H$182*G188</f>
        <v>0</v>
      </c>
      <c r="I188" s="15"/>
    </row>
    <row r="189" spans="1:11" x14ac:dyDescent="0.25">
      <c r="A189" s="684"/>
      <c r="B189" s="39"/>
      <c r="C189" s="655" t="s">
        <v>524</v>
      </c>
      <c r="D189" s="656"/>
      <c r="E189" s="656"/>
      <c r="F189" s="657"/>
      <c r="G189" s="821">
        <v>0</v>
      </c>
      <c r="H189" s="26">
        <f t="shared" ref="H189:H192" si="2">$H$182*G189</f>
        <v>0</v>
      </c>
      <c r="I189" s="15"/>
    </row>
    <row r="190" spans="1:11" x14ac:dyDescent="0.25">
      <c r="A190" s="684"/>
      <c r="B190" s="807" t="s">
        <v>525</v>
      </c>
      <c r="C190" s="807"/>
      <c r="D190" s="807"/>
      <c r="E190" s="807"/>
      <c r="F190" s="807"/>
      <c r="G190" s="821">
        <v>0</v>
      </c>
      <c r="H190" s="26">
        <f t="shared" si="2"/>
        <v>0</v>
      </c>
      <c r="I190" s="15"/>
    </row>
    <row r="191" spans="1:11" x14ac:dyDescent="0.25">
      <c r="A191" s="684"/>
      <c r="B191" s="650" t="s">
        <v>526</v>
      </c>
      <c r="C191" s="650"/>
      <c r="D191" s="650"/>
      <c r="E191" s="650"/>
      <c r="F191" s="650"/>
      <c r="G191" s="821">
        <v>0</v>
      </c>
      <c r="H191" s="26">
        <f t="shared" si="2"/>
        <v>0</v>
      </c>
      <c r="I191" s="15"/>
    </row>
    <row r="192" spans="1:11" x14ac:dyDescent="0.25">
      <c r="A192" s="684"/>
      <c r="B192" s="807" t="s">
        <v>527</v>
      </c>
      <c r="C192" s="807"/>
      <c r="D192" s="807"/>
      <c r="E192" s="807"/>
      <c r="F192" s="807"/>
      <c r="G192" s="821">
        <v>0</v>
      </c>
      <c r="H192" s="26">
        <f t="shared" si="2"/>
        <v>0</v>
      </c>
      <c r="I192" s="15"/>
    </row>
    <row r="193" spans="1:8" x14ac:dyDescent="0.25">
      <c r="A193" s="642" t="s">
        <v>195</v>
      </c>
      <c r="B193" s="642"/>
      <c r="C193" s="642"/>
      <c r="D193" s="642"/>
      <c r="E193" s="642"/>
      <c r="F193" s="642"/>
      <c r="G193" s="642"/>
      <c r="H193" s="33">
        <f>SUM(H184:H192)</f>
        <v>0</v>
      </c>
    </row>
    <row r="194" spans="1:8" ht="15.75" customHeight="1" x14ac:dyDescent="0.25">
      <c r="A194" s="621" t="s">
        <v>372</v>
      </c>
      <c r="B194" s="622"/>
      <c r="C194" s="622"/>
      <c r="D194" s="622"/>
      <c r="E194" s="622"/>
      <c r="F194" s="622"/>
      <c r="G194" s="622"/>
      <c r="H194" s="622"/>
    </row>
    <row r="195" spans="1:8" ht="48.75" customHeight="1" x14ac:dyDescent="0.25">
      <c r="A195" s="623" t="s">
        <v>529</v>
      </c>
      <c r="B195" s="624"/>
      <c r="C195" s="624"/>
      <c r="D195" s="624"/>
      <c r="E195" s="624"/>
      <c r="F195" s="624"/>
      <c r="G195" s="624"/>
      <c r="H195" s="624"/>
    </row>
    <row r="196" spans="1:8" x14ac:dyDescent="0.25">
      <c r="A196" s="625" t="s">
        <v>530</v>
      </c>
      <c r="B196" s="626"/>
      <c r="C196" s="626"/>
      <c r="D196" s="626"/>
      <c r="E196" s="626"/>
      <c r="F196" s="626"/>
      <c r="G196" s="626"/>
      <c r="H196" s="626"/>
    </row>
    <row r="197" spans="1:8" x14ac:dyDescent="0.25">
      <c r="A197" s="625"/>
      <c r="B197" s="626"/>
      <c r="C197" s="626"/>
      <c r="D197" s="626"/>
      <c r="E197" s="626"/>
      <c r="F197" s="626"/>
      <c r="G197" s="626"/>
      <c r="H197" s="626"/>
    </row>
    <row r="198" spans="1:8" x14ac:dyDescent="0.25">
      <c r="A198" s="627"/>
      <c r="B198" s="628"/>
      <c r="C198" s="628"/>
      <c r="D198" s="628"/>
      <c r="E198" s="628"/>
      <c r="F198" s="628"/>
      <c r="G198" s="628"/>
      <c r="H198" s="628"/>
    </row>
    <row r="199" spans="1:8" ht="15.75" x14ac:dyDescent="0.25">
      <c r="A199" s="697" t="s">
        <v>531</v>
      </c>
      <c r="B199" s="698"/>
      <c r="C199" s="698"/>
      <c r="D199" s="698"/>
      <c r="E199" s="698"/>
      <c r="F199" s="698"/>
      <c r="G199" s="698"/>
      <c r="H199" s="698"/>
    </row>
    <row r="200" spans="1:8" x14ac:dyDescent="0.25">
      <c r="A200" s="206"/>
      <c r="B200" s="207"/>
      <c r="C200" s="207"/>
      <c r="D200" s="207"/>
      <c r="E200" s="207"/>
      <c r="F200" s="207"/>
      <c r="G200" s="207"/>
      <c r="H200" s="207"/>
    </row>
    <row r="201" spans="1:8" ht="15" customHeight="1" x14ac:dyDescent="0.25">
      <c r="A201" s="215"/>
      <c r="B201" s="699" t="s">
        <v>532</v>
      </c>
      <c r="C201" s="699"/>
      <c r="D201" s="699"/>
      <c r="E201" s="699"/>
      <c r="F201" s="699"/>
      <c r="G201" s="699"/>
      <c r="H201" s="216" t="s">
        <v>381</v>
      </c>
    </row>
    <row r="202" spans="1:8" ht="15.75" customHeight="1" x14ac:dyDescent="0.25">
      <c r="A202" s="212" t="s">
        <v>382</v>
      </c>
      <c r="B202" s="696" t="s">
        <v>533</v>
      </c>
      <c r="C202" s="696"/>
      <c r="D202" s="696"/>
      <c r="E202" s="696"/>
      <c r="F202" s="696"/>
      <c r="G202" s="696"/>
      <c r="H202" s="217">
        <f>H41</f>
        <v>0</v>
      </c>
    </row>
    <row r="203" spans="1:8" ht="15.75" customHeight="1" x14ac:dyDescent="0.25">
      <c r="A203" s="212" t="s">
        <v>385</v>
      </c>
      <c r="B203" s="700" t="s">
        <v>534</v>
      </c>
      <c r="C203" s="701"/>
      <c r="D203" s="701"/>
      <c r="E203" s="701"/>
      <c r="F203" s="701"/>
      <c r="G203" s="702"/>
      <c r="H203" s="217">
        <f>H106</f>
        <v>0</v>
      </c>
    </row>
    <row r="204" spans="1:8" ht="15.75" customHeight="1" x14ac:dyDescent="0.25">
      <c r="A204" s="212" t="s">
        <v>387</v>
      </c>
      <c r="B204" s="700" t="s">
        <v>535</v>
      </c>
      <c r="C204" s="701"/>
      <c r="D204" s="701"/>
      <c r="E204" s="701"/>
      <c r="F204" s="701"/>
      <c r="G204" s="702"/>
      <c r="H204" s="217">
        <f>H120</f>
        <v>0</v>
      </c>
    </row>
    <row r="205" spans="1:8" ht="15.75" customHeight="1" x14ac:dyDescent="0.25">
      <c r="A205" s="212" t="s">
        <v>389</v>
      </c>
      <c r="B205" s="696" t="s">
        <v>536</v>
      </c>
      <c r="C205" s="696"/>
      <c r="D205" s="696"/>
      <c r="E205" s="696"/>
      <c r="F205" s="696"/>
      <c r="G205" s="696"/>
      <c r="H205" s="217">
        <f>H142</f>
        <v>0</v>
      </c>
    </row>
    <row r="206" spans="1:8" ht="15.75" customHeight="1" x14ac:dyDescent="0.25">
      <c r="A206" s="212" t="s">
        <v>391</v>
      </c>
      <c r="B206" s="696" t="s">
        <v>537</v>
      </c>
      <c r="C206" s="696"/>
      <c r="D206" s="696"/>
      <c r="E206" s="696"/>
      <c r="F206" s="696"/>
      <c r="G206" s="696"/>
      <c r="H206" s="217">
        <f>H171</f>
        <v>0</v>
      </c>
    </row>
    <row r="207" spans="1:8" ht="15.75" customHeight="1" x14ac:dyDescent="0.25">
      <c r="A207" s="695" t="s">
        <v>538</v>
      </c>
      <c r="B207" s="695"/>
      <c r="C207" s="695"/>
      <c r="D207" s="695"/>
      <c r="E207" s="695"/>
      <c r="F207" s="695"/>
      <c r="G207" s="695"/>
      <c r="H207" s="218">
        <f>SUM(H202:H206)</f>
        <v>0</v>
      </c>
    </row>
    <row r="208" spans="1:8" ht="15.75" customHeight="1" x14ac:dyDescent="0.25">
      <c r="A208" s="212" t="s">
        <v>393</v>
      </c>
      <c r="B208" s="696" t="s">
        <v>539</v>
      </c>
      <c r="C208" s="696"/>
      <c r="D208" s="696"/>
      <c r="E208" s="696"/>
      <c r="F208" s="696"/>
      <c r="G208" s="696"/>
      <c r="H208" s="217">
        <f>H193</f>
        <v>0</v>
      </c>
    </row>
    <row r="209" spans="1:8" ht="15.75" customHeight="1" x14ac:dyDescent="0.25">
      <c r="A209" s="695" t="s">
        <v>540</v>
      </c>
      <c r="B209" s="695"/>
      <c r="C209" s="695"/>
      <c r="D209" s="695"/>
      <c r="E209" s="695"/>
      <c r="F209" s="695"/>
      <c r="G209" s="695"/>
      <c r="H209" s="218">
        <f>H207+H208</f>
        <v>0</v>
      </c>
    </row>
    <row r="210" spans="1:8" ht="15.75" customHeight="1" x14ac:dyDescent="0.25">
      <c r="A210" s="695" t="s">
        <v>541</v>
      </c>
      <c r="B210" s="695"/>
      <c r="C210" s="695"/>
      <c r="D210" s="695"/>
      <c r="E210" s="695"/>
      <c r="F210" s="695"/>
      <c r="G210" s="695"/>
      <c r="H210" s="220">
        <v>1</v>
      </c>
    </row>
    <row r="211" spans="1:8" ht="15.75" customHeight="1" x14ac:dyDescent="0.25">
      <c r="A211" s="695" t="s">
        <v>542</v>
      </c>
      <c r="B211" s="695"/>
      <c r="C211" s="695"/>
      <c r="D211" s="695"/>
      <c r="E211" s="695"/>
      <c r="F211" s="695"/>
      <c r="G211" s="695"/>
      <c r="H211" s="219">
        <f>H209*H210</f>
        <v>0</v>
      </c>
    </row>
    <row r="212" spans="1:8" ht="15.75" customHeight="1" x14ac:dyDescent="0.25">
      <c r="A212" s="695" t="s">
        <v>543</v>
      </c>
      <c r="B212" s="695"/>
      <c r="C212" s="695"/>
      <c r="D212" s="695"/>
      <c r="E212" s="695"/>
      <c r="F212" s="695"/>
      <c r="G212" s="695"/>
      <c r="H212" s="219">
        <f>H211*12</f>
        <v>0</v>
      </c>
    </row>
    <row r="213" spans="1:8" x14ac:dyDescent="0.25">
      <c r="A213"/>
      <c r="B213"/>
      <c r="C213"/>
      <c r="D213"/>
      <c r="E213"/>
      <c r="F213"/>
      <c r="G213"/>
      <c r="H213"/>
    </row>
    <row r="214" spans="1:8" x14ac:dyDescent="0.25">
      <c r="A214"/>
      <c r="B214"/>
      <c r="C214"/>
      <c r="D214"/>
      <c r="E214"/>
      <c r="F214"/>
      <c r="G214"/>
      <c r="H214"/>
    </row>
    <row r="215" spans="1:8" x14ac:dyDescent="0.25">
      <c r="A215"/>
      <c r="B215"/>
      <c r="C215"/>
      <c r="D215"/>
      <c r="E215"/>
      <c r="F215"/>
      <c r="G215"/>
      <c r="H215"/>
    </row>
    <row r="216" spans="1:8" x14ac:dyDescent="0.25">
      <c r="A216"/>
      <c r="B216"/>
      <c r="C216"/>
      <c r="D216"/>
      <c r="E216"/>
      <c r="F216"/>
      <c r="G216"/>
      <c r="H216"/>
    </row>
    <row r="217" spans="1:8" x14ac:dyDescent="0.25">
      <c r="A217"/>
      <c r="B217"/>
      <c r="C217"/>
      <c r="D217"/>
      <c r="E217"/>
      <c r="F217"/>
      <c r="G217"/>
      <c r="H217"/>
    </row>
    <row r="218" spans="1:8" x14ac:dyDescent="0.25">
      <c r="A218"/>
      <c r="B218"/>
      <c r="C218"/>
      <c r="D218"/>
      <c r="E218"/>
      <c r="F218"/>
      <c r="G218"/>
      <c r="H218"/>
    </row>
  </sheetData>
  <sheetProtection algorithmName="SHA-512" hashValue="IDSDnSveXPVdtIWUVUmNQFMgIgeVvf0i5OORmEvrfzpiOgXZjt9bDYLZpI2OBvXfD5yMGERPaF3G22ferrJKmw==" saltValue="LfEqxQ7blZFU98a/LOX+sg==" spinCount="100000" sheet="1" objects="1" scenarios="1"/>
  <mergeCells count="189">
    <mergeCell ref="G17:H17"/>
    <mergeCell ref="G19:H19"/>
    <mergeCell ref="A12:H12"/>
    <mergeCell ref="A5:H5"/>
    <mergeCell ref="A6:H6"/>
    <mergeCell ref="A8:H8"/>
    <mergeCell ref="A9:H9"/>
    <mergeCell ref="A10:H10"/>
    <mergeCell ref="A11:H11"/>
    <mergeCell ref="G24:H24"/>
    <mergeCell ref="A25:H25"/>
    <mergeCell ref="A26:H26"/>
    <mergeCell ref="A27:H27"/>
    <mergeCell ref="A28:H28"/>
    <mergeCell ref="G20:H20"/>
    <mergeCell ref="G21:H21"/>
    <mergeCell ref="G22:H22"/>
    <mergeCell ref="B22:F22"/>
    <mergeCell ref="B23:F23"/>
    <mergeCell ref="G23:H23"/>
    <mergeCell ref="B24:F24"/>
    <mergeCell ref="B36:F36"/>
    <mergeCell ref="B37:F37"/>
    <mergeCell ref="B38:F38"/>
    <mergeCell ref="B39:F39"/>
    <mergeCell ref="B40:F40"/>
    <mergeCell ref="A41:G41"/>
    <mergeCell ref="A29:H29"/>
    <mergeCell ref="A30:H30"/>
    <mergeCell ref="A31:H31"/>
    <mergeCell ref="A32:H32"/>
    <mergeCell ref="B34:F34"/>
    <mergeCell ref="B35:F35"/>
    <mergeCell ref="A56:F56"/>
    <mergeCell ref="A49:H49"/>
    <mergeCell ref="A51:H51"/>
    <mergeCell ref="B53:F53"/>
    <mergeCell ref="B54:F54"/>
    <mergeCell ref="B55:F55"/>
    <mergeCell ref="A42:H42"/>
    <mergeCell ref="A43:H43"/>
    <mergeCell ref="A44:H44"/>
    <mergeCell ref="A46:H46"/>
    <mergeCell ref="A47:H47"/>
    <mergeCell ref="A48:H48"/>
    <mergeCell ref="B64:F64"/>
    <mergeCell ref="B65:F65"/>
    <mergeCell ref="B66:F66"/>
    <mergeCell ref="B67:F67"/>
    <mergeCell ref="B68:F68"/>
    <mergeCell ref="B69:F69"/>
    <mergeCell ref="A57:H57"/>
    <mergeCell ref="A58:H58"/>
    <mergeCell ref="A59:H59"/>
    <mergeCell ref="A61:H61"/>
    <mergeCell ref="A76:H76"/>
    <mergeCell ref="A77:H77"/>
    <mergeCell ref="A78:H78"/>
    <mergeCell ref="A79:H79"/>
    <mergeCell ref="A80:H80"/>
    <mergeCell ref="A81:H81"/>
    <mergeCell ref="B70:F70"/>
    <mergeCell ref="B71:F71"/>
    <mergeCell ref="B72:F72"/>
    <mergeCell ref="A73:F73"/>
    <mergeCell ref="A74:H74"/>
    <mergeCell ref="A75:H75"/>
    <mergeCell ref="B90:F90"/>
    <mergeCell ref="B91:F91"/>
    <mergeCell ref="B92:F92"/>
    <mergeCell ref="B93:F93"/>
    <mergeCell ref="J93:K93"/>
    <mergeCell ref="B94:F94"/>
    <mergeCell ref="A82:H82"/>
    <mergeCell ref="A83:H83"/>
    <mergeCell ref="A86:H86"/>
    <mergeCell ref="J86:K86"/>
    <mergeCell ref="B88:F88"/>
    <mergeCell ref="B89:F89"/>
    <mergeCell ref="B102:G102"/>
    <mergeCell ref="B103:G103"/>
    <mergeCell ref="B104:G104"/>
    <mergeCell ref="B105:G105"/>
    <mergeCell ref="A106:G106"/>
    <mergeCell ref="A109:H109"/>
    <mergeCell ref="A95:G95"/>
    <mergeCell ref="A96:H96"/>
    <mergeCell ref="A97:H97"/>
    <mergeCell ref="A98:H98"/>
    <mergeCell ref="A99:H99"/>
    <mergeCell ref="A101:H101"/>
    <mergeCell ref="B117:F117"/>
    <mergeCell ref="B118:F118"/>
    <mergeCell ref="B119:F119"/>
    <mergeCell ref="A120:F120"/>
    <mergeCell ref="A121:H121"/>
    <mergeCell ref="A122:H122"/>
    <mergeCell ref="A111:G111"/>
    <mergeCell ref="A112:G112"/>
    <mergeCell ref="B113:F113"/>
    <mergeCell ref="B114:F114"/>
    <mergeCell ref="B115:F115"/>
    <mergeCell ref="B116:F116"/>
    <mergeCell ref="A133:G133"/>
    <mergeCell ref="B134:F134"/>
    <mergeCell ref="B135:F135"/>
    <mergeCell ref="B136:F136"/>
    <mergeCell ref="B137:F137"/>
    <mergeCell ref="B138:F138"/>
    <mergeCell ref="A123:H123"/>
    <mergeCell ref="A124:H124"/>
    <mergeCell ref="A127:H127"/>
    <mergeCell ref="A128:H128"/>
    <mergeCell ref="A129:H129"/>
    <mergeCell ref="A131:H131"/>
    <mergeCell ref="A145:H145"/>
    <mergeCell ref="A146:H146"/>
    <mergeCell ref="A147:H147"/>
    <mergeCell ref="A148:H148"/>
    <mergeCell ref="A150:H150"/>
    <mergeCell ref="B151:G151"/>
    <mergeCell ref="B139:F139"/>
    <mergeCell ref="B140:F140"/>
    <mergeCell ref="B141:F141"/>
    <mergeCell ref="A142:F142"/>
    <mergeCell ref="A143:H143"/>
    <mergeCell ref="A144:H144"/>
    <mergeCell ref="A160:G160"/>
    <mergeCell ref="A163:H163"/>
    <mergeCell ref="B165:G165"/>
    <mergeCell ref="B166:G166"/>
    <mergeCell ref="B167:G167"/>
    <mergeCell ref="B168:G168"/>
    <mergeCell ref="B152:G152"/>
    <mergeCell ref="A153:G153"/>
    <mergeCell ref="A156:H156"/>
    <mergeCell ref="B157:G157"/>
    <mergeCell ref="B158:G158"/>
    <mergeCell ref="B159:G159"/>
    <mergeCell ref="A175:H175"/>
    <mergeCell ref="A178:H178"/>
    <mergeCell ref="A180:G180"/>
    <mergeCell ref="A181:G181"/>
    <mergeCell ref="A182:G182"/>
    <mergeCell ref="A183:F183"/>
    <mergeCell ref="B169:G169"/>
    <mergeCell ref="B170:G170"/>
    <mergeCell ref="A171:G171"/>
    <mergeCell ref="A172:H172"/>
    <mergeCell ref="A173:H173"/>
    <mergeCell ref="A174:H174"/>
    <mergeCell ref="A195:H195"/>
    <mergeCell ref="A196:H196"/>
    <mergeCell ref="A197:H197"/>
    <mergeCell ref="A198:H198"/>
    <mergeCell ref="B184:F184"/>
    <mergeCell ref="B185:F185"/>
    <mergeCell ref="B186:F186"/>
    <mergeCell ref="A187:A192"/>
    <mergeCell ref="B187:F187"/>
    <mergeCell ref="C188:F188"/>
    <mergeCell ref="C189:F189"/>
    <mergeCell ref="B190:F190"/>
    <mergeCell ref="B191:F191"/>
    <mergeCell ref="B192:F192"/>
    <mergeCell ref="A212:G212"/>
    <mergeCell ref="A14:H14"/>
    <mergeCell ref="A15:H15"/>
    <mergeCell ref="A16:H16"/>
    <mergeCell ref="B17:F17"/>
    <mergeCell ref="B18:F18"/>
    <mergeCell ref="G18:H18"/>
    <mergeCell ref="B19:F19"/>
    <mergeCell ref="B20:F20"/>
    <mergeCell ref="B21:F21"/>
    <mergeCell ref="B206:G206"/>
    <mergeCell ref="A207:G207"/>
    <mergeCell ref="B208:G208"/>
    <mergeCell ref="A209:G209"/>
    <mergeCell ref="A210:G210"/>
    <mergeCell ref="A211:G211"/>
    <mergeCell ref="A199:H199"/>
    <mergeCell ref="B201:G201"/>
    <mergeCell ref="B202:G202"/>
    <mergeCell ref="B203:G203"/>
    <mergeCell ref="B204:G204"/>
    <mergeCell ref="B205:G205"/>
    <mergeCell ref="A193:G193"/>
    <mergeCell ref="A194:H194"/>
  </mergeCells>
  <printOptions horizontalCentered="1" verticalCentered="1"/>
  <pageMargins left="0.51181102362204722" right="0.51181102362204722" top="0.74803149606299213" bottom="0.74803149606299213" header="0.31496062992125984" footer="0.31496062992125984"/>
  <pageSetup paperSize="9" scale="72" fitToWidth="0" fitToHeight="0" orientation="portrait" r:id="rId1"/>
  <headerFooter alignWithMargins="0">
    <oddFooter>&amp;A</oddFooter>
  </headerFooter>
  <rowBreaks count="3" manualBreakCount="3">
    <brk id="50" max="7" man="1"/>
    <brk id="99" max="7" man="1"/>
    <brk id="148" max="7" man="1"/>
  </rowBreaks>
  <drawing r:id="rId2"/>
  <legacyDrawing r:id="rId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59999389629810485"/>
  </sheetPr>
  <dimension ref="A1:K218"/>
  <sheetViews>
    <sheetView showGridLines="0" zoomScaleNormal="100" workbookViewId="0">
      <selection activeCell="K1" sqref="K1"/>
    </sheetView>
  </sheetViews>
  <sheetFormatPr defaultRowHeight="15" x14ac:dyDescent="0.25"/>
  <cols>
    <col min="1" max="1" width="4.7109375" style="3" customWidth="1"/>
    <col min="2" max="2" width="8.85546875" style="3" customWidth="1"/>
    <col min="3" max="3" width="12.7109375" style="3" customWidth="1"/>
    <col min="4" max="4" width="8.85546875" style="3" customWidth="1"/>
    <col min="5" max="5" width="7.42578125" style="3" customWidth="1"/>
    <col min="6" max="6" width="26.140625" style="3" customWidth="1"/>
    <col min="7" max="7" width="18.140625" style="3" customWidth="1"/>
    <col min="8" max="8" width="16.7109375" style="13" customWidth="1"/>
    <col min="9" max="9" width="11.5703125" style="3" customWidth="1"/>
    <col min="10" max="10" width="48.85546875" style="3" bestFit="1" customWidth="1"/>
    <col min="11" max="11" width="12.140625" style="3" customWidth="1"/>
    <col min="12" max="16384" width="9.140625" style="3"/>
  </cols>
  <sheetData>
    <row r="1" spans="1:8" ht="15" customHeight="1" x14ac:dyDescent="0.25">
      <c r="A1" s="36"/>
      <c r="B1" s="36"/>
      <c r="C1" s="36"/>
      <c r="D1" s="36"/>
      <c r="E1" s="36"/>
      <c r="F1" s="36"/>
      <c r="G1" s="36"/>
      <c r="H1" s="36"/>
    </row>
    <row r="2" spans="1:8" ht="15" customHeight="1" x14ac:dyDescent="0.25">
      <c r="A2" s="36"/>
      <c r="B2" s="36"/>
      <c r="C2" s="36"/>
      <c r="D2" s="36"/>
      <c r="E2" s="36"/>
      <c r="F2" s="36"/>
      <c r="G2" s="36"/>
      <c r="H2" s="36"/>
    </row>
    <row r="3" spans="1:8" ht="15" customHeight="1" x14ac:dyDescent="0.25">
      <c r="A3" s="36"/>
      <c r="B3" s="36"/>
      <c r="C3" s="36"/>
      <c r="D3" s="36"/>
      <c r="E3" s="36"/>
      <c r="F3" s="36"/>
      <c r="G3" s="36"/>
      <c r="H3" s="36"/>
    </row>
    <row r="4" spans="1:8" ht="15" customHeight="1" x14ac:dyDescent="0.25">
      <c r="A4" s="36"/>
      <c r="B4" s="36"/>
      <c r="C4" s="36"/>
      <c r="D4" s="36"/>
      <c r="E4" s="36"/>
      <c r="F4" s="36"/>
      <c r="G4" s="36"/>
      <c r="H4" s="36"/>
    </row>
    <row r="5" spans="1:8" ht="15" customHeight="1" x14ac:dyDescent="0.25">
      <c r="A5" s="490" t="str">
        <f>ORIENTAÇÕES!A5</f>
        <v>MINISTÉRIO DA AGRICULTURA E PECUÁRIA</v>
      </c>
      <c r="B5" s="490"/>
      <c r="C5" s="490"/>
      <c r="D5" s="490"/>
      <c r="E5" s="490"/>
      <c r="F5" s="490"/>
      <c r="G5" s="490"/>
      <c r="H5" s="490"/>
    </row>
    <row r="6" spans="1:8" ht="15" customHeight="1" x14ac:dyDescent="0.25">
      <c r="A6" s="490" t="str">
        <f>ORIENTAÇÕES!A6</f>
        <v>LABORATÓRIO FEDERAL DE DEFESA AGROPECUÁRIA NO PARÁ</v>
      </c>
      <c r="B6" s="490"/>
      <c r="C6" s="490"/>
      <c r="D6" s="490"/>
      <c r="E6" s="490"/>
      <c r="F6" s="490"/>
      <c r="G6" s="490"/>
      <c r="H6" s="490"/>
    </row>
    <row r="7" spans="1:8" ht="15" customHeight="1" x14ac:dyDescent="0.25">
      <c r="A7" s="36"/>
      <c r="B7" s="36"/>
      <c r="C7" s="36"/>
      <c r="D7" s="36"/>
      <c r="E7" s="36"/>
      <c r="F7" s="36"/>
      <c r="G7" s="36"/>
      <c r="H7" s="36"/>
    </row>
    <row r="8" spans="1:8" ht="19.5" customHeight="1" x14ac:dyDescent="0.25">
      <c r="A8" s="689" t="str">
        <f>ORIENTAÇÕES!A8</f>
        <v xml:space="preserve">PLANILHA REFERENCIAL DE CUSTO E FORMAÇÃO DE PREÇO </v>
      </c>
      <c r="B8" s="689"/>
      <c r="C8" s="689"/>
      <c r="D8" s="689"/>
      <c r="E8" s="689"/>
      <c r="F8" s="689"/>
      <c r="G8" s="689"/>
      <c r="H8" s="689"/>
    </row>
    <row r="9" spans="1:8" ht="15" customHeight="1" x14ac:dyDescent="0.25">
      <c r="A9" s="690" t="s">
        <v>361</v>
      </c>
      <c r="B9" s="690"/>
      <c r="C9" s="690"/>
      <c r="D9" s="690"/>
      <c r="E9" s="690"/>
      <c r="F9" s="690"/>
      <c r="G9" s="690"/>
      <c r="H9" s="690"/>
    </row>
    <row r="10" spans="1:8" ht="15" customHeight="1" x14ac:dyDescent="0.25">
      <c r="A10" s="487" t="str">
        <f>ORIENTAÇÕES!A10</f>
        <v>Pregão Eletrônico 12/2023</v>
      </c>
      <c r="B10" s="487"/>
      <c r="C10" s="487"/>
      <c r="D10" s="487"/>
      <c r="E10" s="487"/>
      <c r="F10" s="487"/>
      <c r="G10" s="487"/>
      <c r="H10" s="487"/>
    </row>
    <row r="11" spans="1:8" ht="15" customHeight="1" x14ac:dyDescent="0.25">
      <c r="A11" s="487" t="str">
        <f>ORIENTAÇÕES!A11</f>
        <v>PROCESSO Nº. :  21000.001352/2023-57</v>
      </c>
      <c r="B11" s="487"/>
      <c r="C11" s="487"/>
      <c r="D11" s="487"/>
      <c r="E11" s="487"/>
      <c r="F11" s="487"/>
      <c r="G11" s="487"/>
      <c r="H11" s="487"/>
    </row>
    <row r="12" spans="1:8" ht="15" customHeight="1" x14ac:dyDescent="0.25">
      <c r="A12" s="480"/>
      <c r="B12" s="480"/>
      <c r="C12" s="480"/>
      <c r="D12" s="480"/>
      <c r="E12" s="480"/>
      <c r="F12" s="480"/>
      <c r="G12" s="480"/>
      <c r="H12" s="480"/>
    </row>
    <row r="13" spans="1:8" ht="15" customHeight="1" thickBot="1" x14ac:dyDescent="0.3">
      <c r="A13" s="377" t="s">
        <v>362</v>
      </c>
      <c r="B13" s="378"/>
      <c r="C13" s="378"/>
      <c r="D13" s="378"/>
      <c r="E13" s="378"/>
      <c r="F13" s="378"/>
      <c r="G13" s="378"/>
      <c r="H13" s="378"/>
    </row>
    <row r="14" spans="1:8" ht="45" customHeight="1" thickBot="1" x14ac:dyDescent="0.3">
      <c r="A14" s="594" t="s">
        <v>363</v>
      </c>
      <c r="B14" s="595"/>
      <c r="C14" s="595"/>
      <c r="D14" s="595"/>
      <c r="E14" s="595"/>
      <c r="F14" s="595"/>
      <c r="G14" s="595"/>
      <c r="H14" s="596"/>
    </row>
    <row r="15" spans="1:8" x14ac:dyDescent="0.25">
      <c r="A15" s="480"/>
      <c r="B15" s="480"/>
      <c r="C15" s="480"/>
      <c r="D15" s="480"/>
      <c r="E15" s="480"/>
      <c r="F15" s="480"/>
      <c r="G15" s="480"/>
      <c r="H15" s="480"/>
    </row>
    <row r="16" spans="1:8" x14ac:dyDescent="0.25">
      <c r="A16" s="635" t="s">
        <v>364</v>
      </c>
      <c r="B16" s="635"/>
      <c r="C16" s="635"/>
      <c r="D16" s="635"/>
      <c r="E16" s="635"/>
      <c r="F16" s="635"/>
      <c r="G16" s="635"/>
      <c r="H16" s="635"/>
    </row>
    <row r="17" spans="1:8" ht="15.75" x14ac:dyDescent="0.25">
      <c r="A17" s="369">
        <v>1</v>
      </c>
      <c r="B17" s="593"/>
      <c r="C17" s="593"/>
      <c r="D17" s="593"/>
      <c r="E17" s="593"/>
      <c r="F17" s="593"/>
      <c r="G17" s="678" t="str">
        <f>RESUMO!D35</f>
        <v>Motorista</v>
      </c>
      <c r="H17" s="678"/>
    </row>
    <row r="18" spans="1:8" ht="15.75" customHeight="1" x14ac:dyDescent="0.25">
      <c r="A18" s="369">
        <v>2</v>
      </c>
      <c r="B18" s="593" t="s">
        <v>365</v>
      </c>
      <c r="C18" s="593"/>
      <c r="D18" s="593"/>
      <c r="E18" s="593"/>
      <c r="F18" s="593"/>
      <c r="G18" s="692">
        <f>RESUMO!F35</f>
        <v>0</v>
      </c>
      <c r="H18" s="693"/>
    </row>
    <row r="19" spans="1:8" ht="15.75" customHeight="1" x14ac:dyDescent="0.25">
      <c r="A19" s="369">
        <v>3</v>
      </c>
      <c r="B19" s="680" t="s">
        <v>366</v>
      </c>
      <c r="C19" s="680"/>
      <c r="D19" s="680"/>
      <c r="E19" s="680"/>
      <c r="F19" s="680"/>
      <c r="G19" s="691">
        <f>RESUMO!G35</f>
        <v>0</v>
      </c>
      <c r="H19" s="691"/>
    </row>
    <row r="20" spans="1:8" ht="15.75" customHeight="1" x14ac:dyDescent="0.25">
      <c r="A20" s="369">
        <v>4</v>
      </c>
      <c r="B20" s="681" t="s">
        <v>367</v>
      </c>
      <c r="C20" s="681"/>
      <c r="D20" s="681"/>
      <c r="E20" s="681"/>
      <c r="F20" s="681"/>
      <c r="G20" s="694" t="str">
        <f>RESUMO!C35</f>
        <v>Condutor de Veículo</v>
      </c>
      <c r="H20" s="694"/>
    </row>
    <row r="21" spans="1:8" ht="15.75" x14ac:dyDescent="0.25">
      <c r="A21" s="369">
        <v>5</v>
      </c>
      <c r="B21" s="593" t="s">
        <v>368</v>
      </c>
      <c r="C21" s="593"/>
      <c r="D21" s="593"/>
      <c r="E21" s="593"/>
      <c r="F21" s="593"/>
      <c r="G21" s="679" t="str">
        <f>RESUMO!J35</f>
        <v>00/00/0000</v>
      </c>
      <c r="H21" s="682"/>
    </row>
    <row r="22" spans="1:8" ht="15.75" x14ac:dyDescent="0.25">
      <c r="A22" s="369">
        <v>6</v>
      </c>
      <c r="B22" s="593" t="s">
        <v>369</v>
      </c>
      <c r="C22" s="593"/>
      <c r="D22" s="593"/>
      <c r="E22" s="593"/>
      <c r="F22" s="593"/>
      <c r="G22" s="683">
        <f>RESUMO!I35</f>
        <v>0</v>
      </c>
      <c r="H22" s="683"/>
    </row>
    <row r="23" spans="1:8" ht="15.75" x14ac:dyDescent="0.25">
      <c r="A23" s="369">
        <v>7</v>
      </c>
      <c r="B23" s="593" t="s">
        <v>370</v>
      </c>
      <c r="C23" s="593"/>
      <c r="D23" s="593"/>
      <c r="E23" s="593"/>
      <c r="F23" s="593"/>
      <c r="G23" s="679" t="str">
        <f>RESUMO!J16</f>
        <v>00/00/0000</v>
      </c>
      <c r="H23" s="679"/>
    </row>
    <row r="24" spans="1:8" ht="15.75" x14ac:dyDescent="0.25">
      <c r="A24" s="369">
        <v>8</v>
      </c>
      <c r="B24" s="593" t="s">
        <v>371</v>
      </c>
      <c r="C24" s="593"/>
      <c r="D24" s="593"/>
      <c r="E24" s="593"/>
      <c r="F24" s="593"/>
      <c r="G24" s="666" t="str">
        <f>RESUMO!D22</f>
        <v>Belém-PA</v>
      </c>
      <c r="H24" s="666"/>
    </row>
    <row r="25" spans="1:8" ht="15.75" customHeight="1" x14ac:dyDescent="0.25">
      <c r="A25" s="621" t="s">
        <v>372</v>
      </c>
      <c r="B25" s="622"/>
      <c r="C25" s="622"/>
      <c r="D25" s="622"/>
      <c r="E25" s="622"/>
      <c r="F25" s="622"/>
      <c r="G25" s="622"/>
      <c r="H25" s="622"/>
    </row>
    <row r="26" spans="1:8" x14ac:dyDescent="0.25">
      <c r="A26" s="625" t="s">
        <v>373</v>
      </c>
      <c r="B26" s="626"/>
      <c r="C26" s="626"/>
      <c r="D26" s="626"/>
      <c r="E26" s="626"/>
      <c r="F26" s="626"/>
      <c r="G26" s="626"/>
      <c r="H26" s="626"/>
    </row>
    <row r="27" spans="1:8" x14ac:dyDescent="0.25">
      <c r="A27" s="625" t="s">
        <v>374</v>
      </c>
      <c r="B27" s="626"/>
      <c r="C27" s="626"/>
      <c r="D27" s="626"/>
      <c r="E27" s="626"/>
      <c r="F27" s="626"/>
      <c r="G27" s="626"/>
      <c r="H27" s="626"/>
    </row>
    <row r="28" spans="1:8" x14ac:dyDescent="0.25">
      <c r="A28" s="670" t="s">
        <v>375</v>
      </c>
      <c r="B28" s="671"/>
      <c r="C28" s="671"/>
      <c r="D28" s="671"/>
      <c r="E28" s="671"/>
      <c r="F28" s="671"/>
      <c r="G28" s="671"/>
      <c r="H28" s="671"/>
    </row>
    <row r="29" spans="1:8" ht="15" customHeight="1" x14ac:dyDescent="0.25">
      <c r="A29" s="672" t="s">
        <v>550</v>
      </c>
      <c r="B29" s="673"/>
      <c r="C29" s="673"/>
      <c r="D29" s="673"/>
      <c r="E29" s="673"/>
      <c r="F29" s="673"/>
      <c r="G29" s="673"/>
      <c r="H29" s="673"/>
    </row>
    <row r="30" spans="1:8" ht="30" customHeight="1" x14ac:dyDescent="0.25">
      <c r="A30" s="672" t="s">
        <v>377</v>
      </c>
      <c r="B30" s="673"/>
      <c r="C30" s="673"/>
      <c r="D30" s="673"/>
      <c r="E30" s="673"/>
      <c r="F30" s="673"/>
      <c r="G30" s="673"/>
      <c r="H30" s="673"/>
    </row>
    <row r="31" spans="1:8" x14ac:dyDescent="0.25">
      <c r="A31" s="674"/>
      <c r="B31" s="674"/>
      <c r="C31" s="674"/>
      <c r="D31" s="674"/>
      <c r="E31" s="674"/>
      <c r="F31" s="674"/>
      <c r="G31" s="674"/>
      <c r="H31" s="674"/>
    </row>
    <row r="32" spans="1:8" ht="18" customHeight="1" x14ac:dyDescent="0.25">
      <c r="A32" s="565" t="s">
        <v>378</v>
      </c>
      <c r="B32" s="565"/>
      <c r="C32" s="565"/>
      <c r="D32" s="565"/>
      <c r="E32" s="565"/>
      <c r="F32" s="565"/>
      <c r="G32" s="565"/>
      <c r="H32" s="565"/>
    </row>
    <row r="33" spans="1:8" ht="18" customHeight="1" x14ac:dyDescent="0.25">
      <c r="A33" s="37"/>
      <c r="B33" s="37"/>
      <c r="C33" s="37"/>
      <c r="D33" s="37"/>
      <c r="E33" s="37"/>
      <c r="F33" s="37"/>
      <c r="G33" s="37"/>
      <c r="H33" s="37"/>
    </row>
    <row r="34" spans="1:8" ht="18" customHeight="1" x14ac:dyDescent="0.25">
      <c r="A34" s="38">
        <v>1</v>
      </c>
      <c r="B34" s="669" t="s">
        <v>379</v>
      </c>
      <c r="C34" s="669"/>
      <c r="D34" s="669"/>
      <c r="E34" s="669"/>
      <c r="F34" s="669"/>
      <c r="G34" s="5" t="s">
        <v>380</v>
      </c>
      <c r="H34" s="5" t="s">
        <v>381</v>
      </c>
    </row>
    <row r="35" spans="1:8" x14ac:dyDescent="0.25">
      <c r="A35" s="6" t="s">
        <v>382</v>
      </c>
      <c r="B35" s="636" t="s">
        <v>383</v>
      </c>
      <c r="C35" s="636"/>
      <c r="D35" s="636"/>
      <c r="E35" s="636"/>
      <c r="F35" s="636"/>
      <c r="G35" s="359" t="s">
        <v>384</v>
      </c>
      <c r="H35" s="475">
        <f>G19</f>
        <v>0</v>
      </c>
    </row>
    <row r="36" spans="1:8" x14ac:dyDescent="0.25">
      <c r="A36" s="6" t="s">
        <v>385</v>
      </c>
      <c r="B36" s="636" t="s">
        <v>386</v>
      </c>
      <c r="C36" s="636"/>
      <c r="D36" s="636"/>
      <c r="E36" s="636"/>
      <c r="F36" s="636"/>
      <c r="G36" s="360" t="s">
        <v>109</v>
      </c>
      <c r="H36" s="9">
        <v>0</v>
      </c>
    </row>
    <row r="37" spans="1:8" x14ac:dyDescent="0.25">
      <c r="A37" s="10" t="s">
        <v>387</v>
      </c>
      <c r="B37" s="636" t="s">
        <v>388</v>
      </c>
      <c r="C37" s="636"/>
      <c r="D37" s="636"/>
      <c r="E37" s="636"/>
      <c r="F37" s="636"/>
      <c r="G37" s="362">
        <v>0</v>
      </c>
      <c r="H37" s="11">
        <f>H35*G37</f>
        <v>0</v>
      </c>
    </row>
    <row r="38" spans="1:8" x14ac:dyDescent="0.25">
      <c r="A38" s="6" t="s">
        <v>389</v>
      </c>
      <c r="B38" s="636" t="s">
        <v>390</v>
      </c>
      <c r="C38" s="636"/>
      <c r="D38" s="636"/>
      <c r="E38" s="636"/>
      <c r="F38" s="636"/>
      <c r="G38" s="116" t="s">
        <v>109</v>
      </c>
      <c r="H38" s="9">
        <v>0</v>
      </c>
    </row>
    <row r="39" spans="1:8" x14ac:dyDescent="0.25">
      <c r="A39" s="6" t="s">
        <v>391</v>
      </c>
      <c r="B39" s="636" t="s">
        <v>392</v>
      </c>
      <c r="C39" s="636"/>
      <c r="D39" s="636"/>
      <c r="E39" s="636"/>
      <c r="F39" s="636"/>
      <c r="G39" s="116" t="s">
        <v>109</v>
      </c>
      <c r="H39" s="9">
        <v>0</v>
      </c>
    </row>
    <row r="40" spans="1:8" x14ac:dyDescent="0.25">
      <c r="A40" s="6" t="s">
        <v>393</v>
      </c>
      <c r="B40" s="685" t="s">
        <v>394</v>
      </c>
      <c r="C40" s="686"/>
      <c r="D40" s="686"/>
      <c r="E40" s="686"/>
      <c r="F40" s="686"/>
      <c r="G40" s="361" t="s">
        <v>109</v>
      </c>
      <c r="H40" s="42">
        <v>0</v>
      </c>
    </row>
    <row r="41" spans="1:8" s="12" customFormat="1" ht="14.25" customHeight="1" x14ac:dyDescent="0.25">
      <c r="A41" s="642" t="s">
        <v>395</v>
      </c>
      <c r="B41" s="642"/>
      <c r="C41" s="642"/>
      <c r="D41" s="642"/>
      <c r="E41" s="642"/>
      <c r="F41" s="642"/>
      <c r="G41" s="642"/>
      <c r="H41" s="31">
        <f>SUM(H35:H40)</f>
        <v>0</v>
      </c>
    </row>
    <row r="42" spans="1:8" s="12" customFormat="1" ht="15" customHeight="1" x14ac:dyDescent="0.25">
      <c r="A42" s="621" t="s">
        <v>372</v>
      </c>
      <c r="B42" s="622"/>
      <c r="C42" s="622"/>
      <c r="D42" s="622"/>
      <c r="E42" s="622"/>
      <c r="F42" s="622"/>
      <c r="G42" s="622"/>
      <c r="H42" s="622"/>
    </row>
    <row r="43" spans="1:8" s="12" customFormat="1" x14ac:dyDescent="0.25">
      <c r="A43" s="625" t="s">
        <v>396</v>
      </c>
      <c r="B43" s="626"/>
      <c r="C43" s="626"/>
      <c r="D43" s="626"/>
      <c r="E43" s="626"/>
      <c r="F43" s="626"/>
      <c r="G43" s="626"/>
      <c r="H43" s="626"/>
    </row>
    <row r="44" spans="1:8" s="12" customFormat="1" x14ac:dyDescent="0.25">
      <c r="A44" s="625" t="s">
        <v>397</v>
      </c>
      <c r="B44" s="626"/>
      <c r="C44" s="626"/>
      <c r="D44" s="626"/>
      <c r="E44" s="626"/>
      <c r="F44" s="626"/>
      <c r="G44" s="626"/>
      <c r="H44" s="626"/>
    </row>
    <row r="45" spans="1:8" s="12" customFormat="1" ht="17.25" customHeight="1" x14ac:dyDescent="0.25">
      <c r="A45" s="3"/>
      <c r="B45" s="3"/>
      <c r="C45" s="3"/>
      <c r="D45" s="3"/>
      <c r="E45" s="3"/>
      <c r="F45" s="3"/>
      <c r="G45" s="3"/>
      <c r="H45" s="13"/>
    </row>
    <row r="46" spans="1:8" ht="15.75" x14ac:dyDescent="0.25">
      <c r="A46" s="565" t="s">
        <v>398</v>
      </c>
      <c r="B46" s="565"/>
      <c r="C46" s="565"/>
      <c r="D46" s="565"/>
      <c r="E46" s="565"/>
      <c r="F46" s="565"/>
      <c r="G46" s="565"/>
      <c r="H46" s="565"/>
    </row>
    <row r="47" spans="1:8" ht="16.5" customHeight="1" x14ac:dyDescent="0.25">
      <c r="A47" s="621" t="s">
        <v>372</v>
      </c>
      <c r="B47" s="622"/>
      <c r="C47" s="622"/>
      <c r="D47" s="622"/>
      <c r="E47" s="622"/>
      <c r="F47" s="622"/>
      <c r="G47" s="622"/>
      <c r="H47" s="622"/>
    </row>
    <row r="48" spans="1:8" ht="30" customHeight="1" x14ac:dyDescent="0.25">
      <c r="A48" s="625" t="s">
        <v>399</v>
      </c>
      <c r="B48" s="626"/>
      <c r="C48" s="626"/>
      <c r="D48" s="626"/>
      <c r="E48" s="626"/>
      <c r="F48" s="626"/>
      <c r="G48" s="626"/>
      <c r="H48" s="626"/>
    </row>
    <row r="49" spans="1:9" ht="30" customHeight="1" x14ac:dyDescent="0.25">
      <c r="A49" s="625" t="s">
        <v>400</v>
      </c>
      <c r="B49" s="626"/>
      <c r="C49" s="626"/>
      <c r="D49" s="626"/>
      <c r="E49" s="626"/>
      <c r="F49" s="626"/>
      <c r="G49" s="626"/>
      <c r="H49" s="626"/>
    </row>
    <row r="50" spans="1:9" x14ac:dyDescent="0.25">
      <c r="A50" s="14"/>
      <c r="B50" s="14"/>
      <c r="C50" s="14"/>
      <c r="D50" s="14"/>
      <c r="E50" s="14"/>
      <c r="F50" s="14"/>
      <c r="G50" s="14"/>
      <c r="H50" s="14"/>
      <c r="I50" s="15"/>
    </row>
    <row r="51" spans="1:9" ht="15.75" x14ac:dyDescent="0.25">
      <c r="A51" s="713" t="s">
        <v>401</v>
      </c>
      <c r="B51" s="713"/>
      <c r="C51" s="713"/>
      <c r="D51" s="713"/>
      <c r="E51" s="713"/>
      <c r="F51" s="713"/>
      <c r="G51" s="713"/>
      <c r="H51" s="713"/>
      <c r="I51" s="15"/>
    </row>
    <row r="52" spans="1:9" x14ac:dyDescent="0.25">
      <c r="A52" s="49"/>
      <c r="B52" s="49"/>
      <c r="C52" s="49"/>
      <c r="D52" s="49"/>
      <c r="E52" s="49"/>
      <c r="F52" s="49"/>
      <c r="G52" s="49"/>
      <c r="H52" s="49"/>
      <c r="I52" s="15"/>
    </row>
    <row r="53" spans="1:9" x14ac:dyDescent="0.25">
      <c r="A53" s="44" t="s">
        <v>402</v>
      </c>
      <c r="B53" s="637" t="s">
        <v>403</v>
      </c>
      <c r="C53" s="637"/>
      <c r="D53" s="637"/>
      <c r="E53" s="637"/>
      <c r="F53" s="637"/>
      <c r="G53" s="183" t="s">
        <v>404</v>
      </c>
      <c r="H53" s="183" t="s">
        <v>381</v>
      </c>
    </row>
    <row r="54" spans="1:9" x14ac:dyDescent="0.25">
      <c r="A54" s="6" t="s">
        <v>382</v>
      </c>
      <c r="B54" s="636" t="s">
        <v>405</v>
      </c>
      <c r="C54" s="636"/>
      <c r="D54" s="636"/>
      <c r="E54" s="636"/>
      <c r="F54" s="636"/>
      <c r="G54" s="16">
        <f>1/12</f>
        <v>8.3333333333333329E-2</v>
      </c>
      <c r="H54" s="11">
        <f>$H$41*G54</f>
        <v>0</v>
      </c>
      <c r="I54" s="15"/>
    </row>
    <row r="55" spans="1:9" x14ac:dyDescent="0.25">
      <c r="A55" s="6" t="s">
        <v>385</v>
      </c>
      <c r="B55" s="636" t="s">
        <v>546</v>
      </c>
      <c r="C55" s="636"/>
      <c r="D55" s="636"/>
      <c r="E55" s="636"/>
      <c r="F55" s="636"/>
      <c r="G55" s="16">
        <v>0.121</v>
      </c>
      <c r="H55" s="11">
        <f>$H$41*G55</f>
        <v>0</v>
      </c>
    </row>
    <row r="56" spans="1:9" s="12" customFormat="1" ht="18" customHeight="1" x14ac:dyDescent="0.25">
      <c r="A56" s="615" t="s">
        <v>407</v>
      </c>
      <c r="B56" s="616"/>
      <c r="C56" s="616"/>
      <c r="D56" s="616"/>
      <c r="E56" s="616"/>
      <c r="F56" s="617"/>
      <c r="G56" s="396">
        <f>SUM(G54:G55)</f>
        <v>0.20433333333333331</v>
      </c>
      <c r="H56" s="32">
        <f>SUM(H54:H55)</f>
        <v>0</v>
      </c>
    </row>
    <row r="57" spans="1:9" s="12" customFormat="1" ht="18" customHeight="1" x14ac:dyDescent="0.25">
      <c r="A57" s="621" t="s">
        <v>372</v>
      </c>
      <c r="B57" s="622"/>
      <c r="C57" s="622"/>
      <c r="D57" s="622"/>
      <c r="E57" s="622"/>
      <c r="F57" s="622"/>
      <c r="G57" s="622"/>
      <c r="H57" s="622"/>
    </row>
    <row r="58" spans="1:9" s="12" customFormat="1" ht="30" customHeight="1" x14ac:dyDescent="0.25">
      <c r="A58" s="625" t="s">
        <v>408</v>
      </c>
      <c r="B58" s="626"/>
      <c r="C58" s="626"/>
      <c r="D58" s="626"/>
      <c r="E58" s="626"/>
      <c r="F58" s="626"/>
      <c r="G58" s="626"/>
      <c r="H58" s="626"/>
    </row>
    <row r="59" spans="1:9" s="12" customFormat="1" ht="30" customHeight="1" x14ac:dyDescent="0.25">
      <c r="A59" s="625" t="s">
        <v>409</v>
      </c>
      <c r="B59" s="626"/>
      <c r="C59" s="626"/>
      <c r="D59" s="626"/>
      <c r="E59" s="626"/>
      <c r="F59" s="626"/>
      <c r="G59" s="626"/>
      <c r="H59" s="626"/>
    </row>
    <row r="60" spans="1:9" s="12" customFormat="1" ht="17.25" customHeight="1" x14ac:dyDescent="0.25">
      <c r="A60" s="14"/>
      <c r="B60" s="14"/>
      <c r="C60" s="14"/>
      <c r="D60" s="14"/>
      <c r="E60" s="14"/>
      <c r="F60" s="14"/>
      <c r="G60" s="14"/>
      <c r="H60" s="14"/>
    </row>
    <row r="61" spans="1:9" s="12" customFormat="1" ht="33" customHeight="1" x14ac:dyDescent="0.25">
      <c r="A61" s="708" t="s">
        <v>410</v>
      </c>
      <c r="B61" s="708"/>
      <c r="C61" s="708"/>
      <c r="D61" s="708"/>
      <c r="E61" s="708"/>
      <c r="F61" s="708"/>
      <c r="G61" s="708"/>
      <c r="H61" s="708"/>
    </row>
    <row r="62" spans="1:9" s="12" customFormat="1" x14ac:dyDescent="0.25">
      <c r="A62" s="182"/>
      <c r="B62" s="182"/>
      <c r="C62" s="182"/>
      <c r="D62" s="182"/>
      <c r="E62" s="182"/>
      <c r="F62" s="182"/>
      <c r="G62" s="182"/>
      <c r="H62" s="182"/>
    </row>
    <row r="63" spans="1:9" s="12" customFormat="1" x14ac:dyDescent="0.25">
      <c r="A63" s="181"/>
      <c r="B63" s="181"/>
      <c r="C63" s="181"/>
      <c r="D63" s="181"/>
      <c r="E63" s="181"/>
      <c r="G63" s="204" t="s">
        <v>411</v>
      </c>
      <c r="H63" s="184">
        <f>H41+H56</f>
        <v>0</v>
      </c>
    </row>
    <row r="64" spans="1:9" s="12" customFormat="1" ht="17.25" customHeight="1" x14ac:dyDescent="0.25">
      <c r="A64" s="195" t="s">
        <v>412</v>
      </c>
      <c r="B64" s="649" t="s">
        <v>403</v>
      </c>
      <c r="C64" s="649"/>
      <c r="D64" s="649"/>
      <c r="E64" s="649"/>
      <c r="F64" s="649"/>
      <c r="G64" s="196" t="s">
        <v>404</v>
      </c>
      <c r="H64" s="197" t="s">
        <v>381</v>
      </c>
    </row>
    <row r="65" spans="1:8" s="12" customFormat="1" x14ac:dyDescent="0.25">
      <c r="A65" s="6" t="s">
        <v>382</v>
      </c>
      <c r="B65" s="636" t="s">
        <v>413</v>
      </c>
      <c r="C65" s="636"/>
      <c r="D65" s="636"/>
      <c r="E65" s="636"/>
      <c r="F65" s="636"/>
      <c r="G65" s="806">
        <v>0</v>
      </c>
      <c r="H65" s="11">
        <f t="shared" ref="H65:H72" si="0">$H$63*G65</f>
        <v>0</v>
      </c>
    </row>
    <row r="66" spans="1:8" s="12" customFormat="1" x14ac:dyDescent="0.25">
      <c r="A66" s="6" t="s">
        <v>385</v>
      </c>
      <c r="B66" s="636" t="s">
        <v>414</v>
      </c>
      <c r="C66" s="636"/>
      <c r="D66" s="636"/>
      <c r="E66" s="636"/>
      <c r="F66" s="636"/>
      <c r="G66" s="806">
        <v>0</v>
      </c>
      <c r="H66" s="11">
        <f t="shared" si="0"/>
        <v>0</v>
      </c>
    </row>
    <row r="67" spans="1:8" s="12" customFormat="1" x14ac:dyDescent="0.25">
      <c r="A67" s="6" t="s">
        <v>387</v>
      </c>
      <c r="B67" s="636" t="s">
        <v>415</v>
      </c>
      <c r="C67" s="636"/>
      <c r="D67" s="636"/>
      <c r="E67" s="636"/>
      <c r="F67" s="636"/>
      <c r="G67" s="806">
        <v>0</v>
      </c>
      <c r="H67" s="11">
        <f t="shared" si="0"/>
        <v>0</v>
      </c>
    </row>
    <row r="68" spans="1:8" s="12" customFormat="1" x14ac:dyDescent="0.25">
      <c r="A68" s="6" t="s">
        <v>389</v>
      </c>
      <c r="B68" s="636" t="s">
        <v>416</v>
      </c>
      <c r="C68" s="636"/>
      <c r="D68" s="636"/>
      <c r="E68" s="636"/>
      <c r="F68" s="636"/>
      <c r="G68" s="806">
        <v>0</v>
      </c>
      <c r="H68" s="11">
        <f t="shared" si="0"/>
        <v>0</v>
      </c>
    </row>
    <row r="69" spans="1:8" s="12" customFormat="1" x14ac:dyDescent="0.25">
      <c r="A69" s="6" t="s">
        <v>391</v>
      </c>
      <c r="B69" s="636" t="s">
        <v>417</v>
      </c>
      <c r="C69" s="636"/>
      <c r="D69" s="636"/>
      <c r="E69" s="636"/>
      <c r="F69" s="636"/>
      <c r="G69" s="806">
        <v>0</v>
      </c>
      <c r="H69" s="11">
        <f t="shared" si="0"/>
        <v>0</v>
      </c>
    </row>
    <row r="70" spans="1:8" s="12" customFormat="1" x14ac:dyDescent="0.25">
      <c r="A70" s="6" t="s">
        <v>393</v>
      </c>
      <c r="B70" s="636" t="s">
        <v>418</v>
      </c>
      <c r="C70" s="636"/>
      <c r="D70" s="636"/>
      <c r="E70" s="636"/>
      <c r="F70" s="636"/>
      <c r="G70" s="806">
        <v>0</v>
      </c>
      <c r="H70" s="11">
        <f t="shared" si="0"/>
        <v>0</v>
      </c>
    </row>
    <row r="71" spans="1:8" s="12" customFormat="1" x14ac:dyDescent="0.25">
      <c r="A71" s="6" t="s">
        <v>419</v>
      </c>
      <c r="B71" s="636" t="s">
        <v>420</v>
      </c>
      <c r="C71" s="636"/>
      <c r="D71" s="636"/>
      <c r="E71" s="636"/>
      <c r="F71" s="636"/>
      <c r="G71" s="806">
        <v>0</v>
      </c>
      <c r="H71" s="11">
        <f t="shared" si="0"/>
        <v>0</v>
      </c>
    </row>
    <row r="72" spans="1:8" s="12" customFormat="1" x14ac:dyDescent="0.25">
      <c r="A72" s="6" t="s">
        <v>421</v>
      </c>
      <c r="B72" s="636" t="s">
        <v>422</v>
      </c>
      <c r="C72" s="636"/>
      <c r="D72" s="636"/>
      <c r="E72" s="636"/>
      <c r="F72" s="636"/>
      <c r="G72" s="806">
        <v>0</v>
      </c>
      <c r="H72" s="11">
        <f t="shared" si="0"/>
        <v>0</v>
      </c>
    </row>
    <row r="73" spans="1:8" x14ac:dyDescent="0.25">
      <c r="A73" s="659" t="s">
        <v>423</v>
      </c>
      <c r="B73" s="659" t="s">
        <v>424</v>
      </c>
      <c r="C73" s="659"/>
      <c r="D73" s="659"/>
      <c r="E73" s="659"/>
      <c r="F73" s="659"/>
      <c r="G73" s="34">
        <f>SUM(G65:G72)</f>
        <v>0</v>
      </c>
      <c r="H73" s="32">
        <f>SUM(H65:H72)</f>
        <v>0</v>
      </c>
    </row>
    <row r="74" spans="1:8" ht="15.75" customHeight="1" x14ac:dyDescent="0.25">
      <c r="A74" s="621" t="s">
        <v>372</v>
      </c>
      <c r="B74" s="622"/>
      <c r="C74" s="622"/>
      <c r="D74" s="622"/>
      <c r="E74" s="622"/>
      <c r="F74" s="622"/>
      <c r="G74" s="622"/>
      <c r="H74" s="622"/>
    </row>
    <row r="75" spans="1:8" ht="30" customHeight="1" x14ac:dyDescent="0.25">
      <c r="A75" s="625" t="s">
        <v>425</v>
      </c>
      <c r="B75" s="626"/>
      <c r="C75" s="626"/>
      <c r="D75" s="626"/>
      <c r="E75" s="626"/>
      <c r="F75" s="626"/>
      <c r="G75" s="626"/>
      <c r="H75" s="626"/>
    </row>
    <row r="76" spans="1:8" ht="45" customHeight="1" x14ac:dyDescent="0.25">
      <c r="A76" s="625" t="s">
        <v>426</v>
      </c>
      <c r="B76" s="626"/>
      <c r="C76" s="626"/>
      <c r="D76" s="626"/>
      <c r="E76" s="626"/>
      <c r="F76" s="626"/>
      <c r="G76" s="626"/>
      <c r="H76" s="626"/>
    </row>
    <row r="77" spans="1:8" ht="30" customHeight="1" x14ac:dyDescent="0.25">
      <c r="A77" s="625" t="s">
        <v>427</v>
      </c>
      <c r="B77" s="626"/>
      <c r="C77" s="626"/>
      <c r="D77" s="626"/>
      <c r="E77" s="626"/>
      <c r="F77" s="626"/>
      <c r="G77" s="626"/>
      <c r="H77" s="626"/>
    </row>
    <row r="78" spans="1:8" x14ac:dyDescent="0.25">
      <c r="A78" s="625" t="s">
        <v>428</v>
      </c>
      <c r="B78" s="626"/>
      <c r="C78" s="626"/>
      <c r="D78" s="626"/>
      <c r="E78" s="626"/>
      <c r="F78" s="626"/>
      <c r="G78" s="626"/>
      <c r="H78" s="626"/>
    </row>
    <row r="79" spans="1:8" ht="30" customHeight="1" x14ac:dyDescent="0.25">
      <c r="A79" s="621" t="s">
        <v>429</v>
      </c>
      <c r="B79" s="622"/>
      <c r="C79" s="622"/>
      <c r="D79" s="622"/>
      <c r="E79" s="622"/>
      <c r="F79" s="622"/>
      <c r="G79" s="622"/>
      <c r="H79" s="622"/>
    </row>
    <row r="80" spans="1:8" x14ac:dyDescent="0.25">
      <c r="A80" s="667" t="s">
        <v>430</v>
      </c>
      <c r="B80" s="668"/>
      <c r="C80" s="668"/>
      <c r="D80" s="668"/>
      <c r="E80" s="668"/>
      <c r="F80" s="668"/>
      <c r="G80" s="668"/>
      <c r="H80" s="668"/>
    </row>
    <row r="81" spans="1:11" x14ac:dyDescent="0.25">
      <c r="A81" s="625" t="s">
        <v>431</v>
      </c>
      <c r="B81" s="626"/>
      <c r="C81" s="626"/>
      <c r="D81" s="626"/>
      <c r="E81" s="626"/>
      <c r="F81" s="626"/>
      <c r="G81" s="626"/>
      <c r="H81" s="626"/>
    </row>
    <row r="82" spans="1:11" x14ac:dyDescent="0.25">
      <c r="A82" s="625" t="s">
        <v>432</v>
      </c>
      <c r="B82" s="626"/>
      <c r="C82" s="626"/>
      <c r="D82" s="626"/>
      <c r="E82" s="626"/>
      <c r="F82" s="626"/>
      <c r="G82" s="626"/>
      <c r="H82" s="626"/>
    </row>
    <row r="83" spans="1:11" ht="30" customHeight="1" x14ac:dyDescent="0.25">
      <c r="A83" s="676" t="s">
        <v>433</v>
      </c>
      <c r="B83" s="677"/>
      <c r="C83" s="677"/>
      <c r="D83" s="677"/>
      <c r="E83" s="677"/>
      <c r="F83" s="677"/>
      <c r="G83" s="677"/>
      <c r="H83" s="677"/>
    </row>
    <row r="84" spans="1:11" x14ac:dyDescent="0.25">
      <c r="A84" s="37"/>
      <c r="B84" s="37"/>
      <c r="C84" s="37"/>
      <c r="D84" s="37"/>
      <c r="E84" s="37"/>
      <c r="F84" s="37"/>
      <c r="G84" s="185"/>
      <c r="H84" s="180"/>
    </row>
    <row r="85" spans="1:11" ht="16.5" customHeight="1" x14ac:dyDescent="0.25">
      <c r="A85" s="14"/>
      <c r="B85" s="14"/>
      <c r="C85" s="14"/>
      <c r="D85" s="14"/>
      <c r="E85" s="14"/>
      <c r="F85" s="14"/>
      <c r="G85" s="14"/>
      <c r="H85" s="14"/>
    </row>
    <row r="86" spans="1:11" ht="16.5" customHeight="1" x14ac:dyDescent="0.25">
      <c r="A86" s="712" t="s">
        <v>434</v>
      </c>
      <c r="B86" s="712"/>
      <c r="C86" s="712"/>
      <c r="D86" s="712"/>
      <c r="E86" s="712"/>
      <c r="F86" s="712"/>
      <c r="G86" s="712"/>
      <c r="H86" s="712"/>
      <c r="J86" s="654" t="s">
        <v>435</v>
      </c>
      <c r="K86" s="654"/>
    </row>
    <row r="87" spans="1:11" ht="16.5" customHeight="1" x14ac:dyDescent="0.25">
      <c r="A87" s="186"/>
      <c r="B87" s="186"/>
      <c r="C87" s="186"/>
      <c r="D87" s="186"/>
      <c r="E87" s="186"/>
      <c r="F87" s="186"/>
      <c r="G87" s="186"/>
      <c r="H87" s="186"/>
      <c r="J87" s="187" t="s">
        <v>551</v>
      </c>
      <c r="K87" s="811">
        <v>0</v>
      </c>
    </row>
    <row r="88" spans="1:11" ht="16.5" customHeight="1" x14ac:dyDescent="0.25">
      <c r="A88" s="198" t="s">
        <v>437</v>
      </c>
      <c r="B88" s="687" t="s">
        <v>403</v>
      </c>
      <c r="C88" s="687"/>
      <c r="D88" s="687"/>
      <c r="E88" s="687"/>
      <c r="F88" s="687"/>
      <c r="G88" s="199" t="s">
        <v>438</v>
      </c>
      <c r="H88" s="199" t="s">
        <v>381</v>
      </c>
      <c r="J88" s="187" t="s">
        <v>552</v>
      </c>
      <c r="K88" s="811">
        <f>0</f>
        <v>0</v>
      </c>
    </row>
    <row r="89" spans="1:11" ht="16.5" customHeight="1" x14ac:dyDescent="0.25">
      <c r="A89" s="6" t="s">
        <v>382</v>
      </c>
      <c r="B89" s="636" t="s">
        <v>440</v>
      </c>
      <c r="C89" s="636"/>
      <c r="D89" s="636"/>
      <c r="E89" s="636"/>
      <c r="F89" s="636"/>
      <c r="G89" s="808">
        <f>K94</f>
        <v>0</v>
      </c>
      <c r="H89" s="11">
        <f>K99</f>
        <v>0</v>
      </c>
      <c r="J89" s="187" t="s">
        <v>441</v>
      </c>
      <c r="K89" s="188">
        <f>(K87*22)</f>
        <v>0</v>
      </c>
    </row>
    <row r="90" spans="1:11" x14ac:dyDescent="0.25">
      <c r="A90" s="6" t="s">
        <v>385</v>
      </c>
      <c r="B90" s="636" t="s">
        <v>442</v>
      </c>
      <c r="C90" s="636"/>
      <c r="D90" s="636"/>
      <c r="E90" s="636"/>
      <c r="F90" s="636"/>
      <c r="G90" s="808">
        <f>K87</f>
        <v>0</v>
      </c>
      <c r="H90" s="11">
        <f>K91</f>
        <v>0</v>
      </c>
      <c r="J90" s="187" t="s">
        <v>443</v>
      </c>
      <c r="K90" s="188">
        <f>K89*10%</f>
        <v>0</v>
      </c>
    </row>
    <row r="91" spans="1:11" x14ac:dyDescent="0.25">
      <c r="A91" s="6" t="s">
        <v>387</v>
      </c>
      <c r="B91" s="636" t="s">
        <v>444</v>
      </c>
      <c r="C91" s="636"/>
      <c r="D91" s="636"/>
      <c r="E91" s="636"/>
      <c r="F91" s="636"/>
      <c r="G91" s="809"/>
      <c r="H91" s="810">
        <v>0</v>
      </c>
      <c r="J91" s="189" t="s">
        <v>445</v>
      </c>
      <c r="K91" s="190">
        <f>K89-K90</f>
        <v>0</v>
      </c>
    </row>
    <row r="92" spans="1:11" x14ac:dyDescent="0.25">
      <c r="A92" s="17" t="s">
        <v>389</v>
      </c>
      <c r="B92" s="636" t="s">
        <v>446</v>
      </c>
      <c r="C92" s="636"/>
      <c r="D92" s="636"/>
      <c r="E92" s="636"/>
      <c r="F92" s="636"/>
      <c r="G92" s="808">
        <v>0</v>
      </c>
      <c r="H92" s="810">
        <v>0</v>
      </c>
      <c r="J92" s="191"/>
      <c r="K92" s="191"/>
    </row>
    <row r="93" spans="1:11" x14ac:dyDescent="0.25">
      <c r="A93" s="6" t="s">
        <v>391</v>
      </c>
      <c r="B93" s="636" t="s">
        <v>447</v>
      </c>
      <c r="C93" s="636"/>
      <c r="D93" s="636"/>
      <c r="E93" s="636"/>
      <c r="F93" s="636"/>
      <c r="G93" s="809"/>
      <c r="H93" s="810">
        <v>0</v>
      </c>
      <c r="J93" s="654" t="s">
        <v>448</v>
      </c>
      <c r="K93" s="654"/>
    </row>
    <row r="94" spans="1:11" x14ac:dyDescent="0.25">
      <c r="A94" s="6" t="s">
        <v>393</v>
      </c>
      <c r="B94" s="807" t="s">
        <v>449</v>
      </c>
      <c r="C94" s="807"/>
      <c r="D94" s="807"/>
      <c r="E94" s="807"/>
      <c r="F94" s="807"/>
      <c r="G94" s="809"/>
      <c r="H94" s="810">
        <v>0</v>
      </c>
      <c r="J94" s="187" t="s">
        <v>450</v>
      </c>
      <c r="K94" s="811">
        <v>0</v>
      </c>
    </row>
    <row r="95" spans="1:11" ht="15.75" customHeight="1" x14ac:dyDescent="0.25">
      <c r="A95" s="637" t="s">
        <v>451</v>
      </c>
      <c r="B95" s="637"/>
      <c r="C95" s="637"/>
      <c r="D95" s="637"/>
      <c r="E95" s="637"/>
      <c r="F95" s="637"/>
      <c r="G95" s="637"/>
      <c r="H95" s="32">
        <f>SUM(H89:H94)</f>
        <v>0</v>
      </c>
      <c r="J95" s="187" t="s">
        <v>452</v>
      </c>
      <c r="K95" s="811">
        <v>0</v>
      </c>
    </row>
    <row r="96" spans="1:11" ht="15.75" customHeight="1" x14ac:dyDescent="0.25">
      <c r="A96" s="621" t="s">
        <v>372</v>
      </c>
      <c r="B96" s="622"/>
      <c r="C96" s="622"/>
      <c r="D96" s="622"/>
      <c r="E96" s="622"/>
      <c r="F96" s="622"/>
      <c r="G96" s="622"/>
      <c r="H96" s="622"/>
      <c r="J96" s="187" t="s">
        <v>453</v>
      </c>
      <c r="K96" s="811">
        <v>0</v>
      </c>
    </row>
    <row r="97" spans="1:11" ht="30" customHeight="1" x14ac:dyDescent="0.25">
      <c r="A97" s="625" t="s">
        <v>454</v>
      </c>
      <c r="B97" s="626"/>
      <c r="C97" s="626"/>
      <c r="D97" s="626"/>
      <c r="E97" s="626"/>
      <c r="F97" s="626"/>
      <c r="G97" s="626"/>
      <c r="H97" s="626"/>
      <c r="J97" s="187" t="s">
        <v>455</v>
      </c>
      <c r="K97" s="188">
        <f>K94*K95*K96</f>
        <v>0</v>
      </c>
    </row>
    <row r="98" spans="1:11" ht="30" customHeight="1" x14ac:dyDescent="0.25">
      <c r="A98" s="625" t="s">
        <v>456</v>
      </c>
      <c r="B98" s="626"/>
      <c r="C98" s="626"/>
      <c r="D98" s="626"/>
      <c r="E98" s="626"/>
      <c r="F98" s="626"/>
      <c r="G98" s="626"/>
      <c r="H98" s="626"/>
      <c r="J98" s="187" t="s">
        <v>457</v>
      </c>
      <c r="K98" s="188">
        <f>H35*6%</f>
        <v>0</v>
      </c>
    </row>
    <row r="99" spans="1:11" x14ac:dyDescent="0.25">
      <c r="A99" s="625" t="s">
        <v>458</v>
      </c>
      <c r="B99" s="626"/>
      <c r="C99" s="626"/>
      <c r="D99" s="626"/>
      <c r="E99" s="626"/>
      <c r="F99" s="626"/>
      <c r="G99" s="626"/>
      <c r="H99" s="626"/>
      <c r="J99" s="189" t="s">
        <v>445</v>
      </c>
      <c r="K99" s="192">
        <f>K97-K98</f>
        <v>0</v>
      </c>
    </row>
    <row r="101" spans="1:11" ht="15" customHeight="1" x14ac:dyDescent="0.25">
      <c r="A101" s="709" t="s">
        <v>459</v>
      </c>
      <c r="B101" s="710"/>
      <c r="C101" s="710"/>
      <c r="D101" s="710"/>
      <c r="E101" s="710"/>
      <c r="F101" s="710"/>
      <c r="G101" s="710"/>
      <c r="H101" s="711"/>
    </row>
    <row r="102" spans="1:11" ht="15" customHeight="1" x14ac:dyDescent="0.25">
      <c r="A102" s="38"/>
      <c r="B102" s="648" t="s">
        <v>403</v>
      </c>
      <c r="C102" s="648"/>
      <c r="D102" s="648"/>
      <c r="E102" s="648"/>
      <c r="F102" s="648"/>
      <c r="G102" s="648"/>
      <c r="H102" s="5" t="s">
        <v>460</v>
      </c>
    </row>
    <row r="103" spans="1:11" ht="15" customHeight="1" x14ac:dyDescent="0.25">
      <c r="A103" s="6" t="s">
        <v>402</v>
      </c>
      <c r="B103" s="636" t="s">
        <v>461</v>
      </c>
      <c r="C103" s="636"/>
      <c r="D103" s="636"/>
      <c r="E103" s="636"/>
      <c r="F103" s="636"/>
      <c r="G103" s="636"/>
      <c r="H103" s="11">
        <f>H56</f>
        <v>0</v>
      </c>
    </row>
    <row r="104" spans="1:11" ht="15" customHeight="1" x14ac:dyDescent="0.25">
      <c r="A104" s="6" t="s">
        <v>412</v>
      </c>
      <c r="B104" s="641" t="s">
        <v>462</v>
      </c>
      <c r="C104" s="641"/>
      <c r="D104" s="641"/>
      <c r="E104" s="641"/>
      <c r="F104" s="641"/>
      <c r="G104" s="641"/>
      <c r="H104" s="11">
        <f>H73</f>
        <v>0</v>
      </c>
    </row>
    <row r="105" spans="1:11" ht="15" customHeight="1" x14ac:dyDescent="0.25">
      <c r="A105" s="6" t="s">
        <v>437</v>
      </c>
      <c r="B105" s="636" t="s">
        <v>463</v>
      </c>
      <c r="C105" s="636"/>
      <c r="D105" s="636"/>
      <c r="E105" s="636"/>
      <c r="F105" s="636"/>
      <c r="G105" s="636"/>
      <c r="H105" s="11">
        <f>H95</f>
        <v>0</v>
      </c>
    </row>
    <row r="106" spans="1:11" ht="15" customHeight="1" x14ac:dyDescent="0.25">
      <c r="A106" s="642" t="s">
        <v>195</v>
      </c>
      <c r="B106" s="642"/>
      <c r="C106" s="642"/>
      <c r="D106" s="642"/>
      <c r="E106" s="642"/>
      <c r="F106" s="642"/>
      <c r="G106" s="642"/>
      <c r="H106" s="33">
        <f>SUM(H103:H105)</f>
        <v>0</v>
      </c>
    </row>
    <row r="107" spans="1:11" ht="15" customHeight="1" x14ac:dyDescent="0.25"/>
    <row r="108" spans="1:11" ht="15" customHeight="1" x14ac:dyDescent="0.25"/>
    <row r="109" spans="1:11" ht="15" customHeight="1" x14ac:dyDescent="0.25">
      <c r="A109" s="565" t="s">
        <v>465</v>
      </c>
      <c r="B109" s="565"/>
      <c r="C109" s="565"/>
      <c r="D109" s="565"/>
      <c r="E109" s="565"/>
      <c r="F109" s="565"/>
      <c r="G109" s="565"/>
      <c r="H109" s="565"/>
    </row>
    <row r="110" spans="1:11" ht="15" customHeight="1" x14ac:dyDescent="0.25"/>
    <row r="111" spans="1:11" x14ac:dyDescent="0.25">
      <c r="A111" s="661" t="s">
        <v>466</v>
      </c>
      <c r="B111" s="661"/>
      <c r="C111" s="661"/>
      <c r="D111" s="661"/>
      <c r="E111" s="661"/>
      <c r="F111" s="661"/>
      <c r="G111" s="661"/>
      <c r="H111" s="202">
        <f>(H41+H106)-(SUM(H65:H71))</f>
        <v>0</v>
      </c>
    </row>
    <row r="112" spans="1:11" ht="15.75" customHeight="1" x14ac:dyDescent="0.25">
      <c r="A112" s="661" t="s">
        <v>467</v>
      </c>
      <c r="B112" s="661"/>
      <c r="C112" s="661"/>
      <c r="D112" s="661"/>
      <c r="E112" s="661"/>
      <c r="F112" s="661"/>
      <c r="G112" s="661"/>
      <c r="H112" s="203">
        <f>H41+H106</f>
        <v>0</v>
      </c>
    </row>
    <row r="113" spans="1:9" x14ac:dyDescent="0.25">
      <c r="A113" s="195">
        <v>3</v>
      </c>
      <c r="B113" s="649" t="s">
        <v>403</v>
      </c>
      <c r="C113" s="649"/>
      <c r="D113" s="649"/>
      <c r="E113" s="649"/>
      <c r="F113" s="649"/>
      <c r="G113" s="200" t="s">
        <v>468</v>
      </c>
      <c r="H113" s="201" t="s">
        <v>469</v>
      </c>
    </row>
    <row r="114" spans="1:9" ht="15" customHeight="1" x14ac:dyDescent="0.25">
      <c r="A114" s="10" t="s">
        <v>382</v>
      </c>
      <c r="B114" s="632" t="s">
        <v>470</v>
      </c>
      <c r="C114" s="632"/>
      <c r="D114" s="632"/>
      <c r="E114" s="632"/>
      <c r="F114" s="632"/>
      <c r="G114" s="812">
        <v>0</v>
      </c>
      <c r="H114" s="9">
        <f>H111*G114</f>
        <v>0</v>
      </c>
      <c r="I114" s="193"/>
    </row>
    <row r="115" spans="1:9" x14ac:dyDescent="0.25">
      <c r="A115" s="6" t="s">
        <v>385</v>
      </c>
      <c r="B115" s="636" t="s">
        <v>471</v>
      </c>
      <c r="C115" s="636"/>
      <c r="D115" s="636"/>
      <c r="E115" s="636"/>
      <c r="F115" s="636"/>
      <c r="G115" s="813">
        <v>0</v>
      </c>
      <c r="H115" s="11">
        <f>H114*G115</f>
        <v>0</v>
      </c>
      <c r="I115" s="193"/>
    </row>
    <row r="116" spans="1:9" x14ac:dyDescent="0.25">
      <c r="A116" s="53" t="s">
        <v>387</v>
      </c>
      <c r="B116" s="662" t="s">
        <v>472</v>
      </c>
      <c r="C116" s="636"/>
      <c r="D116" s="636"/>
      <c r="E116" s="636"/>
      <c r="F116" s="636"/>
      <c r="G116" s="813">
        <v>0</v>
      </c>
      <c r="H116" s="11">
        <f>H114*G116</f>
        <v>0</v>
      </c>
      <c r="I116" s="193"/>
    </row>
    <row r="117" spans="1:9" x14ac:dyDescent="0.25">
      <c r="A117" s="43" t="s">
        <v>389</v>
      </c>
      <c r="B117" s="636" t="s">
        <v>473</v>
      </c>
      <c r="C117" s="636"/>
      <c r="D117" s="636"/>
      <c r="E117" s="636"/>
      <c r="F117" s="636"/>
      <c r="G117" s="813">
        <v>0</v>
      </c>
      <c r="H117" s="11">
        <f>H112*G117</f>
        <v>0</v>
      </c>
      <c r="I117" s="193"/>
    </row>
    <row r="118" spans="1:9" x14ac:dyDescent="0.25">
      <c r="A118" s="53" t="s">
        <v>391</v>
      </c>
      <c r="B118" s="636" t="s">
        <v>474</v>
      </c>
      <c r="C118" s="636"/>
      <c r="D118" s="636"/>
      <c r="E118" s="636"/>
      <c r="F118" s="636"/>
      <c r="G118" s="813">
        <f>G73</f>
        <v>0</v>
      </c>
      <c r="H118" s="11">
        <f>G118*H117</f>
        <v>0</v>
      </c>
      <c r="I118" s="193"/>
    </row>
    <row r="119" spans="1:9" x14ac:dyDescent="0.25">
      <c r="A119" s="43" t="s">
        <v>393</v>
      </c>
      <c r="B119" s="660" t="s">
        <v>475</v>
      </c>
      <c r="C119" s="641"/>
      <c r="D119" s="641"/>
      <c r="E119" s="641"/>
      <c r="F119" s="641"/>
      <c r="G119" s="813">
        <v>0</v>
      </c>
      <c r="H119" s="11">
        <f>G119*H117</f>
        <v>0</v>
      </c>
      <c r="I119" s="193"/>
    </row>
    <row r="120" spans="1:9" x14ac:dyDescent="0.25">
      <c r="A120" s="663" t="s">
        <v>195</v>
      </c>
      <c r="B120" s="664"/>
      <c r="C120" s="664"/>
      <c r="D120" s="664"/>
      <c r="E120" s="664"/>
      <c r="F120" s="665"/>
      <c r="G120" s="194">
        <f>SUM(G114:G119)</f>
        <v>0</v>
      </c>
      <c r="H120" s="33">
        <f>SUM(H114:H119)</f>
        <v>0</v>
      </c>
      <c r="I120" s="193"/>
    </row>
    <row r="121" spans="1:9" ht="15" customHeight="1" x14ac:dyDescent="0.25">
      <c r="A121" s="621" t="s">
        <v>372</v>
      </c>
      <c r="B121" s="622"/>
      <c r="C121" s="622"/>
      <c r="D121" s="622"/>
      <c r="E121" s="622"/>
      <c r="F121" s="622"/>
      <c r="G121" s="622"/>
      <c r="H121" s="622"/>
    </row>
    <row r="122" spans="1:9" ht="30" customHeight="1" x14ac:dyDescent="0.25">
      <c r="A122" s="625" t="s">
        <v>476</v>
      </c>
      <c r="B122" s="626"/>
      <c r="C122" s="626"/>
      <c r="D122" s="626"/>
      <c r="E122" s="626"/>
      <c r="F122" s="626"/>
      <c r="G122" s="626"/>
      <c r="H122" s="626"/>
    </row>
    <row r="123" spans="1:9" ht="45" customHeight="1" x14ac:dyDescent="0.25">
      <c r="A123" s="625" t="s">
        <v>477</v>
      </c>
      <c r="B123" s="626"/>
      <c r="C123" s="626"/>
      <c r="D123" s="626"/>
      <c r="E123" s="626"/>
      <c r="F123" s="626"/>
      <c r="G123" s="626"/>
      <c r="H123" s="626"/>
    </row>
    <row r="124" spans="1:9" ht="30" customHeight="1" x14ac:dyDescent="0.25">
      <c r="A124" s="625" t="s">
        <v>478</v>
      </c>
      <c r="B124" s="626"/>
      <c r="C124" s="626"/>
      <c r="D124" s="626"/>
      <c r="E124" s="626"/>
      <c r="F124" s="626"/>
      <c r="G124" s="626"/>
      <c r="H124" s="626"/>
    </row>
    <row r="125" spans="1:9" ht="14.25" customHeight="1" x14ac:dyDescent="0.25"/>
    <row r="126" spans="1:9" ht="14.25" customHeight="1" x14ac:dyDescent="0.25"/>
    <row r="127" spans="1:9" ht="15.75" x14ac:dyDescent="0.25">
      <c r="A127" s="565" t="s">
        <v>479</v>
      </c>
      <c r="B127" s="565"/>
      <c r="C127" s="565"/>
      <c r="D127" s="565"/>
      <c r="E127" s="565"/>
      <c r="F127" s="565"/>
      <c r="G127" s="565"/>
      <c r="H127" s="565"/>
    </row>
    <row r="128" spans="1:9" ht="16.5" customHeight="1" x14ac:dyDescent="0.25">
      <c r="A128" s="621" t="s">
        <v>372</v>
      </c>
      <c r="B128" s="622"/>
      <c r="C128" s="622"/>
      <c r="D128" s="622"/>
      <c r="E128" s="622"/>
      <c r="F128" s="622"/>
      <c r="G128" s="622"/>
      <c r="H128" s="622"/>
    </row>
    <row r="129" spans="1:10" ht="30" customHeight="1" x14ac:dyDescent="0.25">
      <c r="A129" s="625" t="s">
        <v>480</v>
      </c>
      <c r="B129" s="626"/>
      <c r="C129" s="626"/>
      <c r="D129" s="626"/>
      <c r="E129" s="626"/>
      <c r="F129" s="626"/>
      <c r="G129" s="626"/>
      <c r="H129" s="626"/>
    </row>
    <row r="130" spans="1:10" ht="15.75" x14ac:dyDescent="0.25">
      <c r="A130" s="19"/>
      <c r="B130" s="19"/>
      <c r="C130" s="19"/>
      <c r="D130" s="19"/>
      <c r="E130" s="19"/>
      <c r="F130" s="19"/>
      <c r="G130" s="19"/>
      <c r="H130" s="19"/>
    </row>
    <row r="131" spans="1:10" ht="15.75" x14ac:dyDescent="0.25">
      <c r="A131" s="708" t="s">
        <v>481</v>
      </c>
      <c r="B131" s="708"/>
      <c r="C131" s="708"/>
      <c r="D131" s="708"/>
      <c r="E131" s="708"/>
      <c r="F131" s="708"/>
      <c r="G131" s="708"/>
      <c r="H131" s="708"/>
    </row>
    <row r="132" spans="1:10" x14ac:dyDescent="0.25">
      <c r="A132" s="182"/>
      <c r="B132" s="182"/>
      <c r="C132" s="182"/>
      <c r="D132" s="182"/>
      <c r="E132" s="182"/>
      <c r="F132" s="182"/>
      <c r="G132" s="182"/>
      <c r="H132" s="182"/>
    </row>
    <row r="133" spans="1:10" ht="16.5" customHeight="1" x14ac:dyDescent="0.25">
      <c r="A133" s="658" t="s">
        <v>482</v>
      </c>
      <c r="B133" s="658"/>
      <c r="C133" s="658"/>
      <c r="D133" s="658"/>
      <c r="E133" s="658"/>
      <c r="F133" s="658"/>
      <c r="G133" s="658"/>
      <c r="H133" s="205">
        <f>H41+H106+H120</f>
        <v>0</v>
      </c>
    </row>
    <row r="134" spans="1:10" x14ac:dyDescent="0.25">
      <c r="A134" s="195" t="s">
        <v>483</v>
      </c>
      <c r="B134" s="649" t="s">
        <v>403</v>
      </c>
      <c r="C134" s="649"/>
      <c r="D134" s="649"/>
      <c r="E134" s="649"/>
      <c r="F134" s="649"/>
      <c r="G134" s="200" t="s">
        <v>468</v>
      </c>
      <c r="H134" s="201" t="s">
        <v>469</v>
      </c>
      <c r="I134" s="4"/>
    </row>
    <row r="135" spans="1:10" ht="15" customHeight="1" x14ac:dyDescent="0.25">
      <c r="A135" s="10" t="s">
        <v>382</v>
      </c>
      <c r="B135" s="650" t="s">
        <v>484</v>
      </c>
      <c r="C135" s="650"/>
      <c r="D135" s="650"/>
      <c r="E135" s="650"/>
      <c r="F135" s="650"/>
      <c r="G135" s="814">
        <v>0</v>
      </c>
      <c r="H135" s="28">
        <f>$H$133*G135</f>
        <v>0</v>
      </c>
      <c r="I135" s="4"/>
    </row>
    <row r="136" spans="1:10" x14ac:dyDescent="0.25">
      <c r="A136" s="10" t="s">
        <v>385</v>
      </c>
      <c r="B136" s="650" t="s">
        <v>485</v>
      </c>
      <c r="C136" s="650"/>
      <c r="D136" s="650"/>
      <c r="E136" s="650"/>
      <c r="F136" s="650"/>
      <c r="G136" s="814">
        <v>0</v>
      </c>
      <c r="H136" s="28">
        <f t="shared" ref="H136:H141" si="1">$H$133*G136</f>
        <v>0</v>
      </c>
      <c r="I136" s="4"/>
      <c r="J136" s="210"/>
    </row>
    <row r="137" spans="1:10" ht="15" customHeight="1" x14ac:dyDescent="0.25">
      <c r="A137" s="10" t="s">
        <v>387</v>
      </c>
      <c r="B137" s="651" t="s">
        <v>486</v>
      </c>
      <c r="C137" s="652"/>
      <c r="D137" s="652"/>
      <c r="E137" s="652"/>
      <c r="F137" s="653"/>
      <c r="G137" s="814">
        <v>0</v>
      </c>
      <c r="H137" s="28">
        <f t="shared" si="1"/>
        <v>0</v>
      </c>
      <c r="I137" s="4"/>
    </row>
    <row r="138" spans="1:10" ht="14.25" customHeight="1" x14ac:dyDescent="0.25">
      <c r="A138" s="10" t="s">
        <v>389</v>
      </c>
      <c r="B138" s="650" t="s">
        <v>487</v>
      </c>
      <c r="C138" s="650"/>
      <c r="D138" s="650"/>
      <c r="E138" s="650"/>
      <c r="F138" s="650"/>
      <c r="G138" s="814">
        <v>0</v>
      </c>
      <c r="H138" s="28">
        <f t="shared" si="1"/>
        <v>0</v>
      </c>
      <c r="I138" s="4"/>
    </row>
    <row r="139" spans="1:10" x14ac:dyDescent="0.25">
      <c r="A139" s="10" t="s">
        <v>391</v>
      </c>
      <c r="B139" s="651" t="s">
        <v>488</v>
      </c>
      <c r="C139" s="652"/>
      <c r="D139" s="652"/>
      <c r="E139" s="652"/>
      <c r="F139" s="653"/>
      <c r="G139" s="814">
        <v>0</v>
      </c>
      <c r="H139" s="28">
        <f t="shared" si="1"/>
        <v>0</v>
      </c>
      <c r="I139" s="45"/>
      <c r="J139" s="209"/>
    </row>
    <row r="140" spans="1:10" ht="15.75" customHeight="1" x14ac:dyDescent="0.25">
      <c r="A140" s="6" t="s">
        <v>393</v>
      </c>
      <c r="B140" s="655" t="s">
        <v>489</v>
      </c>
      <c r="C140" s="656"/>
      <c r="D140" s="656"/>
      <c r="E140" s="656"/>
      <c r="F140" s="657"/>
      <c r="G140" s="814">
        <v>0</v>
      </c>
      <c r="H140" s="28">
        <f t="shared" si="1"/>
        <v>0</v>
      </c>
      <c r="I140" s="4"/>
    </row>
    <row r="141" spans="1:10" x14ac:dyDescent="0.25">
      <c r="A141" s="6" t="s">
        <v>419</v>
      </c>
      <c r="B141" s="807" t="s">
        <v>490</v>
      </c>
      <c r="C141" s="807"/>
      <c r="D141" s="807"/>
      <c r="E141" s="807"/>
      <c r="F141" s="807"/>
      <c r="G141" s="814"/>
      <c r="H141" s="28">
        <f t="shared" si="1"/>
        <v>0</v>
      </c>
      <c r="I141" s="4"/>
    </row>
    <row r="142" spans="1:10" x14ac:dyDescent="0.25">
      <c r="A142" s="659" t="s">
        <v>195</v>
      </c>
      <c r="B142" s="659" t="s">
        <v>424</v>
      </c>
      <c r="C142" s="659"/>
      <c r="D142" s="659"/>
      <c r="E142" s="659"/>
      <c r="F142" s="659"/>
      <c r="G142" s="20"/>
      <c r="H142" s="32">
        <f>H135+H136+H137+H138+H139+H140+H141</f>
        <v>0</v>
      </c>
      <c r="I142" s="4"/>
    </row>
    <row r="143" spans="1:10" ht="15.75" customHeight="1" x14ac:dyDescent="0.25">
      <c r="A143" s="621" t="s">
        <v>372</v>
      </c>
      <c r="B143" s="622"/>
      <c r="C143" s="622"/>
      <c r="D143" s="622"/>
      <c r="E143" s="622"/>
      <c r="F143" s="622"/>
      <c r="G143" s="622"/>
      <c r="H143" s="622"/>
    </row>
    <row r="144" spans="1:10" x14ac:dyDescent="0.25">
      <c r="A144" s="625" t="s">
        <v>492</v>
      </c>
      <c r="B144" s="626"/>
      <c r="C144" s="626"/>
      <c r="D144" s="626"/>
      <c r="E144" s="626"/>
      <c r="F144" s="626"/>
      <c r="G144" s="626"/>
      <c r="H144" s="626"/>
    </row>
    <row r="145" spans="1:11" ht="86.25" customHeight="1" x14ac:dyDescent="0.25">
      <c r="A145" s="625" t="s">
        <v>493</v>
      </c>
      <c r="B145" s="626"/>
      <c r="C145" s="626"/>
      <c r="D145" s="626"/>
      <c r="E145" s="626"/>
      <c r="F145" s="626"/>
      <c r="G145" s="626"/>
      <c r="H145" s="626"/>
      <c r="J145" s="208"/>
      <c r="K145" s="209"/>
    </row>
    <row r="146" spans="1:11" ht="37.5" customHeight="1" x14ac:dyDescent="0.25">
      <c r="A146" s="625" t="s">
        <v>494</v>
      </c>
      <c r="B146" s="626"/>
      <c r="C146" s="626"/>
      <c r="D146" s="626"/>
      <c r="E146" s="626"/>
      <c r="F146" s="626"/>
      <c r="G146" s="626"/>
      <c r="H146" s="626"/>
    </row>
    <row r="147" spans="1:11" ht="37.5" customHeight="1" x14ac:dyDescent="0.25">
      <c r="A147" s="625" t="s">
        <v>495</v>
      </c>
      <c r="B147" s="626"/>
      <c r="C147" s="626"/>
      <c r="D147" s="626"/>
      <c r="E147" s="626"/>
      <c r="F147" s="626"/>
      <c r="G147" s="626"/>
      <c r="H147" s="626"/>
    </row>
    <row r="148" spans="1:11" ht="37.5" customHeight="1" x14ac:dyDescent="0.25">
      <c r="A148" s="625" t="s">
        <v>496</v>
      </c>
      <c r="B148" s="626"/>
      <c r="C148" s="626"/>
      <c r="D148" s="626"/>
      <c r="E148" s="626"/>
      <c r="F148" s="626"/>
      <c r="G148" s="626"/>
      <c r="H148" s="626"/>
    </row>
    <row r="150" spans="1:11" x14ac:dyDescent="0.25">
      <c r="A150" s="644" t="s">
        <v>497</v>
      </c>
      <c r="B150" s="644"/>
      <c r="C150" s="644"/>
      <c r="D150" s="644"/>
      <c r="E150" s="644"/>
      <c r="F150" s="644"/>
      <c r="G150" s="644"/>
      <c r="H150" s="644"/>
    </row>
    <row r="151" spans="1:11" ht="15" customHeight="1" x14ac:dyDescent="0.25">
      <c r="A151" s="38" t="s">
        <v>498</v>
      </c>
      <c r="B151" s="600" t="s">
        <v>403</v>
      </c>
      <c r="C151" s="601"/>
      <c r="D151" s="601"/>
      <c r="E151" s="601"/>
      <c r="F151" s="601"/>
      <c r="G151" s="602"/>
      <c r="H151" s="18" t="s">
        <v>469</v>
      </c>
    </row>
    <row r="152" spans="1:11" ht="15" customHeight="1" x14ac:dyDescent="0.25">
      <c r="A152" s="10" t="s">
        <v>382</v>
      </c>
      <c r="B152" s="707" t="s">
        <v>547</v>
      </c>
      <c r="C152" s="604"/>
      <c r="D152" s="604"/>
      <c r="E152" s="604"/>
      <c r="F152" s="604"/>
      <c r="G152" s="605"/>
      <c r="H152" s="11">
        <f>G152*H41</f>
        <v>0</v>
      </c>
      <c r="J152" s="15"/>
      <c r="K152" s="15"/>
    </row>
    <row r="153" spans="1:11" x14ac:dyDescent="0.25">
      <c r="A153" s="615" t="s">
        <v>195</v>
      </c>
      <c r="B153" s="616"/>
      <c r="C153" s="616"/>
      <c r="D153" s="616"/>
      <c r="E153" s="616"/>
      <c r="F153" s="616"/>
      <c r="G153" s="617"/>
      <c r="H153" s="32">
        <f>SUM(H152)</f>
        <v>0</v>
      </c>
      <c r="J153" s="15"/>
    </row>
    <row r="154" spans="1:11" x14ac:dyDescent="0.25">
      <c r="J154" s="15"/>
    </row>
    <row r="155" spans="1:11" x14ac:dyDescent="0.25">
      <c r="J155" s="15"/>
    </row>
    <row r="156" spans="1:11" ht="18" customHeight="1" x14ac:dyDescent="0.25">
      <c r="A156" s="703" t="s">
        <v>501</v>
      </c>
      <c r="B156" s="704"/>
      <c r="C156" s="704"/>
      <c r="D156" s="704"/>
      <c r="E156" s="704"/>
      <c r="F156" s="704"/>
      <c r="G156" s="704"/>
      <c r="H156" s="705"/>
      <c r="J156" s="15"/>
    </row>
    <row r="157" spans="1:11" ht="15.95" customHeight="1" x14ac:dyDescent="0.25">
      <c r="A157" s="38"/>
      <c r="B157" s="648" t="s">
        <v>403</v>
      </c>
      <c r="C157" s="648"/>
      <c r="D157" s="648"/>
      <c r="E157" s="648"/>
      <c r="F157" s="648"/>
      <c r="G157" s="648"/>
      <c r="H157" s="5" t="s">
        <v>460</v>
      </c>
    </row>
    <row r="158" spans="1:11" x14ac:dyDescent="0.25">
      <c r="A158" s="6" t="s">
        <v>483</v>
      </c>
      <c r="B158" s="662" t="s">
        <v>548</v>
      </c>
      <c r="C158" s="636"/>
      <c r="D158" s="636"/>
      <c r="E158" s="636"/>
      <c r="F158" s="636"/>
      <c r="G158" s="636"/>
      <c r="H158" s="11">
        <f>H142</f>
        <v>0</v>
      </c>
    </row>
    <row r="159" spans="1:11" x14ac:dyDescent="0.25">
      <c r="A159" s="6" t="s">
        <v>498</v>
      </c>
      <c r="B159" s="706" t="s">
        <v>549</v>
      </c>
      <c r="C159" s="641"/>
      <c r="D159" s="641"/>
      <c r="E159" s="641"/>
      <c r="F159" s="641"/>
      <c r="G159" s="641"/>
      <c r="H159" s="11">
        <f>H153</f>
        <v>0</v>
      </c>
    </row>
    <row r="160" spans="1:11" x14ac:dyDescent="0.25">
      <c r="A160" s="642" t="s">
        <v>195</v>
      </c>
      <c r="B160" s="642"/>
      <c r="C160" s="642"/>
      <c r="D160" s="642"/>
      <c r="E160" s="642"/>
      <c r="F160" s="642"/>
      <c r="G160" s="642"/>
      <c r="H160" s="33">
        <f>SUM(H158:H159)</f>
        <v>0</v>
      </c>
    </row>
    <row r="161" spans="1:10" ht="15.75" customHeight="1" x14ac:dyDescent="0.25"/>
    <row r="162" spans="1:10" ht="15.75" customHeight="1" x14ac:dyDescent="0.25"/>
    <row r="163" spans="1:10" ht="15.75" customHeight="1" x14ac:dyDescent="0.25">
      <c r="A163" s="565" t="s">
        <v>504</v>
      </c>
      <c r="B163" s="565"/>
      <c r="C163" s="565"/>
      <c r="D163" s="565"/>
      <c r="E163" s="565"/>
      <c r="F163" s="565"/>
      <c r="G163" s="565"/>
      <c r="H163" s="565"/>
    </row>
    <row r="164" spans="1:10" ht="15" customHeight="1" x14ac:dyDescent="0.25"/>
    <row r="165" spans="1:10" ht="15" customHeight="1" x14ac:dyDescent="0.25">
      <c r="A165" s="38">
        <v>5</v>
      </c>
      <c r="B165" s="600" t="s">
        <v>403</v>
      </c>
      <c r="C165" s="601"/>
      <c r="D165" s="601"/>
      <c r="E165" s="601"/>
      <c r="F165" s="601"/>
      <c r="G165" s="602"/>
      <c r="H165" s="18" t="s">
        <v>460</v>
      </c>
    </row>
    <row r="166" spans="1:10" ht="15" customHeight="1" x14ac:dyDescent="0.25">
      <c r="A166" s="10" t="s">
        <v>382</v>
      </c>
      <c r="B166" s="606" t="s">
        <v>505</v>
      </c>
      <c r="C166" s="607"/>
      <c r="D166" s="607"/>
      <c r="E166" s="607"/>
      <c r="F166" s="607"/>
      <c r="G166" s="608"/>
      <c r="H166" s="9">
        <f>Uniforme!O29</f>
        <v>0</v>
      </c>
    </row>
    <row r="167" spans="1:10" ht="15" customHeight="1" x14ac:dyDescent="0.25">
      <c r="A167" s="6" t="s">
        <v>385</v>
      </c>
      <c r="B167" s="609" t="s">
        <v>506</v>
      </c>
      <c r="C167" s="610"/>
      <c r="D167" s="610"/>
      <c r="E167" s="610"/>
      <c r="F167" s="610"/>
      <c r="G167" s="611"/>
      <c r="H167" s="21">
        <v>0</v>
      </c>
      <c r="J167" s="15"/>
    </row>
    <row r="168" spans="1:10" ht="15" customHeight="1" x14ac:dyDescent="0.25">
      <c r="A168" s="6" t="s">
        <v>387</v>
      </c>
      <c r="B168" s="609" t="s">
        <v>507</v>
      </c>
      <c r="C168" s="610"/>
      <c r="D168" s="610"/>
      <c r="E168" s="610"/>
      <c r="F168" s="610"/>
      <c r="G168" s="611"/>
      <c r="H168" s="21">
        <v>0</v>
      </c>
      <c r="J168" s="15"/>
    </row>
    <row r="169" spans="1:10" ht="15" customHeight="1" x14ac:dyDescent="0.25">
      <c r="A169" s="43" t="s">
        <v>389</v>
      </c>
      <c r="B169" s="612" t="s">
        <v>508</v>
      </c>
      <c r="C169" s="613"/>
      <c r="D169" s="613"/>
      <c r="E169" s="613"/>
      <c r="F169" s="613"/>
      <c r="G169" s="614"/>
      <c r="H169" s="21">
        <f>'EPI''s e EPC''s'!O37</f>
        <v>0</v>
      </c>
    </row>
    <row r="170" spans="1:10" ht="15" customHeight="1" x14ac:dyDescent="0.25">
      <c r="A170" s="43" t="s">
        <v>391</v>
      </c>
      <c r="B170" s="823" t="s">
        <v>509</v>
      </c>
      <c r="C170" s="824"/>
      <c r="D170" s="824"/>
      <c r="E170" s="824"/>
      <c r="F170" s="824"/>
      <c r="G170" s="825"/>
      <c r="H170" s="810">
        <v>0</v>
      </c>
      <c r="I170" s="23"/>
    </row>
    <row r="171" spans="1:10" ht="15" customHeight="1" x14ac:dyDescent="0.25">
      <c r="A171" s="642" t="s">
        <v>195</v>
      </c>
      <c r="B171" s="642"/>
      <c r="C171" s="642"/>
      <c r="D171" s="642"/>
      <c r="E171" s="642"/>
      <c r="F171" s="642"/>
      <c r="G171" s="642"/>
      <c r="H171" s="33">
        <f>SUM(H166:H170)</f>
        <v>0</v>
      </c>
    </row>
    <row r="172" spans="1:10" ht="15" customHeight="1" x14ac:dyDescent="0.25">
      <c r="A172" s="621" t="s">
        <v>372</v>
      </c>
      <c r="B172" s="622"/>
      <c r="C172" s="622"/>
      <c r="D172" s="622"/>
      <c r="E172" s="622"/>
      <c r="F172" s="622"/>
      <c r="G172" s="622"/>
      <c r="H172" s="622"/>
    </row>
    <row r="173" spans="1:10" ht="30" customHeight="1" x14ac:dyDescent="0.25">
      <c r="A173" s="625" t="s">
        <v>511</v>
      </c>
      <c r="B173" s="626"/>
      <c r="C173" s="626"/>
      <c r="D173" s="626"/>
      <c r="E173" s="626"/>
      <c r="F173" s="626"/>
      <c r="G173" s="626"/>
      <c r="H173" s="626"/>
    </row>
    <row r="174" spans="1:10" x14ac:dyDescent="0.25">
      <c r="A174" s="625" t="s">
        <v>512</v>
      </c>
      <c r="B174" s="626"/>
      <c r="C174" s="626"/>
      <c r="D174" s="626"/>
      <c r="E174" s="626"/>
      <c r="F174" s="626"/>
      <c r="G174" s="626"/>
      <c r="H174" s="626"/>
    </row>
    <row r="175" spans="1:10" ht="30" customHeight="1" x14ac:dyDescent="0.25">
      <c r="A175" s="625" t="s">
        <v>513</v>
      </c>
      <c r="B175" s="626"/>
      <c r="C175" s="626"/>
      <c r="D175" s="626"/>
      <c r="E175" s="626"/>
      <c r="F175" s="626"/>
      <c r="G175" s="626"/>
      <c r="H175" s="626"/>
    </row>
    <row r="176" spans="1:10" ht="15" customHeight="1" x14ac:dyDescent="0.25">
      <c r="A176" s="35"/>
      <c r="B176" s="35"/>
      <c r="C176" s="35"/>
      <c r="D176" s="35"/>
      <c r="E176" s="35"/>
      <c r="F176" s="35"/>
      <c r="G176" s="35"/>
      <c r="H176" s="22"/>
    </row>
    <row r="177" spans="1:11" ht="15" customHeight="1" x14ac:dyDescent="0.25">
      <c r="A177" s="35"/>
      <c r="B177" s="35"/>
      <c r="C177" s="35"/>
      <c r="D177" s="35"/>
      <c r="E177" s="35"/>
      <c r="F177" s="35"/>
      <c r="G177" s="35"/>
      <c r="H177" s="22"/>
      <c r="J177" s="24"/>
      <c r="K177" s="24"/>
    </row>
    <row r="178" spans="1:11" ht="15.75" customHeight="1" x14ac:dyDescent="0.25">
      <c r="A178" s="565" t="s">
        <v>514</v>
      </c>
      <c r="B178" s="565"/>
      <c r="C178" s="565"/>
      <c r="D178" s="565"/>
      <c r="E178" s="565"/>
      <c r="F178" s="565"/>
      <c r="G178" s="565"/>
      <c r="H178" s="565"/>
      <c r="I178" s="24"/>
      <c r="J178" s="24"/>
      <c r="K178" s="24"/>
    </row>
    <row r="179" spans="1:11" ht="15.75" customHeight="1" x14ac:dyDescent="0.25">
      <c r="A179" s="179"/>
      <c r="B179" s="179"/>
      <c r="C179" s="179"/>
      <c r="D179" s="179"/>
      <c r="E179" s="179"/>
      <c r="F179" s="179"/>
      <c r="G179" s="179"/>
      <c r="H179" s="179"/>
      <c r="I179" s="24"/>
      <c r="J179" s="24"/>
      <c r="K179" s="24"/>
    </row>
    <row r="180" spans="1:11" ht="15.75" customHeight="1" x14ac:dyDescent="0.25">
      <c r="A180" s="631" t="s">
        <v>515</v>
      </c>
      <c r="B180" s="631"/>
      <c r="C180" s="631"/>
      <c r="D180" s="631"/>
      <c r="E180" s="631"/>
      <c r="F180" s="631"/>
      <c r="G180" s="631"/>
      <c r="H180" s="213">
        <f>SUM(H41,H106,H120,H160,H171)</f>
        <v>0</v>
      </c>
      <c r="I180" s="24"/>
    </row>
    <row r="181" spans="1:11" ht="15.75" customHeight="1" x14ac:dyDescent="0.25">
      <c r="A181" s="631" t="s">
        <v>516</v>
      </c>
      <c r="B181" s="631"/>
      <c r="C181" s="631"/>
      <c r="D181" s="631"/>
      <c r="E181" s="631"/>
      <c r="F181" s="631"/>
      <c r="G181" s="631"/>
      <c r="H181" s="213">
        <f>H180+H184</f>
        <v>0</v>
      </c>
      <c r="I181" s="24"/>
    </row>
    <row r="182" spans="1:11" x14ac:dyDescent="0.25">
      <c r="A182" s="631" t="s">
        <v>517</v>
      </c>
      <c r="B182" s="631"/>
      <c r="C182" s="631"/>
      <c r="D182" s="631"/>
      <c r="E182" s="631"/>
      <c r="F182" s="631"/>
      <c r="G182" s="631"/>
      <c r="H182" s="214">
        <f>(H181+H185)/(1-G186)</f>
        <v>0</v>
      </c>
      <c r="I182" s="24"/>
    </row>
    <row r="183" spans="1:11" ht="15.75" customHeight="1" x14ac:dyDescent="0.25">
      <c r="A183" s="633" t="s">
        <v>403</v>
      </c>
      <c r="B183" s="633"/>
      <c r="C183" s="633"/>
      <c r="D183" s="633"/>
      <c r="E183" s="633"/>
      <c r="F183" s="633"/>
      <c r="G183" s="25" t="s">
        <v>468</v>
      </c>
      <c r="H183" s="211" t="s">
        <v>469</v>
      </c>
      <c r="I183" s="24"/>
      <c r="J183" s="29"/>
    </row>
    <row r="184" spans="1:11" ht="15.75" customHeight="1" x14ac:dyDescent="0.25">
      <c r="A184" s="40" t="s">
        <v>382</v>
      </c>
      <c r="B184" s="632" t="s">
        <v>518</v>
      </c>
      <c r="C184" s="632"/>
      <c r="D184" s="632"/>
      <c r="E184" s="632"/>
      <c r="F184" s="632"/>
      <c r="G184" s="820">
        <v>0</v>
      </c>
      <c r="H184" s="221">
        <f>H180*G184</f>
        <v>0</v>
      </c>
      <c r="I184" s="24"/>
    </row>
    <row r="185" spans="1:11" x14ac:dyDescent="0.25">
      <c r="A185" s="40" t="s">
        <v>385</v>
      </c>
      <c r="B185" s="632" t="s">
        <v>519</v>
      </c>
      <c r="C185" s="632"/>
      <c r="D185" s="632"/>
      <c r="E185" s="632"/>
      <c r="F185" s="632"/>
      <c r="G185" s="820">
        <v>0</v>
      </c>
      <c r="H185" s="221">
        <f>H181*G185</f>
        <v>0</v>
      </c>
      <c r="I185" s="24"/>
    </row>
    <row r="186" spans="1:11" x14ac:dyDescent="0.25">
      <c r="A186" s="27" t="s">
        <v>387</v>
      </c>
      <c r="B186" s="634" t="s">
        <v>520</v>
      </c>
      <c r="C186" s="634"/>
      <c r="D186" s="634"/>
      <c r="E186" s="634"/>
      <c r="F186" s="634"/>
      <c r="G186" s="821">
        <f>SUM(G187:G192)</f>
        <v>0</v>
      </c>
      <c r="H186" s="26"/>
      <c r="I186" s="15"/>
    </row>
    <row r="187" spans="1:11" x14ac:dyDescent="0.25">
      <c r="A187" s="684" t="s">
        <v>521</v>
      </c>
      <c r="B187" s="634" t="s">
        <v>522</v>
      </c>
      <c r="C187" s="634"/>
      <c r="D187" s="634"/>
      <c r="E187" s="634"/>
      <c r="F187" s="634"/>
      <c r="G187" s="821"/>
      <c r="H187" s="28"/>
    </row>
    <row r="188" spans="1:11" x14ac:dyDescent="0.25">
      <c r="A188" s="684"/>
      <c r="B188" s="39"/>
      <c r="C188" s="655" t="s">
        <v>523</v>
      </c>
      <c r="D188" s="656"/>
      <c r="E188" s="656"/>
      <c r="F188" s="657"/>
      <c r="G188" s="821">
        <v>0</v>
      </c>
      <c r="H188" s="26">
        <f>$H$182*G188</f>
        <v>0</v>
      </c>
      <c r="I188" s="15"/>
    </row>
    <row r="189" spans="1:11" x14ac:dyDescent="0.25">
      <c r="A189" s="684"/>
      <c r="B189" s="39"/>
      <c r="C189" s="655" t="s">
        <v>524</v>
      </c>
      <c r="D189" s="656"/>
      <c r="E189" s="656"/>
      <c r="F189" s="657"/>
      <c r="G189" s="821">
        <v>0</v>
      </c>
      <c r="H189" s="26">
        <f t="shared" ref="H189:H192" si="2">$H$182*G189</f>
        <v>0</v>
      </c>
      <c r="I189" s="15"/>
    </row>
    <row r="190" spans="1:11" x14ac:dyDescent="0.25">
      <c r="A190" s="684"/>
      <c r="B190" s="807" t="s">
        <v>525</v>
      </c>
      <c r="C190" s="807"/>
      <c r="D190" s="807"/>
      <c r="E190" s="807"/>
      <c r="F190" s="807"/>
      <c r="G190" s="821">
        <v>0</v>
      </c>
      <c r="H190" s="26">
        <f t="shared" si="2"/>
        <v>0</v>
      </c>
      <c r="I190" s="15"/>
    </row>
    <row r="191" spans="1:11" x14ac:dyDescent="0.25">
      <c r="A191" s="684"/>
      <c r="B191" s="650" t="s">
        <v>526</v>
      </c>
      <c r="C191" s="650"/>
      <c r="D191" s="650"/>
      <c r="E191" s="650"/>
      <c r="F191" s="650"/>
      <c r="G191" s="821">
        <v>0</v>
      </c>
      <c r="H191" s="26">
        <f t="shared" si="2"/>
        <v>0</v>
      </c>
      <c r="I191" s="15"/>
    </row>
    <row r="192" spans="1:11" x14ac:dyDescent="0.25">
      <c r="A192" s="684"/>
      <c r="B192" s="807" t="s">
        <v>527</v>
      </c>
      <c r="C192" s="807"/>
      <c r="D192" s="807"/>
      <c r="E192" s="807"/>
      <c r="F192" s="807"/>
      <c r="G192" s="821">
        <v>0</v>
      </c>
      <c r="H192" s="26">
        <f t="shared" si="2"/>
        <v>0</v>
      </c>
      <c r="I192" s="15"/>
    </row>
    <row r="193" spans="1:8" x14ac:dyDescent="0.25">
      <c r="A193" s="642" t="s">
        <v>195</v>
      </c>
      <c r="B193" s="642"/>
      <c r="C193" s="642"/>
      <c r="D193" s="642"/>
      <c r="E193" s="642"/>
      <c r="F193" s="642"/>
      <c r="G193" s="642"/>
      <c r="H193" s="33">
        <f>SUM(H184:H192)</f>
        <v>0</v>
      </c>
    </row>
    <row r="194" spans="1:8" ht="15.75" customHeight="1" x14ac:dyDescent="0.25">
      <c r="A194" s="621" t="s">
        <v>372</v>
      </c>
      <c r="B194" s="622"/>
      <c r="C194" s="622"/>
      <c r="D194" s="622"/>
      <c r="E194" s="622"/>
      <c r="F194" s="622"/>
      <c r="G194" s="622"/>
      <c r="H194" s="622"/>
    </row>
    <row r="195" spans="1:8" ht="48.75" customHeight="1" x14ac:dyDescent="0.25">
      <c r="A195" s="623" t="s">
        <v>529</v>
      </c>
      <c r="B195" s="624"/>
      <c r="C195" s="624"/>
      <c r="D195" s="624"/>
      <c r="E195" s="624"/>
      <c r="F195" s="624"/>
      <c r="G195" s="624"/>
      <c r="H195" s="624"/>
    </row>
    <row r="196" spans="1:8" x14ac:dyDescent="0.25">
      <c r="A196" s="625" t="s">
        <v>530</v>
      </c>
      <c r="B196" s="626"/>
      <c r="C196" s="626"/>
      <c r="D196" s="626"/>
      <c r="E196" s="626"/>
      <c r="F196" s="626"/>
      <c r="G196" s="626"/>
      <c r="H196" s="626"/>
    </row>
    <row r="197" spans="1:8" x14ac:dyDescent="0.25">
      <c r="A197" s="625"/>
      <c r="B197" s="626"/>
      <c r="C197" s="626"/>
      <c r="D197" s="626"/>
      <c r="E197" s="626"/>
      <c r="F197" s="626"/>
      <c r="G197" s="626"/>
      <c r="H197" s="626"/>
    </row>
    <row r="198" spans="1:8" x14ac:dyDescent="0.25">
      <c r="A198" s="627"/>
      <c r="B198" s="628"/>
      <c r="C198" s="628"/>
      <c r="D198" s="628"/>
      <c r="E198" s="628"/>
      <c r="F198" s="628"/>
      <c r="G198" s="628"/>
      <c r="H198" s="628"/>
    </row>
    <row r="199" spans="1:8" ht="15.75" x14ac:dyDescent="0.25">
      <c r="A199" s="697" t="s">
        <v>531</v>
      </c>
      <c r="B199" s="698"/>
      <c r="C199" s="698"/>
      <c r="D199" s="698"/>
      <c r="E199" s="698"/>
      <c r="F199" s="698"/>
      <c r="G199" s="698"/>
      <c r="H199" s="698"/>
    </row>
    <row r="200" spans="1:8" x14ac:dyDescent="0.25">
      <c r="A200" s="206"/>
      <c r="B200" s="207"/>
      <c r="C200" s="207"/>
      <c r="D200" s="207"/>
      <c r="E200" s="207"/>
      <c r="F200" s="207"/>
      <c r="G200" s="207"/>
      <c r="H200" s="207"/>
    </row>
    <row r="201" spans="1:8" ht="15" customHeight="1" x14ac:dyDescent="0.25">
      <c r="A201" s="215"/>
      <c r="B201" s="699" t="s">
        <v>532</v>
      </c>
      <c r="C201" s="699"/>
      <c r="D201" s="699"/>
      <c r="E201" s="699"/>
      <c r="F201" s="699"/>
      <c r="G201" s="699"/>
      <c r="H201" s="216" t="s">
        <v>381</v>
      </c>
    </row>
    <row r="202" spans="1:8" ht="15.75" customHeight="1" x14ac:dyDescent="0.25">
      <c r="A202" s="212" t="s">
        <v>382</v>
      </c>
      <c r="B202" s="696" t="s">
        <v>533</v>
      </c>
      <c r="C202" s="696"/>
      <c r="D202" s="696"/>
      <c r="E202" s="696"/>
      <c r="F202" s="696"/>
      <c r="G202" s="696"/>
      <c r="H202" s="217">
        <f>H41</f>
        <v>0</v>
      </c>
    </row>
    <row r="203" spans="1:8" ht="15.75" customHeight="1" x14ac:dyDescent="0.25">
      <c r="A203" s="212" t="s">
        <v>385</v>
      </c>
      <c r="B203" s="700" t="s">
        <v>534</v>
      </c>
      <c r="C203" s="701"/>
      <c r="D203" s="701"/>
      <c r="E203" s="701"/>
      <c r="F203" s="701"/>
      <c r="G203" s="702"/>
      <c r="H203" s="217">
        <f>H106</f>
        <v>0</v>
      </c>
    </row>
    <row r="204" spans="1:8" ht="15.75" customHeight="1" x14ac:dyDescent="0.25">
      <c r="A204" s="212" t="s">
        <v>387</v>
      </c>
      <c r="B204" s="700" t="s">
        <v>535</v>
      </c>
      <c r="C204" s="701"/>
      <c r="D204" s="701"/>
      <c r="E204" s="701"/>
      <c r="F204" s="701"/>
      <c r="G204" s="702"/>
      <c r="H204" s="217">
        <f>H120</f>
        <v>0</v>
      </c>
    </row>
    <row r="205" spans="1:8" ht="15.75" customHeight="1" x14ac:dyDescent="0.25">
      <c r="A205" s="212" t="s">
        <v>389</v>
      </c>
      <c r="B205" s="696" t="s">
        <v>536</v>
      </c>
      <c r="C205" s="696"/>
      <c r="D205" s="696"/>
      <c r="E205" s="696"/>
      <c r="F205" s="696"/>
      <c r="G205" s="696"/>
      <c r="H205" s="217">
        <f>H142</f>
        <v>0</v>
      </c>
    </row>
    <row r="206" spans="1:8" ht="15.75" customHeight="1" x14ac:dyDescent="0.25">
      <c r="A206" s="212" t="s">
        <v>391</v>
      </c>
      <c r="B206" s="696" t="s">
        <v>537</v>
      </c>
      <c r="C206" s="696"/>
      <c r="D206" s="696"/>
      <c r="E206" s="696"/>
      <c r="F206" s="696"/>
      <c r="G206" s="696"/>
      <c r="H206" s="217">
        <f>H171</f>
        <v>0</v>
      </c>
    </row>
    <row r="207" spans="1:8" ht="15.75" customHeight="1" x14ac:dyDescent="0.25">
      <c r="A207" s="695" t="s">
        <v>538</v>
      </c>
      <c r="B207" s="695"/>
      <c r="C207" s="695"/>
      <c r="D207" s="695"/>
      <c r="E207" s="695"/>
      <c r="F207" s="695"/>
      <c r="G207" s="695"/>
      <c r="H207" s="218">
        <f>SUM(H202:H206)</f>
        <v>0</v>
      </c>
    </row>
    <row r="208" spans="1:8" ht="15.75" customHeight="1" x14ac:dyDescent="0.25">
      <c r="A208" s="212" t="s">
        <v>393</v>
      </c>
      <c r="B208" s="696" t="s">
        <v>539</v>
      </c>
      <c r="C208" s="696"/>
      <c r="D208" s="696"/>
      <c r="E208" s="696"/>
      <c r="F208" s="696"/>
      <c r="G208" s="696"/>
      <c r="H208" s="217">
        <f>H193</f>
        <v>0</v>
      </c>
    </row>
    <row r="209" spans="1:8" ht="15.75" customHeight="1" x14ac:dyDescent="0.25">
      <c r="A209" s="695" t="s">
        <v>540</v>
      </c>
      <c r="B209" s="695"/>
      <c r="C209" s="695"/>
      <c r="D209" s="695"/>
      <c r="E209" s="695"/>
      <c r="F209" s="695"/>
      <c r="G209" s="695"/>
      <c r="H209" s="218">
        <f>H207+H208</f>
        <v>0</v>
      </c>
    </row>
    <row r="210" spans="1:8" ht="15.75" customHeight="1" x14ac:dyDescent="0.25">
      <c r="A210" s="695" t="s">
        <v>541</v>
      </c>
      <c r="B210" s="695"/>
      <c r="C210" s="695"/>
      <c r="D210" s="695"/>
      <c r="E210" s="695"/>
      <c r="F210" s="695"/>
      <c r="G210" s="695"/>
      <c r="H210" s="220">
        <v>1</v>
      </c>
    </row>
    <row r="211" spans="1:8" ht="15.75" customHeight="1" x14ac:dyDescent="0.25">
      <c r="A211" s="695" t="s">
        <v>542</v>
      </c>
      <c r="B211" s="695"/>
      <c r="C211" s="695"/>
      <c r="D211" s="695"/>
      <c r="E211" s="695"/>
      <c r="F211" s="695"/>
      <c r="G211" s="695"/>
      <c r="H211" s="219">
        <f>H209*H210</f>
        <v>0</v>
      </c>
    </row>
    <row r="212" spans="1:8" ht="15.75" customHeight="1" x14ac:dyDescent="0.25">
      <c r="A212" s="695" t="s">
        <v>543</v>
      </c>
      <c r="B212" s="695"/>
      <c r="C212" s="695"/>
      <c r="D212" s="695"/>
      <c r="E212" s="695"/>
      <c r="F212" s="695"/>
      <c r="G212" s="695"/>
      <c r="H212" s="219">
        <f>H211*12</f>
        <v>0</v>
      </c>
    </row>
    <row r="213" spans="1:8" x14ac:dyDescent="0.25">
      <c r="A213"/>
      <c r="B213"/>
      <c r="C213"/>
      <c r="D213"/>
      <c r="E213"/>
      <c r="F213"/>
      <c r="G213"/>
      <c r="H213"/>
    </row>
    <row r="214" spans="1:8" x14ac:dyDescent="0.25">
      <c r="A214"/>
      <c r="B214"/>
      <c r="C214"/>
      <c r="D214"/>
      <c r="E214"/>
      <c r="F214"/>
      <c r="G214"/>
      <c r="H214"/>
    </row>
    <row r="215" spans="1:8" x14ac:dyDescent="0.25">
      <c r="A215"/>
      <c r="B215"/>
      <c r="C215"/>
      <c r="D215"/>
      <c r="E215"/>
      <c r="F215"/>
      <c r="G215"/>
      <c r="H215"/>
    </row>
    <row r="216" spans="1:8" x14ac:dyDescent="0.25">
      <c r="A216"/>
      <c r="B216"/>
      <c r="C216"/>
      <c r="D216"/>
      <c r="E216"/>
      <c r="F216"/>
      <c r="G216"/>
      <c r="H216"/>
    </row>
    <row r="217" spans="1:8" x14ac:dyDescent="0.25">
      <c r="A217"/>
      <c r="B217"/>
      <c r="C217"/>
      <c r="D217"/>
      <c r="E217"/>
      <c r="F217"/>
      <c r="G217"/>
      <c r="H217"/>
    </row>
    <row r="218" spans="1:8" x14ac:dyDescent="0.25">
      <c r="A218"/>
      <c r="B218"/>
      <c r="C218"/>
      <c r="D218"/>
      <c r="E218"/>
      <c r="F218"/>
      <c r="G218"/>
      <c r="H218"/>
    </row>
  </sheetData>
  <sheetProtection algorithmName="SHA-512" hashValue="xLejab2v8BkNWCTCgqzOpUaYVRI5ML0cc56vKeqrYjXeo5nIqa6Auw+WXeoWi4yvZFHEYjr6pGez39YjWHcDhg==" saltValue="rwviYrKxWDz9Xpqv7ocYTQ==" spinCount="100000" sheet="1" objects="1" scenarios="1"/>
  <mergeCells count="189">
    <mergeCell ref="G17:H17"/>
    <mergeCell ref="G20:H20"/>
    <mergeCell ref="A12:H12"/>
    <mergeCell ref="A5:H5"/>
    <mergeCell ref="A6:H6"/>
    <mergeCell ref="A8:H8"/>
    <mergeCell ref="A9:H9"/>
    <mergeCell ref="A10:H10"/>
    <mergeCell ref="A11:H11"/>
    <mergeCell ref="G24:H24"/>
    <mergeCell ref="A25:H25"/>
    <mergeCell ref="A26:H26"/>
    <mergeCell ref="A27:H27"/>
    <mergeCell ref="A28:H28"/>
    <mergeCell ref="B24:F24"/>
    <mergeCell ref="G21:H21"/>
    <mergeCell ref="G22:H22"/>
    <mergeCell ref="G23:H23"/>
    <mergeCell ref="B21:F21"/>
    <mergeCell ref="B22:F22"/>
    <mergeCell ref="B23:F23"/>
    <mergeCell ref="B36:F36"/>
    <mergeCell ref="B37:F37"/>
    <mergeCell ref="B38:F38"/>
    <mergeCell ref="B39:F39"/>
    <mergeCell ref="B40:F40"/>
    <mergeCell ref="A41:G41"/>
    <mergeCell ref="A29:H29"/>
    <mergeCell ref="A30:H30"/>
    <mergeCell ref="A31:H31"/>
    <mergeCell ref="A32:H32"/>
    <mergeCell ref="B34:F34"/>
    <mergeCell ref="B35:F35"/>
    <mergeCell ref="A56:F56"/>
    <mergeCell ref="A49:H49"/>
    <mergeCell ref="A51:H51"/>
    <mergeCell ref="B53:F53"/>
    <mergeCell ref="B54:F54"/>
    <mergeCell ref="B55:F55"/>
    <mergeCell ref="A42:H42"/>
    <mergeCell ref="A43:H43"/>
    <mergeCell ref="A44:H44"/>
    <mergeCell ref="A46:H46"/>
    <mergeCell ref="A47:H47"/>
    <mergeCell ref="A48:H48"/>
    <mergeCell ref="B64:F64"/>
    <mergeCell ref="B65:F65"/>
    <mergeCell ref="B66:F66"/>
    <mergeCell ref="B67:F67"/>
    <mergeCell ref="B68:F68"/>
    <mergeCell ref="B69:F69"/>
    <mergeCell ref="A57:H57"/>
    <mergeCell ref="A58:H58"/>
    <mergeCell ref="A59:H59"/>
    <mergeCell ref="A61:H61"/>
    <mergeCell ref="A76:H76"/>
    <mergeCell ref="A77:H77"/>
    <mergeCell ref="A78:H78"/>
    <mergeCell ref="A79:H79"/>
    <mergeCell ref="A80:H80"/>
    <mergeCell ref="A81:H81"/>
    <mergeCell ref="B70:F70"/>
    <mergeCell ref="B71:F71"/>
    <mergeCell ref="B72:F72"/>
    <mergeCell ref="A73:F73"/>
    <mergeCell ref="A74:H74"/>
    <mergeCell ref="A75:H75"/>
    <mergeCell ref="B90:F90"/>
    <mergeCell ref="B91:F91"/>
    <mergeCell ref="B92:F92"/>
    <mergeCell ref="B93:F93"/>
    <mergeCell ref="J93:K93"/>
    <mergeCell ref="B94:F94"/>
    <mergeCell ref="A82:H82"/>
    <mergeCell ref="A83:H83"/>
    <mergeCell ref="A86:H86"/>
    <mergeCell ref="J86:K86"/>
    <mergeCell ref="B88:F88"/>
    <mergeCell ref="B89:F89"/>
    <mergeCell ref="B102:G102"/>
    <mergeCell ref="B103:G103"/>
    <mergeCell ref="B104:G104"/>
    <mergeCell ref="B105:G105"/>
    <mergeCell ref="A106:G106"/>
    <mergeCell ref="A109:H109"/>
    <mergeCell ref="A95:G95"/>
    <mergeCell ref="A96:H96"/>
    <mergeCell ref="A97:H97"/>
    <mergeCell ref="A98:H98"/>
    <mergeCell ref="A99:H99"/>
    <mergeCell ref="A101:H101"/>
    <mergeCell ref="B117:F117"/>
    <mergeCell ref="B118:F118"/>
    <mergeCell ref="B119:F119"/>
    <mergeCell ref="A120:F120"/>
    <mergeCell ref="A121:H121"/>
    <mergeCell ref="A122:H122"/>
    <mergeCell ref="A111:G111"/>
    <mergeCell ref="A112:G112"/>
    <mergeCell ref="B113:F113"/>
    <mergeCell ref="B114:F114"/>
    <mergeCell ref="B115:F115"/>
    <mergeCell ref="B116:F116"/>
    <mergeCell ref="A133:G133"/>
    <mergeCell ref="B134:F134"/>
    <mergeCell ref="B135:F135"/>
    <mergeCell ref="B136:F136"/>
    <mergeCell ref="B137:F137"/>
    <mergeCell ref="B138:F138"/>
    <mergeCell ref="A123:H123"/>
    <mergeCell ref="A124:H124"/>
    <mergeCell ref="A127:H127"/>
    <mergeCell ref="A128:H128"/>
    <mergeCell ref="A129:H129"/>
    <mergeCell ref="A131:H131"/>
    <mergeCell ref="A145:H145"/>
    <mergeCell ref="A146:H146"/>
    <mergeCell ref="A147:H147"/>
    <mergeCell ref="A148:H148"/>
    <mergeCell ref="A150:H150"/>
    <mergeCell ref="B151:G151"/>
    <mergeCell ref="B139:F139"/>
    <mergeCell ref="B140:F140"/>
    <mergeCell ref="B141:F141"/>
    <mergeCell ref="A142:F142"/>
    <mergeCell ref="A143:H143"/>
    <mergeCell ref="A144:H144"/>
    <mergeCell ref="A160:G160"/>
    <mergeCell ref="A163:H163"/>
    <mergeCell ref="B165:G165"/>
    <mergeCell ref="B166:G166"/>
    <mergeCell ref="B167:G167"/>
    <mergeCell ref="B168:G168"/>
    <mergeCell ref="B152:G152"/>
    <mergeCell ref="A153:G153"/>
    <mergeCell ref="A156:H156"/>
    <mergeCell ref="B157:G157"/>
    <mergeCell ref="B158:G158"/>
    <mergeCell ref="B159:G159"/>
    <mergeCell ref="A175:H175"/>
    <mergeCell ref="A178:H178"/>
    <mergeCell ref="A180:G180"/>
    <mergeCell ref="A181:G181"/>
    <mergeCell ref="A182:G182"/>
    <mergeCell ref="A183:F183"/>
    <mergeCell ref="B169:G169"/>
    <mergeCell ref="B170:G170"/>
    <mergeCell ref="A171:G171"/>
    <mergeCell ref="A172:H172"/>
    <mergeCell ref="A173:H173"/>
    <mergeCell ref="A174:H174"/>
    <mergeCell ref="A195:H195"/>
    <mergeCell ref="A196:H196"/>
    <mergeCell ref="A197:H197"/>
    <mergeCell ref="A198:H198"/>
    <mergeCell ref="B184:F184"/>
    <mergeCell ref="B185:F185"/>
    <mergeCell ref="B186:F186"/>
    <mergeCell ref="A187:A192"/>
    <mergeCell ref="B187:F187"/>
    <mergeCell ref="C188:F188"/>
    <mergeCell ref="C189:F189"/>
    <mergeCell ref="B190:F190"/>
    <mergeCell ref="B191:F191"/>
    <mergeCell ref="B192:F192"/>
    <mergeCell ref="A212:G212"/>
    <mergeCell ref="A14:H14"/>
    <mergeCell ref="A15:H15"/>
    <mergeCell ref="A16:H16"/>
    <mergeCell ref="B17:F17"/>
    <mergeCell ref="B18:F18"/>
    <mergeCell ref="G18:H18"/>
    <mergeCell ref="B19:F19"/>
    <mergeCell ref="G19:H19"/>
    <mergeCell ref="B20:F20"/>
    <mergeCell ref="B206:G206"/>
    <mergeCell ref="A207:G207"/>
    <mergeCell ref="B208:G208"/>
    <mergeCell ref="A209:G209"/>
    <mergeCell ref="A210:G210"/>
    <mergeCell ref="A211:G211"/>
    <mergeCell ref="A199:H199"/>
    <mergeCell ref="B201:G201"/>
    <mergeCell ref="B202:G202"/>
    <mergeCell ref="B203:G203"/>
    <mergeCell ref="B204:G204"/>
    <mergeCell ref="B205:G205"/>
    <mergeCell ref="A193:G193"/>
    <mergeCell ref="A194:H194"/>
  </mergeCells>
  <printOptions horizontalCentered="1" verticalCentered="1"/>
  <pageMargins left="0.51181102362204722" right="0.51181102362204722" top="0.74803149606299213" bottom="0.74803149606299213" header="0.31496062992125984" footer="0.31496062992125984"/>
  <pageSetup paperSize="9" scale="72" fitToWidth="0" fitToHeight="0" orientation="portrait" r:id="rId1"/>
  <headerFooter alignWithMargins="0">
    <oddFooter>&amp;A</oddFooter>
  </headerFooter>
  <rowBreaks count="3" manualBreakCount="3">
    <brk id="50" max="7" man="1"/>
    <brk id="99" max="7" man="1"/>
    <brk id="148" max="7" man="1"/>
  </rowBreaks>
  <drawing r:id="rId2"/>
  <legacyDrawing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M47"/>
  <sheetViews>
    <sheetView showGridLines="0" zoomScaleNormal="100" zoomScaleSheetLayoutView="90" workbookViewId="0">
      <selection activeCell="J1" sqref="J1"/>
    </sheetView>
  </sheetViews>
  <sheetFormatPr defaultRowHeight="15" x14ac:dyDescent="0.25"/>
  <cols>
    <col min="1" max="1" width="7.7109375" style="421" customWidth="1"/>
    <col min="2" max="2" width="6.5703125" style="410" customWidth="1"/>
    <col min="3" max="3" width="44.5703125" style="410" customWidth="1"/>
    <col min="4" max="4" width="18.140625" style="422" customWidth="1"/>
    <col min="5" max="6" width="15.7109375" style="422" customWidth="1"/>
    <col min="7" max="7" width="15.7109375" style="410" customWidth="1"/>
    <col min="8" max="8" width="19" style="410" customWidth="1"/>
    <col min="9" max="9" width="3.140625" style="410" customWidth="1"/>
    <col min="10" max="10" width="18.85546875" style="410" bestFit="1" customWidth="1"/>
    <col min="11" max="11" width="13.28515625" style="410" customWidth="1"/>
    <col min="12" max="12" width="39.5703125" style="410" customWidth="1"/>
    <col min="13" max="13" width="34" style="410" customWidth="1"/>
    <col min="14" max="16384" width="9.140625" style="410"/>
  </cols>
  <sheetData>
    <row r="1" spans="1:11" ht="15" customHeight="1" x14ac:dyDescent="0.35">
      <c r="A1" s="408"/>
      <c r="B1" s="408"/>
      <c r="C1" s="408"/>
      <c r="D1" s="409"/>
      <c r="E1" s="409"/>
      <c r="F1" s="409"/>
      <c r="G1" s="408"/>
      <c r="H1" s="408"/>
      <c r="I1" s="408"/>
    </row>
    <row r="2" spans="1:11" ht="15" customHeight="1" x14ac:dyDescent="0.25">
      <c r="A2" s="411"/>
      <c r="B2" s="411"/>
      <c r="C2" s="411"/>
      <c r="D2" s="412"/>
      <c r="E2" s="412"/>
      <c r="F2" s="412"/>
      <c r="G2" s="411"/>
      <c r="H2" s="411"/>
      <c r="I2" s="411"/>
    </row>
    <row r="3" spans="1:11" ht="15" customHeight="1" x14ac:dyDescent="0.25">
      <c r="A3" s="411"/>
      <c r="B3" s="411"/>
      <c r="C3" s="411"/>
      <c r="D3" s="412"/>
      <c r="E3" s="412"/>
      <c r="F3" s="412"/>
      <c r="G3" s="411"/>
      <c r="H3" s="411"/>
    </row>
    <row r="4" spans="1:11" ht="15" customHeight="1" x14ac:dyDescent="0.3">
      <c r="A4" s="413"/>
      <c r="B4" s="413"/>
      <c r="C4" s="413"/>
      <c r="D4" s="414"/>
      <c r="E4" s="414"/>
      <c r="F4" s="414"/>
      <c r="G4" s="413"/>
      <c r="H4" s="413"/>
    </row>
    <row r="5" spans="1:11" ht="15" customHeight="1" x14ac:dyDescent="0.25">
      <c r="A5" s="725" t="s">
        <v>0</v>
      </c>
      <c r="B5" s="725"/>
      <c r="C5" s="725"/>
      <c r="D5" s="725"/>
      <c r="E5" s="725"/>
      <c r="F5" s="725"/>
      <c r="G5" s="725"/>
      <c r="H5" s="725"/>
      <c r="I5" s="415"/>
    </row>
    <row r="6" spans="1:11" ht="15" customHeight="1" x14ac:dyDescent="0.25">
      <c r="A6" s="725" t="s">
        <v>1</v>
      </c>
      <c r="B6" s="725"/>
      <c r="C6" s="725"/>
      <c r="D6" s="725"/>
      <c r="E6" s="725"/>
      <c r="F6" s="725"/>
      <c r="G6" s="725"/>
      <c r="H6" s="725"/>
      <c r="I6" s="415"/>
    </row>
    <row r="7" spans="1:11" ht="15" customHeight="1" x14ac:dyDescent="0.25">
      <c r="A7" s="411"/>
      <c r="B7" s="411"/>
      <c r="C7" s="411"/>
      <c r="D7" s="412"/>
      <c r="E7" s="412"/>
      <c r="F7" s="412"/>
      <c r="G7" s="411"/>
      <c r="H7" s="411"/>
      <c r="I7" s="411"/>
    </row>
    <row r="8" spans="1:11" ht="19.5" customHeight="1" x14ac:dyDescent="0.25">
      <c r="A8" s="484" t="s">
        <v>2</v>
      </c>
      <c r="B8" s="484"/>
      <c r="C8" s="484"/>
      <c r="D8" s="484"/>
      <c r="E8" s="484"/>
      <c r="F8" s="484"/>
      <c r="G8" s="484"/>
      <c r="H8" s="484"/>
      <c r="I8" s="389"/>
    </row>
    <row r="9" spans="1:11" ht="15" customHeight="1" x14ac:dyDescent="0.25">
      <c r="A9" s="416"/>
      <c r="B9" s="416"/>
      <c r="C9" s="416"/>
      <c r="D9" s="417"/>
      <c r="E9" s="417"/>
      <c r="F9" s="417"/>
      <c r="G9" s="416"/>
      <c r="H9" s="416"/>
      <c r="I9" s="416"/>
    </row>
    <row r="10" spans="1:11" ht="15" customHeight="1" x14ac:dyDescent="0.25">
      <c r="A10" s="726" t="str">
        <f>RESUMO!A10</f>
        <v>Pregão Eletrônico 12/2023</v>
      </c>
      <c r="B10" s="726"/>
      <c r="C10" s="726"/>
      <c r="D10" s="726"/>
      <c r="E10" s="726"/>
      <c r="F10" s="726"/>
      <c r="G10" s="726"/>
      <c r="H10" s="726"/>
      <c r="I10" s="418"/>
    </row>
    <row r="11" spans="1:11" ht="15" customHeight="1" x14ac:dyDescent="0.25">
      <c r="A11" s="726" t="str">
        <f>RESUMO!A11</f>
        <v>PROCESSO Nº. :  21000.001352/2023-57</v>
      </c>
      <c r="B11" s="726"/>
      <c r="C11" s="726"/>
      <c r="D11" s="726"/>
      <c r="E11" s="726"/>
      <c r="F11" s="726"/>
      <c r="G11" s="726"/>
      <c r="H11" s="726"/>
      <c r="I11" s="418"/>
    </row>
    <row r="12" spans="1:11" ht="30" customHeight="1" x14ac:dyDescent="0.3">
      <c r="A12" s="419"/>
      <c r="B12" s="419"/>
      <c r="C12" s="419"/>
      <c r="D12" s="420"/>
      <c r="E12" s="420"/>
      <c r="F12" s="420"/>
      <c r="G12" s="419"/>
      <c r="H12" s="419"/>
    </row>
    <row r="13" spans="1:11" ht="19.5" customHeight="1" x14ac:dyDescent="0.25">
      <c r="A13" s="484" t="s">
        <v>553</v>
      </c>
      <c r="B13" s="484"/>
      <c r="C13" s="484"/>
      <c r="D13" s="484"/>
      <c r="E13" s="484"/>
      <c r="F13" s="484"/>
      <c r="G13" s="484"/>
      <c r="H13" s="484"/>
    </row>
    <row r="14" spans="1:11" ht="30" customHeight="1" x14ac:dyDescent="0.25"/>
    <row r="15" spans="1:11" ht="30" customHeight="1" x14ac:dyDescent="0.25">
      <c r="A15" s="730" t="s">
        <v>43</v>
      </c>
      <c r="B15" s="730"/>
      <c r="C15" s="731">
        <f>RESUMO!C16</f>
        <v>0</v>
      </c>
      <c r="D15" s="732"/>
      <c r="E15" s="732"/>
      <c r="F15" s="733"/>
      <c r="G15" s="367" t="s">
        <v>44</v>
      </c>
      <c r="H15" s="423" t="str">
        <f>IF(RESUMO!J16="","",RESUMO!J16)</f>
        <v>00/00/0000</v>
      </c>
      <c r="K15" s="424"/>
    </row>
    <row r="16" spans="1:11" ht="30" customHeight="1" x14ac:dyDescent="0.25">
      <c r="A16" s="379"/>
      <c r="B16" s="379"/>
    </row>
    <row r="17" spans="1:13" ht="30" customHeight="1" x14ac:dyDescent="0.25">
      <c r="A17" s="424"/>
      <c r="B17" s="367" t="s">
        <v>45</v>
      </c>
      <c r="C17" s="54">
        <f>RESUMO!C18</f>
        <v>0</v>
      </c>
      <c r="D17" s="403" t="s">
        <v>46</v>
      </c>
      <c r="E17" s="734">
        <f>RESUMO!E18</f>
        <v>0</v>
      </c>
      <c r="F17" s="735"/>
      <c r="G17" s="367" t="s">
        <v>554</v>
      </c>
      <c r="H17" s="423" t="e">
        <f>IF(RESUMO!J18="","",RESUMO!J18)</f>
        <v>#VALUE!</v>
      </c>
      <c r="K17" s="425"/>
    </row>
    <row r="18" spans="1:13" ht="30" customHeight="1" x14ac:dyDescent="0.25">
      <c r="B18" s="736"/>
      <c r="C18" s="736"/>
      <c r="D18" s="426"/>
      <c r="E18" s="427"/>
      <c r="F18" s="427"/>
      <c r="G18" s="237"/>
    </row>
    <row r="19" spans="1:13" ht="37.5" customHeight="1" x14ac:dyDescent="0.25">
      <c r="A19" s="402" t="s">
        <v>56</v>
      </c>
      <c r="B19" s="402" t="s">
        <v>57</v>
      </c>
      <c r="C19" s="401" t="s">
        <v>555</v>
      </c>
      <c r="D19" s="401" t="s">
        <v>225</v>
      </c>
      <c r="E19" s="404" t="s">
        <v>556</v>
      </c>
      <c r="F19" s="404" t="s">
        <v>557</v>
      </c>
      <c r="G19" s="405" t="s">
        <v>558</v>
      </c>
      <c r="H19" s="405" t="s">
        <v>559</v>
      </c>
    </row>
    <row r="20" spans="1:13" ht="30" customHeight="1" x14ac:dyDescent="0.25">
      <c r="A20" s="727">
        <v>1</v>
      </c>
      <c r="B20" s="727">
        <v>1</v>
      </c>
      <c r="C20" s="298" t="s">
        <v>560</v>
      </c>
      <c r="D20" s="54" t="s">
        <v>561</v>
      </c>
      <c r="E20" s="449">
        <f>'Custo por m2'!C19</f>
        <v>1771.2320000000004</v>
      </c>
      <c r="F20" s="407" t="e">
        <f>'Custo por m2'!K19</f>
        <v>#DIV/0!</v>
      </c>
      <c r="G20" s="451" t="e">
        <f t="shared" ref="G20:G35" si="0">F20*E20</f>
        <v>#DIV/0!</v>
      </c>
      <c r="H20" s="451" t="e">
        <f>G20*12</f>
        <v>#DIV/0!</v>
      </c>
      <c r="I20" s="429"/>
      <c r="J20" s="430"/>
    </row>
    <row r="21" spans="1:13" ht="30" customHeight="1" x14ac:dyDescent="0.25">
      <c r="A21" s="728"/>
      <c r="B21" s="728"/>
      <c r="C21" s="298" t="s">
        <v>562</v>
      </c>
      <c r="D21" s="54" t="s">
        <v>561</v>
      </c>
      <c r="E21" s="449">
        <f>'Custo por m2'!C20</f>
        <v>1529.0260000000001</v>
      </c>
      <c r="F21" s="407" t="e">
        <f>'Custo por m2'!K20</f>
        <v>#DIV/0!</v>
      </c>
      <c r="G21" s="451" t="e">
        <f t="shared" si="0"/>
        <v>#DIV/0!</v>
      </c>
      <c r="H21" s="451" t="e">
        <f t="shared" ref="H21:H35" si="1">G21*12</f>
        <v>#DIV/0!</v>
      </c>
      <c r="I21" s="429"/>
      <c r="J21" s="430"/>
    </row>
    <row r="22" spans="1:13" ht="30" customHeight="1" x14ac:dyDescent="0.25">
      <c r="A22" s="728"/>
      <c r="B22" s="728"/>
      <c r="C22" s="298" t="s">
        <v>563</v>
      </c>
      <c r="D22" s="54" t="s">
        <v>561</v>
      </c>
      <c r="E22" s="449">
        <f>'Custo por m2'!C21</f>
        <v>453.74799999999999</v>
      </c>
      <c r="F22" s="407" t="e">
        <f>'Custo por m2'!K21</f>
        <v>#DIV/0!</v>
      </c>
      <c r="G22" s="451" t="e">
        <f t="shared" si="0"/>
        <v>#DIV/0!</v>
      </c>
      <c r="H22" s="451" t="e">
        <f t="shared" si="1"/>
        <v>#DIV/0!</v>
      </c>
      <c r="I22" s="429"/>
      <c r="J22" s="430"/>
    </row>
    <row r="23" spans="1:13" ht="30" customHeight="1" x14ac:dyDescent="0.25">
      <c r="A23" s="728"/>
      <c r="B23" s="728"/>
      <c r="C23" s="298" t="s">
        <v>564</v>
      </c>
      <c r="D23" s="54" t="s">
        <v>561</v>
      </c>
      <c r="E23" s="449">
        <f>'Custo por m2'!C22</f>
        <v>63.89</v>
      </c>
      <c r="F23" s="407" t="e">
        <f>'Custo por m2'!K22</f>
        <v>#DIV/0!</v>
      </c>
      <c r="G23" s="451" t="e">
        <f t="shared" si="0"/>
        <v>#DIV/0!</v>
      </c>
      <c r="H23" s="451" t="e">
        <f t="shared" si="1"/>
        <v>#DIV/0!</v>
      </c>
      <c r="I23" s="429"/>
      <c r="J23" s="430"/>
    </row>
    <row r="24" spans="1:13" ht="30" customHeight="1" x14ac:dyDescent="0.25">
      <c r="A24" s="728"/>
      <c r="B24" s="728"/>
      <c r="C24" s="298" t="s">
        <v>565</v>
      </c>
      <c r="D24" s="54" t="s">
        <v>561</v>
      </c>
      <c r="E24" s="449">
        <f>'Custo por m2'!C23</f>
        <v>574.06000000000006</v>
      </c>
      <c r="F24" s="407" t="e">
        <f>'Custo por m2'!K23</f>
        <v>#DIV/0!</v>
      </c>
      <c r="G24" s="451" t="e">
        <f t="shared" si="0"/>
        <v>#DIV/0!</v>
      </c>
      <c r="H24" s="451" t="e">
        <f t="shared" si="1"/>
        <v>#DIV/0!</v>
      </c>
      <c r="I24" s="429"/>
      <c r="J24" s="430"/>
    </row>
    <row r="25" spans="1:13" ht="30" customHeight="1" x14ac:dyDescent="0.25">
      <c r="A25" s="728"/>
      <c r="B25" s="728"/>
      <c r="C25" s="298" t="s">
        <v>566</v>
      </c>
      <c r="D25" s="54" t="s">
        <v>561</v>
      </c>
      <c r="E25" s="449">
        <f>'Custo por m2'!C24</f>
        <v>432.06200000000001</v>
      </c>
      <c r="F25" s="407" t="e">
        <f>'Custo por m2'!K24</f>
        <v>#DIV/0!</v>
      </c>
      <c r="G25" s="451" t="e">
        <f t="shared" si="0"/>
        <v>#DIV/0!</v>
      </c>
      <c r="H25" s="451" t="e">
        <f t="shared" si="1"/>
        <v>#DIV/0!</v>
      </c>
      <c r="I25" s="429"/>
      <c r="J25" s="430"/>
    </row>
    <row r="26" spans="1:13" ht="30" customHeight="1" x14ac:dyDescent="0.25">
      <c r="A26" s="728"/>
      <c r="B26" s="728"/>
      <c r="C26" s="298" t="s">
        <v>567</v>
      </c>
      <c r="D26" s="54" t="s">
        <v>561</v>
      </c>
      <c r="E26" s="449">
        <f>'Custo por m2'!C25</f>
        <v>683.59768499999996</v>
      </c>
      <c r="F26" s="407" t="e">
        <f>'Custo por m2'!K25</f>
        <v>#DIV/0!</v>
      </c>
      <c r="G26" s="451" t="e">
        <f t="shared" si="0"/>
        <v>#DIV/0!</v>
      </c>
      <c r="H26" s="451" t="e">
        <f t="shared" si="1"/>
        <v>#DIV/0!</v>
      </c>
      <c r="I26" s="429"/>
      <c r="J26" s="431"/>
    </row>
    <row r="27" spans="1:13" ht="30" customHeight="1" x14ac:dyDescent="0.25">
      <c r="A27" s="728"/>
      <c r="B27" s="728"/>
      <c r="C27" s="298" t="s">
        <v>568</v>
      </c>
      <c r="D27" s="54" t="s">
        <v>561</v>
      </c>
      <c r="E27" s="449">
        <f>'Custo por m2'!C26</f>
        <v>3842.4840000000004</v>
      </c>
      <c r="F27" s="407" t="e">
        <f>'Custo por m2'!K26</f>
        <v>#DIV/0!</v>
      </c>
      <c r="G27" s="451" t="e">
        <f t="shared" si="0"/>
        <v>#DIV/0!</v>
      </c>
      <c r="H27" s="451" t="e">
        <f t="shared" si="1"/>
        <v>#DIV/0!</v>
      </c>
      <c r="I27" s="429"/>
      <c r="J27" s="431"/>
    </row>
    <row r="28" spans="1:13" ht="30" customHeight="1" x14ac:dyDescent="0.25">
      <c r="A28" s="728"/>
      <c r="B28" s="728"/>
      <c r="C28" s="298" t="s">
        <v>569</v>
      </c>
      <c r="D28" s="54" t="s">
        <v>561</v>
      </c>
      <c r="E28" s="449">
        <f>'Custo por m2'!C27</f>
        <v>2265.922</v>
      </c>
      <c r="F28" s="407" t="e">
        <f>'Custo por m2'!K27</f>
        <v>#DIV/0!</v>
      </c>
      <c r="G28" s="451" t="e">
        <f t="shared" si="0"/>
        <v>#DIV/0!</v>
      </c>
      <c r="H28" s="451" t="e">
        <f t="shared" si="1"/>
        <v>#DIV/0!</v>
      </c>
      <c r="J28" s="428"/>
      <c r="L28" s="429"/>
      <c r="M28" s="430"/>
    </row>
    <row r="29" spans="1:13" ht="30" customHeight="1" x14ac:dyDescent="0.25">
      <c r="A29" s="728"/>
      <c r="B29" s="728"/>
      <c r="C29" s="298" t="s">
        <v>570</v>
      </c>
      <c r="D29" s="54" t="s">
        <v>561</v>
      </c>
      <c r="E29" s="449">
        <f>'Custo por m2'!C28</f>
        <v>158.3948</v>
      </c>
      <c r="F29" s="407" t="e">
        <f>'Custo por m2'!K28</f>
        <v>#DIV/0!</v>
      </c>
      <c r="G29" s="451" t="e">
        <f t="shared" si="0"/>
        <v>#DIV/0!</v>
      </c>
      <c r="H29" s="451" t="e">
        <f t="shared" si="1"/>
        <v>#DIV/0!</v>
      </c>
      <c r="J29" s="428"/>
      <c r="L29" s="429"/>
      <c r="M29" s="432"/>
    </row>
    <row r="30" spans="1:13" ht="30" customHeight="1" x14ac:dyDescent="0.25">
      <c r="A30" s="728"/>
      <c r="B30" s="728"/>
      <c r="C30" s="298" t="s">
        <v>571</v>
      </c>
      <c r="D30" s="54" t="s">
        <v>561</v>
      </c>
      <c r="E30" s="449">
        <f>'Custo por m2'!C29</f>
        <v>211.98199999999997</v>
      </c>
      <c r="F30" s="407" t="e">
        <f>'Custo por m2'!K29</f>
        <v>#DIV/0!</v>
      </c>
      <c r="G30" s="451" t="e">
        <f t="shared" si="0"/>
        <v>#DIV/0!</v>
      </c>
      <c r="H30" s="451" t="e">
        <f t="shared" si="1"/>
        <v>#DIV/0!</v>
      </c>
      <c r="J30" s="428"/>
      <c r="L30" s="429"/>
      <c r="M30" s="432"/>
    </row>
    <row r="31" spans="1:13" ht="30" customHeight="1" x14ac:dyDescent="0.25">
      <c r="A31" s="728"/>
      <c r="B31" s="728"/>
      <c r="C31" s="298" t="s">
        <v>572</v>
      </c>
      <c r="D31" s="54" t="s">
        <v>561</v>
      </c>
      <c r="E31" s="449">
        <f>'Custo por m2'!C30</f>
        <v>1059.356</v>
      </c>
      <c r="F31" s="407" t="e">
        <f>'Custo por m2'!K30</f>
        <v>#DIV/0!</v>
      </c>
      <c r="G31" s="451" t="e">
        <f t="shared" si="0"/>
        <v>#DIV/0!</v>
      </c>
      <c r="H31" s="451" t="e">
        <f t="shared" si="1"/>
        <v>#DIV/0!</v>
      </c>
      <c r="J31" s="428"/>
      <c r="L31" s="429"/>
      <c r="M31" s="241"/>
    </row>
    <row r="32" spans="1:13" ht="30" customHeight="1" x14ac:dyDescent="0.25">
      <c r="A32" s="728"/>
      <c r="B32" s="729"/>
      <c r="C32" s="298" t="s">
        <v>573</v>
      </c>
      <c r="D32" s="54" t="s">
        <v>561</v>
      </c>
      <c r="E32" s="449">
        <f>'Custo por m2'!C31</f>
        <v>804.61080000000004</v>
      </c>
      <c r="F32" s="407" t="e">
        <f>'Custo por m2'!K31</f>
        <v>#DIV/0!</v>
      </c>
      <c r="G32" s="451" t="e">
        <f t="shared" si="0"/>
        <v>#DIV/0!</v>
      </c>
      <c r="H32" s="451" t="e">
        <f t="shared" si="1"/>
        <v>#DIV/0!</v>
      </c>
      <c r="J32" s="433"/>
      <c r="L32" s="434"/>
      <c r="M32" s="432"/>
    </row>
    <row r="33" spans="1:11" ht="30" customHeight="1" x14ac:dyDescent="0.25">
      <c r="A33" s="729"/>
      <c r="B33" s="50">
        <v>2</v>
      </c>
      <c r="C33" s="298" t="s">
        <v>574</v>
      </c>
      <c r="D33" s="54" t="s">
        <v>575</v>
      </c>
      <c r="E33" s="447">
        <v>1</v>
      </c>
      <c r="F33" s="436">
        <f>Lavandeira!H209</f>
        <v>0</v>
      </c>
      <c r="G33" s="451">
        <f t="shared" si="0"/>
        <v>0</v>
      </c>
      <c r="H33" s="451">
        <f t="shared" si="1"/>
        <v>0</v>
      </c>
      <c r="K33" s="435"/>
    </row>
    <row r="34" spans="1:11" ht="30" customHeight="1" x14ac:dyDescent="0.25">
      <c r="A34" s="724">
        <v>2</v>
      </c>
      <c r="B34" s="50">
        <v>3</v>
      </c>
      <c r="C34" s="298" t="s">
        <v>576</v>
      </c>
      <c r="D34" s="54" t="s">
        <v>575</v>
      </c>
      <c r="E34" s="447">
        <v>1</v>
      </c>
      <c r="F34" s="436">
        <f>'Motorista B'!H209</f>
        <v>0</v>
      </c>
      <c r="G34" s="451">
        <f t="shared" si="0"/>
        <v>0</v>
      </c>
      <c r="H34" s="451">
        <f t="shared" si="1"/>
        <v>0</v>
      </c>
    </row>
    <row r="35" spans="1:11" ht="30" customHeight="1" x14ac:dyDescent="0.25">
      <c r="A35" s="724"/>
      <c r="B35" s="50">
        <v>4</v>
      </c>
      <c r="C35" s="298" t="s">
        <v>577</v>
      </c>
      <c r="D35" s="54" t="s">
        <v>575</v>
      </c>
      <c r="E35" s="447">
        <v>1</v>
      </c>
      <c r="F35" s="436">
        <f>'Motorista D'!H209</f>
        <v>0</v>
      </c>
      <c r="G35" s="451">
        <f t="shared" si="0"/>
        <v>0</v>
      </c>
      <c r="H35" s="451">
        <f t="shared" si="1"/>
        <v>0</v>
      </c>
    </row>
    <row r="36" spans="1:11" ht="30" customHeight="1" x14ac:dyDescent="0.25">
      <c r="A36" s="444"/>
      <c r="B36" s="444" t="s">
        <v>578</v>
      </c>
      <c r="C36" s="444"/>
      <c r="D36" s="406"/>
      <c r="E36" s="446"/>
      <c r="F36" s="444"/>
      <c r="G36" s="453" t="e">
        <f>SUM(G20:G35)</f>
        <v>#DIV/0!</v>
      </c>
      <c r="H36" s="453" t="e">
        <f>SUM(H20:H35)</f>
        <v>#DIV/0!</v>
      </c>
    </row>
    <row r="37" spans="1:11" ht="15.75" x14ac:dyDescent="0.25">
      <c r="B37" s="437"/>
      <c r="C37" s="437"/>
      <c r="D37" s="438"/>
      <c r="E37" s="448"/>
      <c r="F37" s="438"/>
      <c r="G37" s="439"/>
      <c r="H37" s="440"/>
    </row>
    <row r="38" spans="1:11" ht="15.75" x14ac:dyDescent="0.25">
      <c r="A38" s="421" t="s">
        <v>579</v>
      </c>
      <c r="B38" s="437"/>
      <c r="C38" s="437"/>
      <c r="D38" s="438"/>
      <c r="E38" s="438"/>
      <c r="F38" s="438"/>
      <c r="G38" s="440"/>
      <c r="H38" s="440"/>
    </row>
    <row r="39" spans="1:11" ht="37.5" customHeight="1" x14ac:dyDescent="0.25">
      <c r="A39" s="402" t="s">
        <v>56</v>
      </c>
      <c r="B39" s="402" t="s">
        <v>580</v>
      </c>
      <c r="C39" s="714" t="s">
        <v>581</v>
      </c>
      <c r="D39" s="715"/>
      <c r="E39" s="715"/>
      <c r="F39" s="716"/>
      <c r="G39" s="405" t="s">
        <v>582</v>
      </c>
      <c r="H39" s="405" t="s">
        <v>543</v>
      </c>
    </row>
    <row r="40" spans="1:11" s="450" customFormat="1" ht="30" customHeight="1" x14ac:dyDescent="0.25">
      <c r="A40" s="720">
        <v>1</v>
      </c>
      <c r="B40" s="54">
        <v>1</v>
      </c>
      <c r="C40" s="721" t="s">
        <v>583</v>
      </c>
      <c r="D40" s="722"/>
      <c r="E40" s="722"/>
      <c r="F40" s="723"/>
      <c r="G40" s="452" t="e">
        <f>SUM(G20:G32)</f>
        <v>#DIV/0!</v>
      </c>
      <c r="H40" s="452" t="e">
        <f>G40*12</f>
        <v>#DIV/0!</v>
      </c>
    </row>
    <row r="41" spans="1:11" s="450" customFormat="1" ht="30" customHeight="1" x14ac:dyDescent="0.25">
      <c r="A41" s="720"/>
      <c r="B41" s="54">
        <v>2</v>
      </c>
      <c r="C41" s="721" t="s">
        <v>584</v>
      </c>
      <c r="D41" s="722"/>
      <c r="E41" s="722"/>
      <c r="F41" s="723"/>
      <c r="G41" s="452">
        <f>G33</f>
        <v>0</v>
      </c>
      <c r="H41" s="452">
        <f>G41*12</f>
        <v>0</v>
      </c>
    </row>
    <row r="42" spans="1:11" s="450" customFormat="1" ht="30" customHeight="1" x14ac:dyDescent="0.25">
      <c r="A42" s="717" t="s">
        <v>585</v>
      </c>
      <c r="B42" s="718"/>
      <c r="C42" s="718"/>
      <c r="D42" s="718"/>
      <c r="E42" s="718"/>
      <c r="F42" s="719"/>
      <c r="G42" s="445" t="e">
        <f>SUM(G40:G41)</f>
        <v>#DIV/0!</v>
      </c>
      <c r="H42" s="445" t="e">
        <f>SUM(H40:H41)</f>
        <v>#DIV/0!</v>
      </c>
    </row>
    <row r="43" spans="1:11" s="450" customFormat="1" ht="30" customHeight="1" x14ac:dyDescent="0.25">
      <c r="A43" s="720">
        <v>2</v>
      </c>
      <c r="B43" s="54">
        <v>3</v>
      </c>
      <c r="C43" s="721" t="s">
        <v>586</v>
      </c>
      <c r="D43" s="722"/>
      <c r="E43" s="722"/>
      <c r="F43" s="723"/>
      <c r="G43" s="452">
        <f>G34</f>
        <v>0</v>
      </c>
      <c r="H43" s="452">
        <f>G43*12</f>
        <v>0</v>
      </c>
    </row>
    <row r="44" spans="1:11" s="450" customFormat="1" ht="30" customHeight="1" x14ac:dyDescent="0.25">
      <c r="A44" s="720"/>
      <c r="B44" s="54">
        <v>4</v>
      </c>
      <c r="C44" s="721" t="s">
        <v>587</v>
      </c>
      <c r="D44" s="722"/>
      <c r="E44" s="722"/>
      <c r="F44" s="723"/>
      <c r="G44" s="452">
        <f>G35</f>
        <v>0</v>
      </c>
      <c r="H44" s="452">
        <f>G44*12</f>
        <v>0</v>
      </c>
    </row>
    <row r="45" spans="1:11" s="450" customFormat="1" ht="30" customHeight="1" x14ac:dyDescent="0.25">
      <c r="A45" s="717" t="s">
        <v>588</v>
      </c>
      <c r="B45" s="718"/>
      <c r="C45" s="718"/>
      <c r="D45" s="718"/>
      <c r="E45" s="718"/>
      <c r="F45" s="719"/>
      <c r="G45" s="445">
        <f>SUM(G43:G44)</f>
        <v>0</v>
      </c>
      <c r="H45" s="445">
        <f>SUM(H43:H44)</f>
        <v>0</v>
      </c>
    </row>
    <row r="46" spans="1:11" s="450" customFormat="1" x14ac:dyDescent="0.25">
      <c r="A46" s="84"/>
      <c r="B46" s="84"/>
      <c r="C46" s="84"/>
      <c r="D46" s="84"/>
      <c r="E46" s="84"/>
      <c r="F46" s="84"/>
      <c r="G46" s="84"/>
      <c r="H46" s="84"/>
    </row>
    <row r="47" spans="1:11" ht="30" customHeight="1" x14ac:dyDescent="0.25">
      <c r="A47" s="717" t="s">
        <v>578</v>
      </c>
      <c r="B47" s="718"/>
      <c r="C47" s="718"/>
      <c r="D47" s="718"/>
      <c r="E47" s="718"/>
      <c r="F47" s="719"/>
      <c r="G47" s="453" t="e">
        <f>G42+G45</f>
        <v>#DIV/0!</v>
      </c>
      <c r="H47" s="453" t="e">
        <f>H42+H45</f>
        <v>#DIV/0!</v>
      </c>
    </row>
  </sheetData>
  <sheetProtection algorithmName="SHA-512" hashValue="hvhP/ijjKG4rUqw5tFe0z/b4PA34rJk25IuaKUh7JB7+Y6B8Ruu/dhAQ5Ss4svGfFNowv5hxSGpkWBpfeC3pQA==" saltValue="TvOmjbjsVXPhmOGP1rtZog==" spinCount="100000" sheet="1" objects="1" scenarios="1"/>
  <mergeCells count="23">
    <mergeCell ref="A34:A35"/>
    <mergeCell ref="A5:H5"/>
    <mergeCell ref="A6:H6"/>
    <mergeCell ref="A8:H8"/>
    <mergeCell ref="A10:H10"/>
    <mergeCell ref="A11:H11"/>
    <mergeCell ref="A13:H13"/>
    <mergeCell ref="B20:B32"/>
    <mergeCell ref="A20:A33"/>
    <mergeCell ref="A15:B15"/>
    <mergeCell ref="C15:F15"/>
    <mergeCell ref="E17:F17"/>
    <mergeCell ref="B18:C18"/>
    <mergeCell ref="C39:F39"/>
    <mergeCell ref="A47:F47"/>
    <mergeCell ref="A42:F42"/>
    <mergeCell ref="A45:F45"/>
    <mergeCell ref="A40:A41"/>
    <mergeCell ref="A43:A44"/>
    <mergeCell ref="C40:F40"/>
    <mergeCell ref="C41:F41"/>
    <mergeCell ref="C43:F43"/>
    <mergeCell ref="C44:F44"/>
  </mergeCells>
  <pageMargins left="0.9055118110236221" right="0.51181102362204722" top="0.78740157480314965" bottom="0.78740157480314965" header="0.31496062992125984" footer="0.31496062992125984"/>
  <pageSetup paperSize="9" scale="74" orientation="landscape" r:id="rId1"/>
  <headerFooter>
    <oddFooter>&amp;CResumo Estimativa de Custo - PE Nº 001/2023</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1">
    <tabColor theme="6" tint="0.39997558519241921"/>
    <pageSetUpPr fitToPage="1"/>
  </sheetPr>
  <dimension ref="A1:M39"/>
  <sheetViews>
    <sheetView showGridLines="0" zoomScale="90" zoomScaleNormal="90" zoomScaleSheetLayoutView="100" workbookViewId="0">
      <selection activeCell="N1" sqref="N1"/>
    </sheetView>
  </sheetViews>
  <sheetFormatPr defaultRowHeight="15" x14ac:dyDescent="0.25"/>
  <cols>
    <col min="1" max="2" width="8.7109375" style="3" customWidth="1"/>
    <col min="3" max="3" width="23.140625" style="3" customWidth="1"/>
    <col min="4" max="4" width="21.28515625" style="3" customWidth="1"/>
    <col min="5" max="5" width="10.85546875" style="3" customWidth="1"/>
    <col min="6" max="6" width="9.140625" style="3" bestFit="1" customWidth="1"/>
    <col min="7" max="7" width="12.7109375" style="3" bestFit="1" customWidth="1"/>
    <col min="8" max="8" width="22.140625" style="3" customWidth="1"/>
    <col min="9" max="9" width="16.5703125" style="3" customWidth="1"/>
    <col min="10" max="10" width="15.140625" style="3" customWidth="1"/>
    <col min="11" max="11" width="13.28515625" style="3" bestFit="1" customWidth="1"/>
    <col min="12" max="12" width="9.140625" style="3"/>
    <col min="13" max="13" width="17" style="3" customWidth="1"/>
    <col min="14" max="14" width="2.5703125" style="3" customWidth="1"/>
    <col min="15" max="16384" width="9.140625" style="3"/>
  </cols>
  <sheetData>
    <row r="1" spans="1:13" x14ac:dyDescent="0.25">
      <c r="A1" s="36"/>
      <c r="B1" s="36"/>
      <c r="C1" s="36"/>
      <c r="D1" s="36"/>
      <c r="E1" s="36"/>
      <c r="F1" s="36"/>
      <c r="G1" s="36"/>
      <c r="H1" s="36"/>
    </row>
    <row r="2" spans="1:13" x14ac:dyDescent="0.25">
      <c r="A2" s="36"/>
      <c r="B2" s="36"/>
      <c r="C2" s="36"/>
      <c r="D2" s="36"/>
      <c r="E2" s="36"/>
      <c r="F2" s="36"/>
      <c r="G2" s="36"/>
      <c r="H2" s="36"/>
    </row>
    <row r="3" spans="1:13" x14ac:dyDescent="0.25">
      <c r="A3" s="36"/>
      <c r="B3" s="36"/>
      <c r="C3" s="36"/>
      <c r="D3" s="36"/>
      <c r="E3" s="36"/>
      <c r="F3" s="36"/>
      <c r="G3" s="36"/>
      <c r="H3" s="36"/>
    </row>
    <row r="4" spans="1:13" x14ac:dyDescent="0.25">
      <c r="A4" s="490"/>
      <c r="B4" s="490"/>
      <c r="C4" s="490"/>
      <c r="D4" s="490"/>
      <c r="E4" s="490"/>
      <c r="F4" s="490"/>
      <c r="G4" s="490"/>
      <c r="H4" s="490"/>
      <c r="I4" s="490"/>
      <c r="J4" s="490"/>
      <c r="K4" s="490"/>
      <c r="L4" s="490"/>
      <c r="M4" s="490"/>
    </row>
    <row r="5" spans="1:13" x14ac:dyDescent="0.25">
      <c r="A5" s="491" t="str">
        <f>ORIENTAÇÕES!A5</f>
        <v>MINISTÉRIO DA AGRICULTURA E PECUÁRIA</v>
      </c>
      <c r="B5" s="491"/>
      <c r="C5" s="491"/>
      <c r="D5" s="491"/>
      <c r="E5" s="491"/>
      <c r="F5" s="491"/>
      <c r="G5" s="491"/>
      <c r="H5" s="491"/>
      <c r="I5" s="491"/>
      <c r="J5" s="491"/>
      <c r="K5" s="491"/>
      <c r="L5" s="491"/>
      <c r="M5" s="491"/>
    </row>
    <row r="6" spans="1:13" x14ac:dyDescent="0.25">
      <c r="A6" s="491" t="str">
        <f>ORIENTAÇÕES!A6</f>
        <v>LABORATÓRIO FEDERAL DE DEFESA AGROPECUÁRIA NO PARÁ</v>
      </c>
      <c r="B6" s="491"/>
      <c r="C6" s="491"/>
      <c r="D6" s="491"/>
      <c r="E6" s="491"/>
      <c r="F6" s="491"/>
      <c r="G6" s="491"/>
      <c r="H6" s="491"/>
      <c r="I6" s="491"/>
      <c r="J6" s="491"/>
      <c r="K6" s="491"/>
      <c r="L6" s="491"/>
      <c r="M6" s="491"/>
    </row>
    <row r="7" spans="1:13" x14ac:dyDescent="0.25">
      <c r="A7" s="492"/>
      <c r="B7" s="492"/>
      <c r="C7" s="492"/>
      <c r="D7" s="492"/>
      <c r="E7" s="492"/>
      <c r="F7" s="492"/>
      <c r="G7" s="492"/>
      <c r="H7" s="492"/>
      <c r="I7" s="492"/>
      <c r="J7" s="492"/>
      <c r="K7" s="492"/>
      <c r="L7" s="492"/>
      <c r="M7" s="492"/>
    </row>
    <row r="8" spans="1:13" ht="19.5" customHeight="1" x14ac:dyDescent="0.25">
      <c r="A8" s="493" t="str">
        <f>ORIENTAÇÕES!A8</f>
        <v xml:space="preserve">PLANILHA REFERENCIAL DE CUSTO E FORMAÇÃO DE PREÇO </v>
      </c>
      <c r="B8" s="493"/>
      <c r="C8" s="493"/>
      <c r="D8" s="493"/>
      <c r="E8" s="493"/>
      <c r="F8" s="493"/>
      <c r="G8" s="493"/>
      <c r="H8" s="493"/>
      <c r="I8" s="493"/>
      <c r="J8" s="493"/>
      <c r="K8" s="493"/>
      <c r="L8" s="493"/>
      <c r="M8" s="493"/>
    </row>
    <row r="9" spans="1:13" x14ac:dyDescent="0.25">
      <c r="A9" s="487"/>
      <c r="B9" s="487"/>
      <c r="C9" s="487"/>
      <c r="D9" s="487"/>
      <c r="E9" s="487"/>
      <c r="F9" s="487"/>
      <c r="G9" s="487"/>
      <c r="H9" s="487"/>
      <c r="I9" s="487"/>
      <c r="J9" s="487"/>
      <c r="K9" s="487"/>
      <c r="L9" s="487"/>
      <c r="M9" s="487"/>
    </row>
    <row r="10" spans="1:13" x14ac:dyDescent="0.25">
      <c r="A10" s="487" t="str">
        <f>ORIENTAÇÕES!A10</f>
        <v>Pregão Eletrônico 12/2023</v>
      </c>
      <c r="B10" s="487"/>
      <c r="C10" s="487"/>
      <c r="D10" s="487"/>
      <c r="E10" s="487"/>
      <c r="F10" s="487"/>
      <c r="G10" s="487"/>
      <c r="H10" s="487"/>
      <c r="I10" s="487"/>
      <c r="J10" s="487"/>
      <c r="K10" s="487"/>
      <c r="L10" s="487"/>
      <c r="M10" s="487"/>
    </row>
    <row r="11" spans="1:13" x14ac:dyDescent="0.25">
      <c r="A11" s="481" t="str">
        <f>ORIENTAÇÕES!A11</f>
        <v>PROCESSO Nº. :  21000.001352/2023-57</v>
      </c>
      <c r="B11" s="481"/>
      <c r="C11" s="481"/>
      <c r="D11" s="481"/>
      <c r="E11" s="481"/>
      <c r="F11" s="481"/>
      <c r="G11" s="481"/>
      <c r="H11" s="481"/>
      <c r="I11" s="481"/>
      <c r="J11" s="481"/>
      <c r="K11" s="481"/>
      <c r="L11" s="481"/>
      <c r="M11" s="481"/>
    </row>
    <row r="12" spans="1:13" ht="18.75" customHeight="1" x14ac:dyDescent="0.25">
      <c r="B12" s="37"/>
      <c r="C12" s="37"/>
      <c r="D12" s="37"/>
      <c r="E12" s="37"/>
      <c r="F12" s="37"/>
      <c r="G12" s="37"/>
      <c r="H12" s="37"/>
    </row>
    <row r="13" spans="1:13" ht="30" customHeight="1" x14ac:dyDescent="0.25">
      <c r="A13" s="489" t="s">
        <v>42</v>
      </c>
      <c r="B13" s="489"/>
      <c r="C13" s="489"/>
      <c r="D13" s="489"/>
      <c r="E13" s="489"/>
      <c r="F13" s="489"/>
      <c r="G13" s="489"/>
      <c r="H13" s="489"/>
      <c r="I13" s="489"/>
      <c r="J13" s="489"/>
      <c r="K13" s="489"/>
      <c r="L13" s="489"/>
      <c r="M13" s="489"/>
    </row>
    <row r="14" spans="1:13" x14ac:dyDescent="0.25">
      <c r="A14" s="386"/>
      <c r="B14" s="386"/>
      <c r="C14" s="386"/>
      <c r="D14" s="386"/>
      <c r="E14" s="386"/>
      <c r="F14" s="386"/>
      <c r="G14" s="386"/>
      <c r="H14" s="386"/>
      <c r="I14" s="386"/>
      <c r="J14" s="386"/>
      <c r="K14" s="386"/>
      <c r="L14" s="386"/>
      <c r="M14" s="386"/>
    </row>
    <row r="15" spans="1:13" ht="15" customHeight="1" x14ac:dyDescent="0.25">
      <c r="A15" s="364"/>
      <c r="B15" s="364"/>
      <c r="C15" s="364"/>
      <c r="D15" s="364"/>
      <c r="E15" s="364"/>
      <c r="F15" s="364"/>
      <c r="G15" s="364"/>
      <c r="H15" s="364"/>
    </row>
    <row r="16" spans="1:13" s="387" customFormat="1" ht="30" customHeight="1" x14ac:dyDescent="0.25">
      <c r="A16" s="488" t="s">
        <v>43</v>
      </c>
      <c r="B16" s="488"/>
      <c r="C16" s="741"/>
      <c r="D16" s="742"/>
      <c r="E16" s="742"/>
      <c r="F16" s="742"/>
      <c r="G16" s="743"/>
      <c r="I16" s="367" t="s">
        <v>44</v>
      </c>
      <c r="J16" s="748" t="s">
        <v>589</v>
      </c>
    </row>
    <row r="17" spans="1:13" s="387" customFormat="1" x14ac:dyDescent="0.25">
      <c r="A17" s="379"/>
      <c r="B17" s="379"/>
      <c r="C17" s="3"/>
      <c r="D17" s="3"/>
      <c r="E17" s="3"/>
      <c r="F17" s="3"/>
      <c r="G17" s="3"/>
      <c r="H17" s="3"/>
      <c r="I17" s="3"/>
      <c r="J17" s="3"/>
      <c r="K17" s="3"/>
    </row>
    <row r="18" spans="1:13" s="387" customFormat="1" ht="30" customHeight="1" x14ac:dyDescent="0.25">
      <c r="B18" s="367" t="s">
        <v>45</v>
      </c>
      <c r="C18" s="744"/>
      <c r="D18" s="380" t="s">
        <v>46</v>
      </c>
      <c r="E18" s="745"/>
      <c r="F18" s="746"/>
      <c r="G18" s="747"/>
      <c r="H18" s="366"/>
      <c r="I18" s="368" t="s">
        <v>47</v>
      </c>
      <c r="J18" s="749" t="e">
        <f>IF(J16="","",$J$16+60)</f>
        <v>#VALUE!</v>
      </c>
      <c r="K18" s="388" t="s">
        <v>48</v>
      </c>
    </row>
    <row r="20" spans="1:13" x14ac:dyDescent="0.25">
      <c r="A20" s="182"/>
      <c r="B20" s="182"/>
      <c r="C20" s="365"/>
    </row>
    <row r="21" spans="1:13" ht="15" customHeight="1" x14ac:dyDescent="0.25">
      <c r="A21" s="485" t="s">
        <v>49</v>
      </c>
      <c r="B21" s="486"/>
      <c r="C21" s="486"/>
      <c r="D21" s="486"/>
      <c r="E21" s="486"/>
      <c r="F21" s="486"/>
      <c r="G21" s="486"/>
      <c r="H21" s="486"/>
      <c r="I21" s="486"/>
      <c r="J21" s="486"/>
      <c r="K21" s="486"/>
      <c r="L21" s="486"/>
      <c r="M21" s="486"/>
    </row>
    <row r="22" spans="1:13" ht="30" customHeight="1" x14ac:dyDescent="0.25">
      <c r="A22" s="494" t="s">
        <v>50</v>
      </c>
      <c r="B22" s="494"/>
      <c r="C22" s="494"/>
      <c r="D22" s="54" t="s">
        <v>51</v>
      </c>
    </row>
    <row r="23" spans="1:13" ht="30" customHeight="1" x14ac:dyDescent="0.25">
      <c r="A23" s="494" t="s">
        <v>52</v>
      </c>
      <c r="B23" s="494"/>
      <c r="C23" s="494"/>
      <c r="D23" s="54" t="s">
        <v>53</v>
      </c>
    </row>
    <row r="24" spans="1:13" ht="30" customHeight="1" x14ac:dyDescent="0.25">
      <c r="A24" s="494" t="s">
        <v>54</v>
      </c>
      <c r="B24" s="494"/>
      <c r="C24" s="494"/>
      <c r="D24" s="54">
        <v>12</v>
      </c>
    </row>
    <row r="25" spans="1:13" x14ac:dyDescent="0.25">
      <c r="A25" s="365"/>
      <c r="B25" s="365"/>
      <c r="C25" s="365"/>
    </row>
    <row r="26" spans="1:13" x14ac:dyDescent="0.25">
      <c r="A26" s="365"/>
      <c r="B26" s="365"/>
      <c r="C26" s="365"/>
    </row>
    <row r="27" spans="1:13" ht="15" customHeight="1" x14ac:dyDescent="0.25">
      <c r="A27" s="495" t="s">
        <v>55</v>
      </c>
      <c r="B27" s="496"/>
      <c r="C27" s="496"/>
      <c r="D27" s="496"/>
      <c r="E27" s="496"/>
      <c r="F27" s="496"/>
      <c r="G27" s="496"/>
      <c r="H27" s="496"/>
      <c r="I27" s="496"/>
      <c r="J27" s="496"/>
      <c r="K27" s="496"/>
      <c r="L27" s="496"/>
      <c r="M27" s="496"/>
    </row>
    <row r="28" spans="1:13" ht="45" x14ac:dyDescent="0.25">
      <c r="A28" s="454" t="s">
        <v>56</v>
      </c>
      <c r="B28" s="454" t="s">
        <v>57</v>
      </c>
      <c r="C28" s="454" t="s">
        <v>58</v>
      </c>
      <c r="D28" s="454" t="s">
        <v>59</v>
      </c>
      <c r="E28" s="455" t="s">
        <v>60</v>
      </c>
      <c r="F28" s="454" t="s">
        <v>61</v>
      </c>
      <c r="G28" s="454" t="s">
        <v>62</v>
      </c>
      <c r="H28" s="454" t="s">
        <v>63</v>
      </c>
      <c r="I28" s="455" t="s">
        <v>64</v>
      </c>
      <c r="J28" s="455" t="s">
        <v>65</v>
      </c>
      <c r="K28" s="504" t="s">
        <v>66</v>
      </c>
      <c r="L28" s="505"/>
      <c r="M28" s="455" t="s">
        <v>67</v>
      </c>
    </row>
    <row r="29" spans="1:13" ht="15" customHeight="1" x14ac:dyDescent="0.25">
      <c r="A29" s="497">
        <v>1</v>
      </c>
      <c r="B29" s="497">
        <v>1</v>
      </c>
      <c r="C29" s="497" t="s">
        <v>68</v>
      </c>
      <c r="D29" s="500" t="s">
        <v>69</v>
      </c>
      <c r="E29" s="502">
        <v>220</v>
      </c>
      <c r="F29" s="750"/>
      <c r="G29" s="751">
        <v>0</v>
      </c>
      <c r="H29" s="752"/>
      <c r="I29" s="753"/>
      <c r="J29" s="754" t="s">
        <v>589</v>
      </c>
      <c r="K29" s="737"/>
      <c r="L29" s="738"/>
      <c r="M29" s="500" t="s">
        <v>70</v>
      </c>
    </row>
    <row r="30" spans="1:13" ht="15" customHeight="1" x14ac:dyDescent="0.25">
      <c r="A30" s="498"/>
      <c r="B30" s="499"/>
      <c r="C30" s="499"/>
      <c r="D30" s="501"/>
      <c r="E30" s="503"/>
      <c r="F30" s="755"/>
      <c r="G30" s="756"/>
      <c r="H30" s="757"/>
      <c r="I30" s="758"/>
      <c r="J30" s="759"/>
      <c r="K30" s="739"/>
      <c r="L30" s="740"/>
      <c r="M30" s="501"/>
    </row>
    <row r="31" spans="1:13" ht="15" customHeight="1" x14ac:dyDescent="0.25">
      <c r="A31" s="498"/>
      <c r="B31" s="497">
        <v>2</v>
      </c>
      <c r="C31" s="500" t="s">
        <v>71</v>
      </c>
      <c r="D31" s="500" t="s">
        <v>72</v>
      </c>
      <c r="E31" s="502">
        <v>220</v>
      </c>
      <c r="F31" s="750"/>
      <c r="G31" s="751">
        <v>0</v>
      </c>
      <c r="H31" s="752"/>
      <c r="I31" s="753"/>
      <c r="J31" s="754" t="s">
        <v>589</v>
      </c>
      <c r="K31" s="737"/>
      <c r="L31" s="738"/>
      <c r="M31" s="500" t="s">
        <v>73</v>
      </c>
    </row>
    <row r="32" spans="1:13" ht="15" customHeight="1" x14ac:dyDescent="0.25">
      <c r="A32" s="499"/>
      <c r="B32" s="499"/>
      <c r="C32" s="501"/>
      <c r="D32" s="501"/>
      <c r="E32" s="503"/>
      <c r="F32" s="755"/>
      <c r="G32" s="756"/>
      <c r="H32" s="757"/>
      <c r="I32" s="758"/>
      <c r="J32" s="759"/>
      <c r="K32" s="739"/>
      <c r="L32" s="740"/>
      <c r="M32" s="501"/>
    </row>
    <row r="33" spans="1:13" ht="15" customHeight="1" x14ac:dyDescent="0.25">
      <c r="A33" s="497">
        <v>2</v>
      </c>
      <c r="B33" s="500">
        <v>3</v>
      </c>
      <c r="C33" s="497" t="s">
        <v>74</v>
      </c>
      <c r="D33" s="456" t="s">
        <v>75</v>
      </c>
      <c r="E33" s="502">
        <v>200</v>
      </c>
      <c r="F33" s="760"/>
      <c r="G33" s="761">
        <v>0</v>
      </c>
      <c r="H33" s="762"/>
      <c r="I33" s="763"/>
      <c r="J33" s="754" t="s">
        <v>589</v>
      </c>
      <c r="K33" s="737"/>
      <c r="L33" s="738"/>
      <c r="M33" s="500" t="s">
        <v>73</v>
      </c>
    </row>
    <row r="34" spans="1:13" ht="15" customHeight="1" x14ac:dyDescent="0.25">
      <c r="A34" s="498"/>
      <c r="B34" s="501"/>
      <c r="C34" s="499"/>
      <c r="D34" s="458" t="s">
        <v>76</v>
      </c>
      <c r="E34" s="503"/>
      <c r="F34" s="764"/>
      <c r="G34" s="765"/>
      <c r="H34" s="766"/>
      <c r="I34" s="767"/>
      <c r="J34" s="759"/>
      <c r="K34" s="739"/>
      <c r="L34" s="740"/>
      <c r="M34" s="501"/>
    </row>
    <row r="35" spans="1:13" ht="15" customHeight="1" x14ac:dyDescent="0.25">
      <c r="A35" s="498"/>
      <c r="B35" s="500">
        <v>4</v>
      </c>
      <c r="C35" s="497" t="s">
        <v>74</v>
      </c>
      <c r="D35" s="456" t="s">
        <v>75</v>
      </c>
      <c r="E35" s="502">
        <v>200</v>
      </c>
      <c r="F35" s="760"/>
      <c r="G35" s="761">
        <v>0</v>
      </c>
      <c r="H35" s="762"/>
      <c r="I35" s="763"/>
      <c r="J35" s="754" t="s">
        <v>589</v>
      </c>
      <c r="K35" s="737"/>
      <c r="L35" s="738"/>
      <c r="M35" s="500" t="s">
        <v>73</v>
      </c>
    </row>
    <row r="36" spans="1:13" ht="15" customHeight="1" x14ac:dyDescent="0.25">
      <c r="A36" s="499"/>
      <c r="B36" s="501"/>
      <c r="C36" s="499"/>
      <c r="D36" s="458" t="s">
        <v>77</v>
      </c>
      <c r="E36" s="503"/>
      <c r="F36" s="764"/>
      <c r="G36" s="765"/>
      <c r="H36" s="766"/>
      <c r="I36" s="767"/>
      <c r="J36" s="759"/>
      <c r="K36" s="739"/>
      <c r="L36" s="740"/>
      <c r="M36" s="501"/>
    </row>
    <row r="37" spans="1:13" ht="15" customHeight="1" x14ac:dyDescent="0.25">
      <c r="A37" s="507" t="s">
        <v>78</v>
      </c>
      <c r="B37" s="507"/>
      <c r="C37" s="507"/>
      <c r="D37" s="507"/>
      <c r="E37" s="507"/>
      <c r="F37" s="507"/>
      <c r="G37" s="507"/>
      <c r="H37" s="507"/>
      <c r="I37" s="507"/>
      <c r="J37" s="507"/>
      <c r="K37" s="507"/>
      <c r="L37" s="507"/>
      <c r="M37" s="507"/>
    </row>
    <row r="38" spans="1:13" ht="15" customHeight="1" x14ac:dyDescent="0.25">
      <c r="A38" s="506" t="s">
        <v>79</v>
      </c>
      <c r="B38" s="506"/>
      <c r="C38" s="506"/>
      <c r="D38" s="506"/>
      <c r="E38" s="506"/>
      <c r="F38" s="506"/>
      <c r="G38" s="506"/>
      <c r="H38" s="506"/>
      <c r="I38" s="506"/>
      <c r="J38" s="506"/>
      <c r="K38" s="506"/>
      <c r="L38" s="506"/>
      <c r="M38" s="506"/>
    </row>
    <row r="39" spans="1:13" ht="15" customHeight="1" x14ac:dyDescent="0.25">
      <c r="A39" s="506" t="s">
        <v>80</v>
      </c>
      <c r="B39" s="506"/>
      <c r="C39" s="506"/>
      <c r="D39" s="506"/>
      <c r="E39" s="506"/>
      <c r="F39" s="506"/>
      <c r="G39" s="459"/>
      <c r="H39" s="459"/>
      <c r="I39" s="459"/>
      <c r="J39" s="459"/>
      <c r="K39" s="459"/>
      <c r="L39" s="459"/>
      <c r="M39" s="459"/>
    </row>
  </sheetData>
  <sheetProtection algorithmName="SHA-512" hashValue="7GhxhCWoBNnwO+uSQLPogCvlUq6MWCdEZ1zwoofYnSoQ/wJalqdvfcVlkjTufpQPi/oHwWVMQTb/MhrGzVWl8g==" saltValue="2KE2MQ4IIU62fFbmplr8Cg==" spinCount="100000" sheet="1" objects="1" scenarios="1"/>
  <mergeCells count="61">
    <mergeCell ref="C35:C36"/>
    <mergeCell ref="E35:E36"/>
    <mergeCell ref="K33:L34"/>
    <mergeCell ref="M33:M34"/>
    <mergeCell ref="A37:M37"/>
    <mergeCell ref="J33:J34"/>
    <mergeCell ref="A38:M38"/>
    <mergeCell ref="A39:F39"/>
    <mergeCell ref="G35:G36"/>
    <mergeCell ref="I35:I36"/>
    <mergeCell ref="J35:J36"/>
    <mergeCell ref="K35:L36"/>
    <mergeCell ref="M35:M36"/>
    <mergeCell ref="A33:A36"/>
    <mergeCell ref="B33:B34"/>
    <mergeCell ref="C33:C34"/>
    <mergeCell ref="E33:E34"/>
    <mergeCell ref="F33:F34"/>
    <mergeCell ref="B35:B36"/>
    <mergeCell ref="F35:F36"/>
    <mergeCell ref="G33:G34"/>
    <mergeCell ref="I33:I34"/>
    <mergeCell ref="M31:M32"/>
    <mergeCell ref="F29:F30"/>
    <mergeCell ref="G29:G30"/>
    <mergeCell ref="I29:I30"/>
    <mergeCell ref="J29:J30"/>
    <mergeCell ref="F31:F32"/>
    <mergeCell ref="G31:G32"/>
    <mergeCell ref="I31:I32"/>
    <mergeCell ref="J31:J32"/>
    <mergeCell ref="K31:L32"/>
    <mergeCell ref="A22:C22"/>
    <mergeCell ref="A23:C23"/>
    <mergeCell ref="A24:C24"/>
    <mergeCell ref="A27:M27"/>
    <mergeCell ref="A29:A32"/>
    <mergeCell ref="B29:B30"/>
    <mergeCell ref="C29:C30"/>
    <mergeCell ref="D29:D30"/>
    <mergeCell ref="E29:E30"/>
    <mergeCell ref="K28:L28"/>
    <mergeCell ref="K29:L30"/>
    <mergeCell ref="M29:M30"/>
    <mergeCell ref="B31:B32"/>
    <mergeCell ref="C31:C32"/>
    <mergeCell ref="D31:D32"/>
    <mergeCell ref="E31:E32"/>
    <mergeCell ref="A4:M4"/>
    <mergeCell ref="A5:M5"/>
    <mergeCell ref="A6:M6"/>
    <mergeCell ref="A7:M7"/>
    <mergeCell ref="A8:M8"/>
    <mergeCell ref="A21:M21"/>
    <mergeCell ref="A9:M9"/>
    <mergeCell ref="A10:M10"/>
    <mergeCell ref="E18:G18"/>
    <mergeCell ref="A16:B16"/>
    <mergeCell ref="C16:G16"/>
    <mergeCell ref="A11:M11"/>
    <mergeCell ref="A13:M13"/>
  </mergeCells>
  <pageMargins left="0.51181102362204722" right="0.51181102362204722" top="0.78740157480314965" bottom="0.78740157480314965" header="0.31496062992125984" footer="0.31496062992125984"/>
  <pageSetup paperSize="9" scale="65"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5:Z43"/>
  <sheetViews>
    <sheetView showGridLines="0" zoomScale="90" zoomScaleNormal="90" workbookViewId="0">
      <pane xSplit="1" topLeftCell="G1" activePane="topRight" state="frozen"/>
      <selection activeCell="A5" sqref="A5"/>
      <selection pane="topRight" activeCell="Y1" sqref="Y1"/>
    </sheetView>
  </sheetViews>
  <sheetFormatPr defaultRowHeight="15" x14ac:dyDescent="0.25"/>
  <cols>
    <col min="1" max="1" width="36.5703125" customWidth="1"/>
    <col min="2" max="15" width="10.7109375" customWidth="1"/>
    <col min="16" max="16" width="14.42578125" bestFit="1" customWidth="1"/>
    <col min="17" max="18" width="10.7109375" customWidth="1"/>
    <col min="19" max="19" width="11.7109375" bestFit="1" customWidth="1"/>
    <col min="20" max="22" width="10.7109375" customWidth="1"/>
    <col min="23" max="23" width="12.140625" customWidth="1"/>
    <col min="24" max="24" width="14.7109375" customWidth="1"/>
    <col min="25" max="25" width="4" customWidth="1"/>
  </cols>
  <sheetData>
    <row r="5" spans="1:25" x14ac:dyDescent="0.25">
      <c r="A5" s="483" t="str">
        <f>ORIENTAÇÕES!A5</f>
        <v>MINISTÉRIO DA AGRICULTURA E PECUÁRIA</v>
      </c>
      <c r="B5" s="483"/>
      <c r="C5" s="483"/>
      <c r="D5" s="483"/>
      <c r="E5" s="483"/>
      <c r="F5" s="483"/>
      <c r="G5" s="483"/>
      <c r="H5" s="483"/>
      <c r="I5" s="483"/>
      <c r="J5" s="483"/>
      <c r="K5" s="483"/>
      <c r="L5" s="483"/>
      <c r="M5" s="483"/>
      <c r="N5" s="483"/>
      <c r="O5" s="483"/>
      <c r="P5" s="483"/>
      <c r="Q5" s="483"/>
      <c r="R5" s="483"/>
      <c r="S5" s="483"/>
      <c r="T5" s="483"/>
      <c r="U5" s="483"/>
      <c r="V5" s="483"/>
      <c r="W5" s="483"/>
      <c r="X5" s="483"/>
      <c r="Y5" s="483"/>
    </row>
    <row r="6" spans="1:25" x14ac:dyDescent="0.25">
      <c r="A6" s="483" t="str">
        <f>ORIENTAÇÕES!A6</f>
        <v>LABORATÓRIO FEDERAL DE DEFESA AGROPECUÁRIA NO PARÁ</v>
      </c>
      <c r="B6" s="483"/>
      <c r="C6" s="483"/>
      <c r="D6" s="483"/>
      <c r="E6" s="483"/>
      <c r="F6" s="483"/>
      <c r="G6" s="483"/>
      <c r="H6" s="483"/>
      <c r="I6" s="483"/>
      <c r="J6" s="483"/>
      <c r="K6" s="483"/>
      <c r="L6" s="483"/>
      <c r="M6" s="483"/>
      <c r="N6" s="483"/>
      <c r="O6" s="483"/>
      <c r="P6" s="483"/>
      <c r="Q6" s="483"/>
      <c r="R6" s="483"/>
      <c r="S6" s="483"/>
      <c r="T6" s="483"/>
      <c r="U6" s="483"/>
      <c r="V6" s="483"/>
      <c r="W6" s="483"/>
      <c r="X6" s="483"/>
      <c r="Y6" s="483"/>
    </row>
    <row r="7" spans="1:25" x14ac:dyDescent="0.25">
      <c r="A7" s="382"/>
      <c r="B7" s="382"/>
      <c r="C7" s="382"/>
      <c r="D7" s="382"/>
      <c r="E7" s="382"/>
      <c r="F7" s="382"/>
      <c r="G7" s="382"/>
      <c r="H7" s="382"/>
      <c r="I7" s="382"/>
    </row>
    <row r="8" spans="1:25" ht="18.75" customHeight="1" x14ac:dyDescent="0.25">
      <c r="A8" s="484" t="str">
        <f>ORIENTAÇÕES!A8</f>
        <v xml:space="preserve">PLANILHA REFERENCIAL DE CUSTO E FORMAÇÃO DE PREÇO </v>
      </c>
      <c r="B8" s="484"/>
      <c r="C8" s="484"/>
      <c r="D8" s="484"/>
      <c r="E8" s="484"/>
      <c r="F8" s="484"/>
      <c r="G8" s="484"/>
      <c r="H8" s="484"/>
      <c r="I8" s="484"/>
      <c r="J8" s="484"/>
      <c r="K8" s="484"/>
      <c r="L8" s="484"/>
      <c r="M8" s="484"/>
      <c r="N8" s="484"/>
      <c r="O8" s="484"/>
      <c r="P8" s="484"/>
      <c r="Q8" s="484"/>
      <c r="R8" s="484"/>
      <c r="S8" s="484"/>
      <c r="T8" s="484"/>
      <c r="U8" s="484"/>
      <c r="V8" s="484"/>
      <c r="W8" s="484"/>
      <c r="X8" s="484"/>
      <c r="Y8" s="484"/>
    </row>
    <row r="9" spans="1:25" x14ac:dyDescent="0.25">
      <c r="A9" s="482"/>
      <c r="B9" s="482"/>
      <c r="C9" s="482"/>
      <c r="D9" s="482"/>
      <c r="E9" s="482"/>
      <c r="F9" s="482"/>
      <c r="G9" s="482"/>
      <c r="H9" s="482"/>
      <c r="I9" s="482"/>
      <c r="J9" s="482"/>
      <c r="K9" s="482"/>
      <c r="L9" s="482"/>
      <c r="M9" s="482"/>
      <c r="N9" s="482"/>
      <c r="O9" s="482"/>
      <c r="P9" s="482"/>
      <c r="Q9" s="482"/>
      <c r="R9" s="482"/>
      <c r="S9" s="482"/>
      <c r="T9" s="482"/>
      <c r="U9" s="482"/>
      <c r="V9" s="482"/>
      <c r="W9" s="482"/>
      <c r="X9" s="482"/>
      <c r="Y9" s="482"/>
    </row>
    <row r="10" spans="1:25" x14ac:dyDescent="0.25">
      <c r="A10" s="481" t="str">
        <f>ORIENTAÇÕES!A10</f>
        <v>Pregão Eletrônico 12/2023</v>
      </c>
      <c r="B10" s="481"/>
      <c r="C10" s="481"/>
      <c r="D10" s="481"/>
      <c r="E10" s="481"/>
      <c r="F10" s="481"/>
      <c r="G10" s="481"/>
      <c r="H10" s="481"/>
      <c r="I10" s="481"/>
      <c r="J10" s="481"/>
      <c r="K10" s="481"/>
      <c r="L10" s="481"/>
      <c r="M10" s="481"/>
      <c r="N10" s="481"/>
      <c r="O10" s="481"/>
      <c r="P10" s="481"/>
      <c r="Q10" s="481"/>
      <c r="R10" s="481"/>
      <c r="S10" s="481"/>
      <c r="T10" s="481"/>
      <c r="U10" s="481"/>
      <c r="V10" s="481"/>
      <c r="W10" s="481"/>
      <c r="X10" s="481"/>
      <c r="Y10" s="481"/>
    </row>
    <row r="11" spans="1:25" x14ac:dyDescent="0.25">
      <c r="A11" s="481" t="str">
        <f>ORIENTAÇÕES!A11</f>
        <v>PROCESSO Nº. :  21000.001352/2023-57</v>
      </c>
      <c r="B11" s="481"/>
      <c r="C11" s="481"/>
      <c r="D11" s="481"/>
      <c r="E11" s="481"/>
      <c r="F11" s="481"/>
      <c r="G11" s="481"/>
      <c r="H11" s="481"/>
      <c r="I11" s="481"/>
      <c r="J11" s="481"/>
      <c r="K11" s="481"/>
      <c r="L11" s="481"/>
      <c r="M11" s="481"/>
      <c r="N11" s="481"/>
      <c r="O11" s="481"/>
      <c r="P11" s="481"/>
      <c r="Q11" s="481"/>
      <c r="R11" s="481"/>
      <c r="S11" s="481"/>
      <c r="T11" s="481"/>
      <c r="U11" s="481"/>
      <c r="V11" s="481"/>
      <c r="W11" s="481"/>
      <c r="X11" s="481"/>
      <c r="Y11" s="481"/>
    </row>
    <row r="12" spans="1:25" x14ac:dyDescent="0.25">
      <c r="A12" s="509"/>
      <c r="B12" s="509"/>
      <c r="C12" s="509"/>
      <c r="D12" s="509"/>
      <c r="E12" s="509"/>
      <c r="F12" s="509"/>
      <c r="G12" s="509"/>
      <c r="H12" s="509"/>
      <c r="I12" s="509"/>
      <c r="J12" s="509"/>
      <c r="K12" s="509"/>
      <c r="L12" s="509"/>
      <c r="M12" s="509"/>
      <c r="N12" s="509"/>
      <c r="O12" s="509"/>
      <c r="P12" s="509"/>
      <c r="Q12" s="509"/>
      <c r="R12" s="509"/>
      <c r="S12" s="509"/>
      <c r="T12" s="509"/>
      <c r="U12" s="509"/>
      <c r="V12" s="509"/>
      <c r="W12" s="509"/>
      <c r="X12" s="509"/>
      <c r="Y12" s="509"/>
    </row>
    <row r="13" spans="1:25" ht="19.5" customHeight="1" x14ac:dyDescent="0.25">
      <c r="A13" s="60"/>
      <c r="B13" s="60"/>
      <c r="C13" s="60"/>
      <c r="D13" s="60"/>
      <c r="E13" s="60"/>
      <c r="F13" s="60"/>
      <c r="G13" s="60"/>
      <c r="H13" s="60"/>
      <c r="I13" s="60"/>
      <c r="J13" s="60"/>
      <c r="K13" s="60"/>
      <c r="L13" s="60"/>
      <c r="M13" s="60"/>
      <c r="N13" s="60"/>
      <c r="O13" s="60"/>
      <c r="P13" s="60"/>
      <c r="Q13" s="60"/>
      <c r="R13" s="60"/>
      <c r="S13" s="60"/>
      <c r="T13" s="60"/>
      <c r="U13" s="60"/>
      <c r="V13" s="60"/>
      <c r="W13" s="60"/>
      <c r="X13" s="60"/>
      <c r="Y13" s="45"/>
    </row>
    <row r="14" spans="1:25" ht="19.5" customHeight="1" x14ac:dyDescent="0.25">
      <c r="A14" s="59" t="s">
        <v>81</v>
      </c>
      <c r="B14" s="59"/>
      <c r="C14" s="59"/>
      <c r="D14" s="59"/>
      <c r="E14" s="59"/>
      <c r="F14" s="59"/>
      <c r="G14" s="59"/>
      <c r="H14" s="59"/>
      <c r="I14" s="59"/>
      <c r="J14" s="59"/>
      <c r="K14" s="59"/>
      <c r="L14" s="59"/>
      <c r="M14" s="59"/>
      <c r="N14" s="59"/>
      <c r="O14" s="59"/>
      <c r="P14" s="59"/>
      <c r="Q14" s="59"/>
      <c r="R14" s="59"/>
      <c r="S14" s="59"/>
      <c r="T14" s="59"/>
      <c r="U14" s="59"/>
      <c r="V14" s="59"/>
      <c r="W14" s="59"/>
      <c r="X14" s="59"/>
    </row>
    <row r="15" spans="1:25" ht="19.5" customHeight="1" x14ac:dyDescent="0.25">
      <c r="A15" s="60"/>
      <c r="B15" s="60"/>
      <c r="C15" s="60"/>
      <c r="D15" s="60"/>
      <c r="E15" s="60"/>
      <c r="F15" s="60"/>
      <c r="G15" s="60"/>
      <c r="H15" s="60"/>
      <c r="I15" s="60"/>
      <c r="J15" s="60"/>
      <c r="K15" s="60"/>
      <c r="L15" s="60"/>
      <c r="M15" s="60"/>
      <c r="N15" s="60"/>
      <c r="O15" s="60"/>
      <c r="P15" s="60"/>
      <c r="Q15" s="60"/>
      <c r="R15" s="60"/>
      <c r="S15" s="60"/>
      <c r="T15" s="60"/>
      <c r="U15" s="60"/>
      <c r="V15" s="60"/>
      <c r="W15" s="60"/>
      <c r="X15" s="60"/>
    </row>
    <row r="16" spans="1:25" ht="15.75" x14ac:dyDescent="0.25">
      <c r="A16" s="122"/>
      <c r="B16" s="508" t="s">
        <v>82</v>
      </c>
      <c r="C16" s="508"/>
      <c r="D16" s="508"/>
      <c r="E16" s="508"/>
      <c r="F16" s="508"/>
      <c r="G16" s="508"/>
      <c r="H16" s="508"/>
      <c r="I16" s="508"/>
      <c r="J16" s="508"/>
      <c r="K16" s="508"/>
      <c r="L16" s="508"/>
      <c r="M16" s="508"/>
      <c r="N16" s="508"/>
      <c r="O16" s="508"/>
      <c r="P16" s="508"/>
      <c r="Q16" s="508"/>
      <c r="R16" s="508"/>
      <c r="S16" s="508"/>
      <c r="T16" s="508"/>
      <c r="U16" s="508"/>
      <c r="V16" s="508"/>
      <c r="W16" s="508"/>
      <c r="X16" s="508"/>
      <c r="Y16" s="61"/>
    </row>
    <row r="17" spans="1:26" ht="63" x14ac:dyDescent="0.25">
      <c r="A17" s="74" t="s">
        <v>83</v>
      </c>
      <c r="B17" s="123" t="s">
        <v>84</v>
      </c>
      <c r="C17" s="123" t="s">
        <v>85</v>
      </c>
      <c r="D17" s="123" t="s">
        <v>86</v>
      </c>
      <c r="E17" s="123" t="s">
        <v>87</v>
      </c>
      <c r="F17" s="123" t="s">
        <v>88</v>
      </c>
      <c r="G17" s="123" t="s">
        <v>89</v>
      </c>
      <c r="H17" s="123" t="s">
        <v>90</v>
      </c>
      <c r="I17" s="123" t="s">
        <v>91</v>
      </c>
      <c r="J17" s="123" t="s">
        <v>92</v>
      </c>
      <c r="K17" s="123" t="s">
        <v>93</v>
      </c>
      <c r="L17" s="123" t="s">
        <v>94</v>
      </c>
      <c r="M17" s="123" t="s">
        <v>95</v>
      </c>
      <c r="N17" s="123" t="s">
        <v>96</v>
      </c>
      <c r="O17" s="123" t="s">
        <v>97</v>
      </c>
      <c r="P17" s="123" t="s">
        <v>98</v>
      </c>
      <c r="Q17" s="123" t="s">
        <v>99</v>
      </c>
      <c r="R17" s="123" t="s">
        <v>100</v>
      </c>
      <c r="S17" s="123" t="s">
        <v>101</v>
      </c>
      <c r="T17" s="123" t="s">
        <v>102</v>
      </c>
      <c r="U17" s="123" t="s">
        <v>103</v>
      </c>
      <c r="V17" s="123" t="s">
        <v>104</v>
      </c>
      <c r="W17" s="123" t="s">
        <v>105</v>
      </c>
      <c r="X17" s="124" t="s">
        <v>106</v>
      </c>
      <c r="Y17" s="61"/>
    </row>
    <row r="18" spans="1:26" ht="15.75" x14ac:dyDescent="0.25">
      <c r="A18" s="62" t="s">
        <v>107</v>
      </c>
      <c r="B18" s="63"/>
      <c r="C18" s="64"/>
      <c r="D18" s="64"/>
      <c r="E18" s="64"/>
      <c r="F18" s="64"/>
      <c r="G18" s="64"/>
      <c r="H18" s="64"/>
      <c r="I18" s="64"/>
      <c r="J18" s="64"/>
      <c r="K18" s="64"/>
      <c r="L18" s="64"/>
      <c r="M18" s="64"/>
      <c r="N18" s="64"/>
      <c r="O18" s="64"/>
      <c r="P18" s="64"/>
      <c r="Q18" s="64"/>
      <c r="R18" s="64"/>
      <c r="S18" s="64"/>
      <c r="T18" s="64"/>
      <c r="U18" s="64"/>
      <c r="V18" s="64"/>
      <c r="W18" s="64"/>
      <c r="X18" s="65"/>
      <c r="Y18" s="61"/>
    </row>
    <row r="19" spans="1:26" ht="30" customHeight="1" x14ac:dyDescent="0.25">
      <c r="A19" s="66" t="s">
        <v>108</v>
      </c>
      <c r="B19" s="67" t="s">
        <v>109</v>
      </c>
      <c r="C19" s="67" t="s">
        <v>109</v>
      </c>
      <c r="D19" s="67" t="s">
        <v>109</v>
      </c>
      <c r="E19" s="67" t="s">
        <v>109</v>
      </c>
      <c r="F19" s="67" t="s">
        <v>109</v>
      </c>
      <c r="G19" s="67" t="s">
        <v>109</v>
      </c>
      <c r="H19" s="67" t="s">
        <v>109</v>
      </c>
      <c r="I19" s="67" t="s">
        <v>109</v>
      </c>
      <c r="J19" s="67" t="s">
        <v>109</v>
      </c>
      <c r="K19" s="67" t="s">
        <v>109</v>
      </c>
      <c r="L19" s="67" t="s">
        <v>109</v>
      </c>
      <c r="M19" s="67" t="s">
        <v>109</v>
      </c>
      <c r="N19" s="67" t="s">
        <v>109</v>
      </c>
      <c r="O19" s="67" t="s">
        <v>109</v>
      </c>
      <c r="P19" s="67" t="s">
        <v>109</v>
      </c>
      <c r="Q19" s="67" t="s">
        <v>109</v>
      </c>
      <c r="R19" s="67" t="s">
        <v>109</v>
      </c>
      <c r="S19" s="67" t="s">
        <v>109</v>
      </c>
      <c r="T19" s="67" t="s">
        <v>109</v>
      </c>
      <c r="U19" s="67" t="s">
        <v>109</v>
      </c>
      <c r="V19" s="67">
        <f t="shared" ref="V19:V25" si="0">SUM(B19:U19)</f>
        <v>0</v>
      </c>
      <c r="W19" s="73">
        <v>1</v>
      </c>
      <c r="X19" s="68">
        <f t="shared" ref="X19:X20" si="1">V19*W19</f>
        <v>0</v>
      </c>
      <c r="Y19" s="72"/>
    </row>
    <row r="20" spans="1:26" ht="30" customHeight="1" x14ac:dyDescent="0.25">
      <c r="A20" s="66" t="s">
        <v>110</v>
      </c>
      <c r="B20" s="67">
        <f>11.862*2</f>
        <v>23.724</v>
      </c>
      <c r="C20" s="67" t="s">
        <v>109</v>
      </c>
      <c r="D20" s="67" t="s">
        <v>109</v>
      </c>
      <c r="E20" s="67">
        <f>66-5</f>
        <v>61</v>
      </c>
      <c r="F20" s="67" t="s">
        <v>109</v>
      </c>
      <c r="G20" s="67">
        <f>15.376+86.456+9.91+1-1-0.6</f>
        <v>111.14200000000001</v>
      </c>
      <c r="H20" s="67">
        <f>27.851+2.925+18.583</f>
        <v>49.358999999999995</v>
      </c>
      <c r="I20" s="67">
        <f>15.242+19--6+7.61+8.82</f>
        <v>56.672000000000004</v>
      </c>
      <c r="J20" s="67">
        <f>2-0.498-2.315+3.3</f>
        <v>2.4870000000000001</v>
      </c>
      <c r="K20" s="67">
        <f>1--0.43+16.41+11.142+16.343+11.253</f>
        <v>56.578000000000003</v>
      </c>
      <c r="L20" s="67">
        <f>31.944+33.446+6.7-7+5.585+15.515+12.587+11.751+25.5-5</f>
        <v>131.02800000000002</v>
      </c>
      <c r="M20" s="67">
        <f>45.42+67.357+7.346+34.886</f>
        <v>155.00900000000001</v>
      </c>
      <c r="N20" s="67">
        <v>25</v>
      </c>
      <c r="O20" s="67">
        <f>5-0.254+24.79</f>
        <v>29.536000000000001</v>
      </c>
      <c r="P20" s="67" t="s">
        <v>109</v>
      </c>
      <c r="Q20" s="69">
        <v>73.47</v>
      </c>
      <c r="R20" s="67" t="s">
        <v>109</v>
      </c>
      <c r="S20" s="67">
        <f>29.294+28.69+13.298+10.074+10.073+9.876</f>
        <v>101.30500000000001</v>
      </c>
      <c r="T20" s="67">
        <v>9.3059999999999992</v>
      </c>
      <c r="U20" s="67" t="s">
        <v>109</v>
      </c>
      <c r="V20" s="67">
        <f t="shared" si="0"/>
        <v>885.61600000000021</v>
      </c>
      <c r="W20" s="73">
        <v>2</v>
      </c>
      <c r="X20" s="68">
        <f t="shared" si="1"/>
        <v>1771.2320000000004</v>
      </c>
      <c r="Y20" s="72"/>
    </row>
    <row r="21" spans="1:26" ht="30" customHeight="1" x14ac:dyDescent="0.25">
      <c r="A21" s="66" t="s">
        <v>111</v>
      </c>
      <c r="B21" s="67" t="s">
        <v>109</v>
      </c>
      <c r="C21" s="67" t="s">
        <v>109</v>
      </c>
      <c r="D21" s="67" t="s">
        <v>109</v>
      </c>
      <c r="E21" s="67">
        <v>169.745</v>
      </c>
      <c r="F21" s="69">
        <f>16.685+15.079+15.396+15.397+15.355+13.737+15.34+15.397</f>
        <v>122.386</v>
      </c>
      <c r="G21" s="67">
        <v>0</v>
      </c>
      <c r="H21" s="67">
        <f>376.44-H20-H24</f>
        <v>279.07000000000005</v>
      </c>
      <c r="I21" s="67">
        <f>50.622+33.363+19.059-32.806</f>
        <v>70.238</v>
      </c>
      <c r="J21" s="67">
        <f>17.323+20.498+18.081+17.959+17.912+17.28+14.021</f>
        <v>123.074</v>
      </c>
      <c r="K21" s="67" t="s">
        <v>109</v>
      </c>
      <c r="L21" s="67" t="s">
        <v>109</v>
      </c>
      <c r="M21" s="67" t="s">
        <v>109</v>
      </c>
      <c r="N21" s="67" t="s">
        <v>109</v>
      </c>
      <c r="O21" s="67" t="s">
        <v>109</v>
      </c>
      <c r="P21" s="67" t="s">
        <v>109</v>
      </c>
      <c r="Q21" s="67" t="s">
        <v>109</v>
      </c>
      <c r="R21" s="67" t="s">
        <v>109</v>
      </c>
      <c r="S21" s="67" t="s">
        <v>109</v>
      </c>
      <c r="T21" s="67" t="s">
        <v>109</v>
      </c>
      <c r="U21" s="67" t="s">
        <v>109</v>
      </c>
      <c r="V21" s="67">
        <f t="shared" si="0"/>
        <v>764.51300000000003</v>
      </c>
      <c r="W21" s="73">
        <v>2</v>
      </c>
      <c r="X21" s="68">
        <f>V21*W21</f>
        <v>1529.0260000000001</v>
      </c>
      <c r="Y21" s="72"/>
    </row>
    <row r="22" spans="1:26" ht="30" customHeight="1" x14ac:dyDescent="0.25">
      <c r="A22" s="66" t="s">
        <v>112</v>
      </c>
      <c r="B22" s="67" t="s">
        <v>109</v>
      </c>
      <c r="C22" s="67" t="s">
        <v>109</v>
      </c>
      <c r="D22" s="67" t="s">
        <v>109</v>
      </c>
      <c r="E22" s="67">
        <v>8.5749999999999993</v>
      </c>
      <c r="F22" s="67" t="s">
        <v>109</v>
      </c>
      <c r="G22" s="67" t="s">
        <v>109</v>
      </c>
      <c r="H22" s="67" t="s">
        <v>109</v>
      </c>
      <c r="I22" s="67" t="s">
        <v>109</v>
      </c>
      <c r="J22" s="67" t="s">
        <v>109</v>
      </c>
      <c r="K22" s="67">
        <v>33.462000000000003</v>
      </c>
      <c r="L22" s="67" t="s">
        <v>109</v>
      </c>
      <c r="M22" s="67" t="s">
        <v>109</v>
      </c>
      <c r="N22" s="67" t="s">
        <v>109</v>
      </c>
      <c r="O22" s="67" t="s">
        <v>109</v>
      </c>
      <c r="P22" s="67">
        <v>195.7</v>
      </c>
      <c r="Q22" s="67" t="s">
        <v>109</v>
      </c>
      <c r="R22" s="67">
        <v>139.39500000000001</v>
      </c>
      <c r="S22" s="67">
        <f>48.589+28.027</f>
        <v>76.616</v>
      </c>
      <c r="T22" s="67" t="s">
        <v>109</v>
      </c>
      <c r="U22" s="67" t="s">
        <v>109</v>
      </c>
      <c r="V22" s="67">
        <f t="shared" si="0"/>
        <v>453.74799999999999</v>
      </c>
      <c r="W22" s="73">
        <v>1</v>
      </c>
      <c r="X22" s="68">
        <f t="shared" ref="X22:X25" si="2">V22*W22</f>
        <v>453.74799999999999</v>
      </c>
      <c r="Y22" s="72"/>
    </row>
    <row r="23" spans="1:26" ht="30" customHeight="1" x14ac:dyDescent="0.25">
      <c r="A23" s="66" t="s">
        <v>113</v>
      </c>
      <c r="B23" s="67" t="s">
        <v>109</v>
      </c>
      <c r="C23" s="67" t="s">
        <v>109</v>
      </c>
      <c r="D23" s="67" t="s">
        <v>109</v>
      </c>
      <c r="E23" s="67" t="s">
        <v>109</v>
      </c>
      <c r="F23" s="67" t="s">
        <v>109</v>
      </c>
      <c r="G23" s="67" t="s">
        <v>109</v>
      </c>
      <c r="H23" s="67" t="s">
        <v>109</v>
      </c>
      <c r="I23" s="67" t="s">
        <v>109</v>
      </c>
      <c r="J23" s="67" t="s">
        <v>109</v>
      </c>
      <c r="K23" s="67" t="s">
        <v>109</v>
      </c>
      <c r="L23" s="67" t="s">
        <v>109</v>
      </c>
      <c r="M23" s="67" t="s">
        <v>109</v>
      </c>
      <c r="N23" s="67" t="s">
        <v>109</v>
      </c>
      <c r="O23" s="67" t="s">
        <v>109</v>
      </c>
      <c r="P23" s="67" t="s">
        <v>109</v>
      </c>
      <c r="Q23" s="67" t="s">
        <v>109</v>
      </c>
      <c r="R23" s="67" t="s">
        <v>109</v>
      </c>
      <c r="S23" s="67" t="s">
        <v>109</v>
      </c>
      <c r="T23" s="67">
        <v>63.89</v>
      </c>
      <c r="U23" s="67" t="s">
        <v>109</v>
      </c>
      <c r="V23" s="67">
        <f t="shared" si="0"/>
        <v>63.89</v>
      </c>
      <c r="W23" s="73">
        <v>1</v>
      </c>
      <c r="X23" s="68">
        <f t="shared" si="2"/>
        <v>63.89</v>
      </c>
      <c r="Y23" s="72"/>
    </row>
    <row r="24" spans="1:26" ht="30" customHeight="1" x14ac:dyDescent="0.25">
      <c r="A24" s="70" t="s">
        <v>114</v>
      </c>
      <c r="B24" s="67" t="s">
        <v>109</v>
      </c>
      <c r="C24" s="67" t="s">
        <v>109</v>
      </c>
      <c r="D24" s="67" t="s">
        <v>109</v>
      </c>
      <c r="E24" s="67">
        <f>28.729+7.195+19.987+4.739+5.133+21.051+5.073</f>
        <v>91.907000000000011</v>
      </c>
      <c r="F24" s="67">
        <v>59.966000000000001</v>
      </c>
      <c r="G24" s="67">
        <v>31.125</v>
      </c>
      <c r="H24" s="67">
        <f>17.021+29.752+1.238</f>
        <v>48.010999999999996</v>
      </c>
      <c r="I24" s="67">
        <f>36.28+22.268</f>
        <v>58.548000000000002</v>
      </c>
      <c r="J24" s="67">
        <f>12.537+29.085+6.239</f>
        <v>47.860999999999997</v>
      </c>
      <c r="K24" s="67">
        <v>14.593999999999999</v>
      </c>
      <c r="L24" s="67">
        <f>40.485+8.048</f>
        <v>48.533000000000001</v>
      </c>
      <c r="M24" s="67">
        <v>39.978999999999999</v>
      </c>
      <c r="N24" s="67" t="s">
        <v>109</v>
      </c>
      <c r="O24" s="67" t="s">
        <v>109</v>
      </c>
      <c r="P24" s="67">
        <v>109.81</v>
      </c>
      <c r="Q24" s="67">
        <v>23.725999999999999</v>
      </c>
      <c r="R24" s="67" t="s">
        <v>109</v>
      </c>
      <c r="S24" s="67" t="s">
        <v>109</v>
      </c>
      <c r="T24" s="67" t="s">
        <v>109</v>
      </c>
      <c r="U24" s="67" t="s">
        <v>109</v>
      </c>
      <c r="V24" s="67">
        <f t="shared" si="0"/>
        <v>574.06000000000006</v>
      </c>
      <c r="W24" s="73">
        <v>1</v>
      </c>
      <c r="X24" s="68">
        <f t="shared" si="2"/>
        <v>574.06000000000006</v>
      </c>
      <c r="Y24" s="72"/>
    </row>
    <row r="25" spans="1:26" ht="30" customHeight="1" x14ac:dyDescent="0.25">
      <c r="A25" s="66" t="s">
        <v>115</v>
      </c>
      <c r="B25" s="67">
        <f>1.822*2</f>
        <v>3.6440000000000001</v>
      </c>
      <c r="C25" s="67" t="s">
        <v>109</v>
      </c>
      <c r="D25" s="67" t="s">
        <v>109</v>
      </c>
      <c r="E25" s="67">
        <v>8.99</v>
      </c>
      <c r="F25" s="67">
        <f>9.205+9.167</f>
        <v>18.372</v>
      </c>
      <c r="G25" s="67">
        <v>6.4</v>
      </c>
      <c r="H25" s="67">
        <v>28.08</v>
      </c>
      <c r="I25" s="67">
        <f>4.99+4.11+4.14+4.69</f>
        <v>17.930000000000003</v>
      </c>
      <c r="J25" s="67">
        <v>34.61</v>
      </c>
      <c r="K25" s="67">
        <f>5.56+5.51</f>
        <v>11.07</v>
      </c>
      <c r="L25" s="67">
        <f>8.85+4.483+3.22+2.42</f>
        <v>18.972999999999999</v>
      </c>
      <c r="M25" s="67">
        <f>10.32+4.26</f>
        <v>14.58</v>
      </c>
      <c r="N25" s="67" t="s">
        <v>109</v>
      </c>
      <c r="O25" s="67" t="s">
        <v>109</v>
      </c>
      <c r="P25" s="67">
        <v>11.1</v>
      </c>
      <c r="Q25" s="67">
        <v>16.652000000000001</v>
      </c>
      <c r="R25" s="67" t="s">
        <v>109</v>
      </c>
      <c r="S25" s="67">
        <f>1.57*2</f>
        <v>3.14</v>
      </c>
      <c r="T25" s="67" t="s">
        <v>109</v>
      </c>
      <c r="U25" s="67">
        <v>22.49</v>
      </c>
      <c r="V25" s="67">
        <f t="shared" si="0"/>
        <v>216.03100000000001</v>
      </c>
      <c r="W25" s="73">
        <v>2</v>
      </c>
      <c r="X25" s="68">
        <f t="shared" si="2"/>
        <v>432.06200000000001</v>
      </c>
      <c r="Y25" s="72"/>
      <c r="Z25" s="476"/>
    </row>
    <row r="26" spans="1:26" ht="15.75" x14ac:dyDescent="0.25">
      <c r="A26" s="62" t="s">
        <v>116</v>
      </c>
      <c r="B26" s="63"/>
      <c r="C26" s="64"/>
      <c r="D26" s="64"/>
      <c r="E26" s="64"/>
      <c r="F26" s="64"/>
      <c r="G26" s="64"/>
      <c r="H26" s="64"/>
      <c r="I26" s="64"/>
      <c r="J26" s="64"/>
      <c r="K26" s="64"/>
      <c r="L26" s="64"/>
      <c r="M26" s="64"/>
      <c r="N26" s="64"/>
      <c r="O26" s="64"/>
      <c r="P26" s="64"/>
      <c r="Q26" s="64"/>
      <c r="R26" s="64"/>
      <c r="S26" s="64"/>
      <c r="T26" s="64"/>
      <c r="U26" s="64"/>
      <c r="V26" s="64"/>
      <c r="W26" s="64"/>
      <c r="X26" s="65"/>
      <c r="Y26" s="61"/>
    </row>
    <row r="27" spans="1:26" ht="30" customHeight="1" x14ac:dyDescent="0.25">
      <c r="A27" s="70" t="s">
        <v>117</v>
      </c>
      <c r="B27" s="67" t="s">
        <v>109</v>
      </c>
      <c r="C27" s="67">
        <v>675.16800000000001</v>
      </c>
      <c r="D27" s="67" t="s">
        <v>109</v>
      </c>
      <c r="E27" s="67" t="s">
        <v>109</v>
      </c>
      <c r="F27" s="67" t="s">
        <v>109</v>
      </c>
      <c r="G27" s="67" t="s">
        <v>109</v>
      </c>
      <c r="H27" s="67" t="s">
        <v>109</v>
      </c>
      <c r="I27" s="67" t="s">
        <v>109</v>
      </c>
      <c r="J27" s="67" t="s">
        <v>109</v>
      </c>
      <c r="K27" s="67" t="s">
        <v>109</v>
      </c>
      <c r="L27" s="67" t="s">
        <v>109</v>
      </c>
      <c r="M27" s="67" t="s">
        <v>109</v>
      </c>
      <c r="N27" s="67" t="s">
        <v>109</v>
      </c>
      <c r="O27" s="67" t="s">
        <v>109</v>
      </c>
      <c r="P27" s="67" t="s">
        <v>109</v>
      </c>
      <c r="Q27" s="67" t="s">
        <v>109</v>
      </c>
      <c r="R27" s="67" t="s">
        <v>109</v>
      </c>
      <c r="S27" s="67" t="s">
        <v>109</v>
      </c>
      <c r="T27" s="67" t="s">
        <v>109</v>
      </c>
      <c r="U27" s="67">
        <f>2.585*3.261</f>
        <v>8.429685000000001</v>
      </c>
      <c r="V27" s="67">
        <f t="shared" ref="V27:V29" si="3">SUM(B27:U27)</f>
        <v>683.59768499999996</v>
      </c>
      <c r="W27" s="73" t="s">
        <v>109</v>
      </c>
      <c r="X27" s="68">
        <f>SUM(B27:U27)</f>
        <v>683.59768499999996</v>
      </c>
      <c r="Y27" s="61"/>
    </row>
    <row r="28" spans="1:26" ht="30" customHeight="1" x14ac:dyDescent="0.25">
      <c r="A28" s="66" t="s">
        <v>118</v>
      </c>
      <c r="B28" s="67" t="s">
        <v>109</v>
      </c>
      <c r="C28" s="67">
        <v>3842.4840000000004</v>
      </c>
      <c r="D28" s="67" t="s">
        <v>109</v>
      </c>
      <c r="E28" s="67" t="s">
        <v>109</v>
      </c>
      <c r="F28" s="67" t="s">
        <v>109</v>
      </c>
      <c r="G28" s="67" t="s">
        <v>109</v>
      </c>
      <c r="H28" s="67" t="s">
        <v>109</v>
      </c>
      <c r="I28" s="67" t="s">
        <v>109</v>
      </c>
      <c r="J28" s="67" t="s">
        <v>109</v>
      </c>
      <c r="K28" s="67" t="s">
        <v>109</v>
      </c>
      <c r="L28" s="67" t="s">
        <v>109</v>
      </c>
      <c r="M28" s="67" t="s">
        <v>109</v>
      </c>
      <c r="N28" s="67" t="s">
        <v>109</v>
      </c>
      <c r="O28" s="67" t="s">
        <v>109</v>
      </c>
      <c r="P28" s="67" t="s">
        <v>109</v>
      </c>
      <c r="Q28" s="67" t="s">
        <v>109</v>
      </c>
      <c r="R28" s="67" t="s">
        <v>109</v>
      </c>
      <c r="S28" s="67" t="s">
        <v>109</v>
      </c>
      <c r="T28" s="67" t="s">
        <v>109</v>
      </c>
      <c r="U28" s="67" t="s">
        <v>109</v>
      </c>
      <c r="V28" s="67">
        <f t="shared" si="3"/>
        <v>3842.4840000000004</v>
      </c>
      <c r="W28" s="73" t="s">
        <v>109</v>
      </c>
      <c r="X28" s="68">
        <f>SUM(B28:U28)</f>
        <v>3842.4840000000004</v>
      </c>
      <c r="Y28" s="61"/>
    </row>
    <row r="29" spans="1:26" ht="30" customHeight="1" x14ac:dyDescent="0.25">
      <c r="A29" s="66" t="s">
        <v>119</v>
      </c>
      <c r="B29" s="67" t="s">
        <v>109</v>
      </c>
      <c r="C29" s="67" t="s">
        <v>109</v>
      </c>
      <c r="D29" s="67">
        <f>2211.57+54.352</f>
        <v>2265.922</v>
      </c>
      <c r="E29" s="67" t="s">
        <v>109</v>
      </c>
      <c r="F29" s="67" t="s">
        <v>109</v>
      </c>
      <c r="G29" s="67" t="s">
        <v>109</v>
      </c>
      <c r="H29" s="67" t="s">
        <v>109</v>
      </c>
      <c r="I29" s="67" t="s">
        <v>109</v>
      </c>
      <c r="J29" s="67" t="s">
        <v>109</v>
      </c>
      <c r="K29" s="67" t="s">
        <v>109</v>
      </c>
      <c r="L29" s="67" t="s">
        <v>109</v>
      </c>
      <c r="M29" s="67" t="s">
        <v>109</v>
      </c>
      <c r="N29" s="67" t="s">
        <v>109</v>
      </c>
      <c r="O29" s="67" t="s">
        <v>109</v>
      </c>
      <c r="P29" s="67" t="s">
        <v>109</v>
      </c>
      <c r="Q29" s="67" t="s">
        <v>109</v>
      </c>
      <c r="R29" s="67" t="s">
        <v>109</v>
      </c>
      <c r="S29" s="67" t="s">
        <v>109</v>
      </c>
      <c r="T29" s="67" t="s">
        <v>109</v>
      </c>
      <c r="U29" s="67" t="s">
        <v>109</v>
      </c>
      <c r="V29" s="67">
        <f t="shared" si="3"/>
        <v>2265.922</v>
      </c>
      <c r="W29" s="73" t="s">
        <v>109</v>
      </c>
      <c r="X29" s="68">
        <f>SUM(B29:U29)</f>
        <v>2265.922</v>
      </c>
      <c r="Y29" s="61"/>
    </row>
    <row r="30" spans="1:26" ht="30" customHeight="1" x14ac:dyDescent="0.25">
      <c r="A30" s="70" t="s">
        <v>120</v>
      </c>
      <c r="B30" s="67" t="s">
        <v>109</v>
      </c>
      <c r="C30" s="67" t="s">
        <v>109</v>
      </c>
      <c r="D30" s="67" t="s">
        <v>109</v>
      </c>
      <c r="E30" s="67" t="s">
        <v>109</v>
      </c>
      <c r="F30" s="67" t="s">
        <v>109</v>
      </c>
      <c r="G30" s="67" t="s">
        <v>109</v>
      </c>
      <c r="H30" s="67" t="s">
        <v>109</v>
      </c>
      <c r="I30" s="67" t="s">
        <v>109</v>
      </c>
      <c r="J30" s="67" t="s">
        <v>109</v>
      </c>
      <c r="K30" s="67" t="s">
        <v>109</v>
      </c>
      <c r="L30" s="67" t="s">
        <v>109</v>
      </c>
      <c r="M30" s="67" t="s">
        <v>109</v>
      </c>
      <c r="N30" s="67" t="s">
        <v>109</v>
      </c>
      <c r="O30" s="67" t="s">
        <v>109</v>
      </c>
      <c r="P30" s="67" t="s">
        <v>109</v>
      </c>
      <c r="Q30" s="67" t="s">
        <v>109</v>
      </c>
      <c r="R30" s="67" t="s">
        <v>109</v>
      </c>
      <c r="S30" s="67" t="s">
        <v>109</v>
      </c>
      <c r="T30" s="67" t="s">
        <v>109</v>
      </c>
      <c r="U30" s="67" t="s">
        <v>109</v>
      </c>
      <c r="V30" s="67" t="s">
        <v>109</v>
      </c>
      <c r="W30" s="73" t="s">
        <v>109</v>
      </c>
      <c r="X30" s="68">
        <f>SUM(B30:U30)</f>
        <v>0</v>
      </c>
      <c r="Y30" s="61"/>
    </row>
    <row r="31" spans="1:26" ht="15.75" x14ac:dyDescent="0.25">
      <c r="A31" s="62" t="s">
        <v>121</v>
      </c>
      <c r="B31" s="63"/>
      <c r="C31" s="64"/>
      <c r="D31" s="64"/>
      <c r="E31" s="64"/>
      <c r="F31" s="64"/>
      <c r="G31" s="64"/>
      <c r="H31" s="64"/>
      <c r="I31" s="64"/>
      <c r="J31" s="64"/>
      <c r="K31" s="64"/>
      <c r="L31" s="64"/>
      <c r="M31" s="64"/>
      <c r="N31" s="64"/>
      <c r="O31" s="64"/>
      <c r="P31" s="64"/>
      <c r="Q31" s="64"/>
      <c r="R31" s="64"/>
      <c r="S31" s="64"/>
      <c r="T31" s="64"/>
      <c r="U31" s="64"/>
      <c r="V31" s="64"/>
      <c r="W31" s="64"/>
      <c r="X31" s="65"/>
      <c r="Y31" s="61"/>
    </row>
    <row r="32" spans="1:26" ht="30" customHeight="1" x14ac:dyDescent="0.25">
      <c r="A32" s="70" t="s">
        <v>122</v>
      </c>
      <c r="B32" s="67" t="s">
        <v>109</v>
      </c>
      <c r="C32" s="67" t="s">
        <v>109</v>
      </c>
      <c r="D32" s="67" t="s">
        <v>109</v>
      </c>
      <c r="E32" s="67" t="s">
        <v>109</v>
      </c>
      <c r="F32" s="67">
        <f>1.75*2</f>
        <v>3.5</v>
      </c>
      <c r="G32" s="67">
        <f>(1.2*0.5*5)+(6*1.03*2.4)</f>
        <v>17.832000000000001</v>
      </c>
      <c r="H32" s="67" t="s">
        <v>109</v>
      </c>
      <c r="I32" s="67" t="s">
        <v>109</v>
      </c>
      <c r="J32" s="67" t="s">
        <v>109</v>
      </c>
      <c r="K32" s="67" t="s">
        <v>109</v>
      </c>
      <c r="L32" s="67">
        <f>15+(0.8*0.8)+(0.8*0.5*3)</f>
        <v>16.84</v>
      </c>
      <c r="M32" s="67">
        <f>(13.5*1.3)+(2.5*0.8)+((6.12+3.03+4.23+4.23)*1.14)</f>
        <v>39.625399999999999</v>
      </c>
      <c r="N32" s="67" t="s">
        <v>109</v>
      </c>
      <c r="O32" s="67" t="s">
        <v>109</v>
      </c>
      <c r="P32" s="67" t="s">
        <v>109</v>
      </c>
      <c r="Q32" s="67">
        <f>0.35*4</f>
        <v>1.4</v>
      </c>
      <c r="R32" s="67" t="s">
        <v>109</v>
      </c>
      <c r="S32" s="67" t="s">
        <v>109</v>
      </c>
      <c r="T32" s="67" t="s">
        <v>109</v>
      </c>
      <c r="U32" s="67" t="s">
        <v>109</v>
      </c>
      <c r="V32" s="67">
        <f t="shared" ref="V32:V34" si="4">SUM(B32:U32)</f>
        <v>79.197400000000002</v>
      </c>
      <c r="W32" s="67" t="s">
        <v>109</v>
      </c>
      <c r="X32" s="68">
        <f>SUM(B32:W32)</f>
        <v>158.3948</v>
      </c>
      <c r="Y32" s="61"/>
    </row>
    <row r="33" spans="1:25" ht="30" customHeight="1" x14ac:dyDescent="0.25">
      <c r="A33" s="70" t="s">
        <v>123</v>
      </c>
      <c r="B33" s="67">
        <f>0.8*2.2*2</f>
        <v>3.5200000000000005</v>
      </c>
      <c r="C33" s="67" t="s">
        <v>109</v>
      </c>
      <c r="D33" s="67" t="s">
        <v>109</v>
      </c>
      <c r="E33" s="67">
        <f>43.46+(3.07*2.2)</f>
        <v>50.213999999999999</v>
      </c>
      <c r="F33" s="67">
        <f>(7*2.4*1.3)+(0.5*1.2*4)+(1.75*2)</f>
        <v>27.740000000000002</v>
      </c>
      <c r="G33" s="67" t="s">
        <v>109</v>
      </c>
      <c r="H33" s="67">
        <f>(5.5*2.2)+(2.8*0.7)+(9.54*0.8)+(1.4*0.9)</f>
        <v>22.952000000000002</v>
      </c>
      <c r="I33" s="67">
        <f>(1.45*6)+2.6</f>
        <v>11.299999999999999</v>
      </c>
      <c r="J33" s="67">
        <f>(7.2*2.2)+2.4+8.96</f>
        <v>27.200000000000003</v>
      </c>
      <c r="K33" s="67">
        <f>5.4+(2.2*2.1)</f>
        <v>10.020000000000001</v>
      </c>
      <c r="L33" s="67" t="s">
        <v>109</v>
      </c>
      <c r="M33" s="67" t="s">
        <v>109</v>
      </c>
      <c r="N33" s="67">
        <f>2.48*4*1.2</f>
        <v>11.904</v>
      </c>
      <c r="O33" s="67">
        <f>1.24*4*1.2</f>
        <v>5.952</v>
      </c>
      <c r="P33" s="67">
        <f>14*1.3</f>
        <v>18.2</v>
      </c>
      <c r="Q33" s="67">
        <f>(1.9*2.2)+2</f>
        <v>6.18</v>
      </c>
      <c r="R33" s="67" t="s">
        <v>109</v>
      </c>
      <c r="S33" s="67">
        <f>(5.2*2.2)+3.6</f>
        <v>15.040000000000001</v>
      </c>
      <c r="T33" s="67" t="s">
        <v>109</v>
      </c>
      <c r="U33" s="67">
        <f>0.8*2.2</f>
        <v>1.7600000000000002</v>
      </c>
      <c r="V33" s="67">
        <f t="shared" si="4"/>
        <v>211.98199999999997</v>
      </c>
      <c r="W33" s="67" t="s">
        <v>109</v>
      </c>
      <c r="X33" s="68">
        <f>SUM(B33:U33)</f>
        <v>211.98199999999997</v>
      </c>
      <c r="Y33" s="61"/>
    </row>
    <row r="34" spans="1:25" ht="30" customHeight="1" x14ac:dyDescent="0.25">
      <c r="A34" s="66" t="s">
        <v>124</v>
      </c>
      <c r="B34" s="67">
        <f>(0.65*2.2*2)+3.52</f>
        <v>6.3800000000000008</v>
      </c>
      <c r="C34" s="67" t="s">
        <v>109</v>
      </c>
      <c r="D34" s="67" t="s">
        <v>109</v>
      </c>
      <c r="E34" s="67">
        <f>(9.85*2)+50.21</f>
        <v>69.91</v>
      </c>
      <c r="F34" s="67">
        <v>0</v>
      </c>
      <c r="G34" s="67">
        <f>(1.2*0.5*5)+(6*1.03*2.4)</f>
        <v>17.832000000000001</v>
      </c>
      <c r="H34" s="67">
        <f>(16.05*2)</f>
        <v>32.1</v>
      </c>
      <c r="I34" s="67">
        <f>((16.8*2.2)*2)+11.3</f>
        <v>85.220000000000013</v>
      </c>
      <c r="J34" s="67">
        <f>(23.62*2)+27.2</f>
        <v>74.44</v>
      </c>
      <c r="K34" s="67">
        <f>((3.7*2.2)*2)+10.02</f>
        <v>26.3</v>
      </c>
      <c r="L34" s="67">
        <f>(12.4*2.2)+3.2+16.84</f>
        <v>47.320000000000007</v>
      </c>
      <c r="M34" s="67">
        <f>(5.69*2.2*2)+19.55</f>
        <v>44.586000000000006</v>
      </c>
      <c r="N34" s="67">
        <v>11.9</v>
      </c>
      <c r="O34" s="67">
        <v>5.95</v>
      </c>
      <c r="P34" s="67">
        <f>(8*1.3*2)+18.2</f>
        <v>39</v>
      </c>
      <c r="Q34" s="67">
        <f>(10.4*2.2*2)+6.18</f>
        <v>51.940000000000005</v>
      </c>
      <c r="R34" s="67" t="s">
        <v>109</v>
      </c>
      <c r="S34" s="67">
        <v>15.04</v>
      </c>
      <c r="T34" s="67" t="s">
        <v>109</v>
      </c>
      <c r="U34" s="67">
        <f>0.8*2.2</f>
        <v>1.7600000000000002</v>
      </c>
      <c r="V34" s="67">
        <f t="shared" si="4"/>
        <v>529.678</v>
      </c>
      <c r="W34" s="67" t="s">
        <v>109</v>
      </c>
      <c r="X34" s="68">
        <f>SUM(B34:W34)</f>
        <v>1059.356</v>
      </c>
      <c r="Y34" s="61"/>
    </row>
    <row r="35" spans="1:25" ht="15.75" x14ac:dyDescent="0.25">
      <c r="A35" s="62" t="s">
        <v>125</v>
      </c>
      <c r="B35" s="63"/>
      <c r="C35" s="64"/>
      <c r="D35" s="64"/>
      <c r="E35" s="64"/>
      <c r="F35" s="64"/>
      <c r="G35" s="64"/>
      <c r="H35" s="64"/>
      <c r="I35" s="64"/>
      <c r="J35" s="64"/>
      <c r="K35" s="64"/>
      <c r="L35" s="64"/>
      <c r="M35" s="64"/>
      <c r="N35" s="64"/>
      <c r="O35" s="64"/>
      <c r="P35" s="64"/>
      <c r="Q35" s="64"/>
      <c r="R35" s="64"/>
      <c r="S35" s="64"/>
      <c r="T35" s="64"/>
      <c r="U35" s="64"/>
      <c r="V35" s="64"/>
      <c r="W35" s="64"/>
      <c r="X35" s="65"/>
      <c r="Y35" s="61"/>
    </row>
    <row r="36" spans="1:25" ht="30" customHeight="1" x14ac:dyDescent="0.25">
      <c r="A36" s="70" t="s">
        <v>126</v>
      </c>
      <c r="B36" s="67">
        <f>(7.68*2)*2</f>
        <v>30.72</v>
      </c>
      <c r="C36" s="67" t="s">
        <v>109</v>
      </c>
      <c r="D36" s="67" t="s">
        <v>109</v>
      </c>
      <c r="E36" s="67">
        <f>(12.37+((9.2+3+2.25+2.4)*2.2))*2</f>
        <v>98.88</v>
      </c>
      <c r="F36" s="67">
        <f>(((8*1.2)+5.7)*2.2)+27.74</f>
        <v>61.400000000000006</v>
      </c>
      <c r="G36" s="67">
        <f>(5.85*2)</f>
        <v>11.7</v>
      </c>
      <c r="H36" s="67">
        <f>(44.3+(1.2*2.2)+2.6)*2</f>
        <v>99.08</v>
      </c>
      <c r="I36" s="67">
        <f>((9.25*1.3)+(2.3*2.2))*2</f>
        <v>34.17</v>
      </c>
      <c r="J36" s="67" t="s">
        <v>109</v>
      </c>
      <c r="K36" s="67">
        <f>2.85*1.3*2</f>
        <v>7.41</v>
      </c>
      <c r="L36" s="67">
        <f>(((3.57+4.58)*1.3)+2)*2</f>
        <v>25.19</v>
      </c>
      <c r="M36" s="67">
        <f>(6.12+3.03+4.23+4.23+12)*1.14</f>
        <v>33.755399999999995</v>
      </c>
      <c r="N36" s="67" t="s">
        <v>109</v>
      </c>
      <c r="O36" s="67" t="s">
        <v>109</v>
      </c>
      <c r="P36" s="67" t="s">
        <v>109</v>
      </c>
      <c r="Q36" s="67" t="s">
        <v>109</v>
      </c>
      <c r="R36" s="67" t="s">
        <v>109</v>
      </c>
      <c r="S36" s="67" t="s">
        <v>109</v>
      </c>
      <c r="T36" s="67" t="s">
        <v>109</v>
      </c>
      <c r="U36" s="67" t="s">
        <v>109</v>
      </c>
      <c r="V36" s="67">
        <f t="shared" ref="V36" si="5">SUM(B36:U36)</f>
        <v>402.30540000000002</v>
      </c>
      <c r="W36" s="67" t="s">
        <v>109</v>
      </c>
      <c r="X36" s="68">
        <f>SUM(B36:W36)</f>
        <v>804.61080000000004</v>
      </c>
      <c r="Y36" s="61"/>
    </row>
    <row r="37" spans="1:25" ht="15.75" x14ac:dyDescent="0.25">
      <c r="A37" s="71"/>
      <c r="B37" s="61"/>
      <c r="C37" s="61"/>
      <c r="D37" s="61"/>
      <c r="E37" s="61"/>
      <c r="F37" s="61"/>
      <c r="G37" s="61"/>
      <c r="H37" s="61"/>
      <c r="I37" s="61"/>
      <c r="J37" s="61"/>
      <c r="K37" s="61"/>
      <c r="L37" s="61"/>
      <c r="M37" s="61"/>
      <c r="N37" s="61"/>
      <c r="O37" s="61"/>
      <c r="P37" s="61"/>
      <c r="Q37" s="61"/>
      <c r="R37" s="61"/>
      <c r="S37" s="61"/>
      <c r="T37" s="61"/>
      <c r="U37" s="61"/>
      <c r="W37" s="61"/>
      <c r="X37" s="68">
        <f>SUM(X19:X36)</f>
        <v>13850.365285000002</v>
      </c>
      <c r="Y37" s="61"/>
    </row>
    <row r="38" spans="1:25" x14ac:dyDescent="0.25">
      <c r="A38" s="61"/>
      <c r="B38" s="61"/>
      <c r="C38" s="61"/>
      <c r="D38" s="61"/>
      <c r="E38" s="61"/>
      <c r="F38" s="61"/>
      <c r="G38" s="61"/>
      <c r="H38" s="61"/>
      <c r="I38" s="61"/>
      <c r="J38" s="61"/>
      <c r="K38" s="61"/>
      <c r="L38" s="61"/>
      <c r="M38" s="61"/>
      <c r="N38" s="61"/>
      <c r="O38" s="61"/>
      <c r="P38" s="61"/>
      <c r="Q38" s="61"/>
      <c r="R38" s="61"/>
      <c r="S38" s="61"/>
      <c r="T38" s="61"/>
      <c r="U38" s="61"/>
      <c r="V38" s="61"/>
      <c r="W38" s="61"/>
      <c r="X38" s="61"/>
      <c r="Y38" s="61"/>
    </row>
    <row r="39" spans="1:25" x14ac:dyDescent="0.25">
      <c r="A39" s="61"/>
      <c r="B39" s="61"/>
      <c r="C39" s="61"/>
      <c r="D39" s="61"/>
      <c r="E39" s="61"/>
      <c r="F39" s="61"/>
      <c r="G39" s="61"/>
      <c r="H39" s="61"/>
      <c r="I39" s="61"/>
      <c r="J39" s="61"/>
      <c r="K39" s="61"/>
      <c r="L39" s="61"/>
      <c r="M39" s="61"/>
      <c r="N39" s="61"/>
      <c r="O39" s="61"/>
      <c r="P39" s="61"/>
      <c r="Q39" s="61"/>
      <c r="R39" s="61"/>
      <c r="S39" s="61"/>
      <c r="T39" s="61"/>
      <c r="U39" s="61"/>
      <c r="V39" s="61"/>
      <c r="W39" s="61"/>
      <c r="X39" s="61"/>
      <c r="Y39" s="61"/>
    </row>
    <row r="40" spans="1:25" x14ac:dyDescent="0.25">
      <c r="A40" s="61"/>
      <c r="B40" s="61"/>
      <c r="C40" s="61"/>
      <c r="D40" s="61"/>
      <c r="E40" s="61"/>
      <c r="F40" s="61"/>
      <c r="G40" s="61"/>
      <c r="H40" s="61"/>
      <c r="I40" s="61"/>
      <c r="J40" s="61"/>
      <c r="K40" s="61"/>
      <c r="L40" s="61"/>
      <c r="M40" s="61"/>
      <c r="N40" s="61"/>
      <c r="O40" s="61"/>
      <c r="P40" s="61"/>
      <c r="Q40" s="61"/>
      <c r="R40" s="61"/>
      <c r="S40" s="61"/>
      <c r="T40" s="61"/>
      <c r="U40" s="61"/>
      <c r="V40" s="61"/>
      <c r="W40" s="61"/>
      <c r="X40" s="61"/>
      <c r="Y40" s="61"/>
    </row>
    <row r="41" spans="1:25" x14ac:dyDescent="0.25">
      <c r="A41" s="61"/>
      <c r="B41" s="61"/>
      <c r="C41" s="61"/>
      <c r="D41" s="61"/>
      <c r="E41" s="61"/>
      <c r="F41" s="61"/>
      <c r="G41" s="61"/>
      <c r="H41" s="61"/>
      <c r="I41" s="61"/>
      <c r="J41" s="61"/>
      <c r="K41" s="61"/>
      <c r="L41" s="61"/>
      <c r="M41" s="61"/>
      <c r="N41" s="61"/>
      <c r="O41" s="61"/>
      <c r="P41" s="61"/>
      <c r="Q41" s="61"/>
      <c r="R41" s="61"/>
      <c r="S41" s="61"/>
      <c r="T41" s="61"/>
      <c r="U41" s="61"/>
      <c r="V41" s="61"/>
      <c r="W41" s="61"/>
      <c r="X41" s="61"/>
      <c r="Y41" s="61"/>
    </row>
    <row r="42" spans="1:25" x14ac:dyDescent="0.25">
      <c r="A42" s="61"/>
      <c r="B42" s="61"/>
      <c r="C42" s="61"/>
      <c r="D42" s="61"/>
      <c r="E42" s="61"/>
      <c r="F42" s="61"/>
      <c r="G42" s="61"/>
      <c r="H42" s="61"/>
      <c r="I42" s="61"/>
      <c r="J42" s="61"/>
      <c r="K42" s="61"/>
      <c r="L42" s="61"/>
      <c r="M42" s="61"/>
      <c r="N42" s="61"/>
      <c r="O42" s="61"/>
      <c r="P42" s="61"/>
      <c r="Q42" s="61"/>
      <c r="R42" s="61"/>
      <c r="S42" s="61"/>
      <c r="T42" s="61"/>
      <c r="U42" s="61"/>
      <c r="V42" s="61"/>
      <c r="W42" s="61"/>
      <c r="X42" s="61"/>
      <c r="Y42" s="61"/>
    </row>
    <row r="43" spans="1:25" x14ac:dyDescent="0.25">
      <c r="A43" s="61"/>
      <c r="B43" s="61"/>
      <c r="C43" s="61"/>
      <c r="D43" s="61"/>
      <c r="E43" s="61"/>
      <c r="F43" s="61"/>
      <c r="G43" s="61"/>
      <c r="H43" s="61"/>
      <c r="I43" s="61"/>
      <c r="J43" s="61"/>
      <c r="K43" s="61"/>
      <c r="L43" s="61"/>
      <c r="M43" s="61"/>
      <c r="N43" s="61"/>
      <c r="O43" s="61"/>
      <c r="P43" s="61"/>
      <c r="Q43" s="61"/>
      <c r="R43" s="61"/>
      <c r="S43" s="61"/>
      <c r="T43" s="61"/>
      <c r="U43" s="61"/>
      <c r="V43" s="61"/>
      <c r="W43" s="61"/>
      <c r="X43" s="61"/>
      <c r="Y43" s="61"/>
    </row>
  </sheetData>
  <sheetProtection algorithmName="SHA-512" hashValue="pp/VDbQDlnFrKAwoLQhY917WEgPc3BNCZzGlEKqCL9Gzt31yctaf/w3kJveN0jZZ/wjLpLjb5be84RbPB0WZeg==" saltValue="jPyhVhzjLOHs1yi/0s0XiA==" spinCount="100000" sheet="1" objects="1" scenarios="1"/>
  <mergeCells count="8">
    <mergeCell ref="B16:X16"/>
    <mergeCell ref="A5:Y5"/>
    <mergeCell ref="A6:Y6"/>
    <mergeCell ref="A8:Y8"/>
    <mergeCell ref="A9:Y9"/>
    <mergeCell ref="A10:Y10"/>
    <mergeCell ref="A11:Y11"/>
    <mergeCell ref="A12:Y12"/>
  </mergeCells>
  <pageMargins left="0.511811024" right="0.511811024" top="0.78740157499999996" bottom="0.78740157499999996" header="0.31496062000000002" footer="0.31496062000000002"/>
  <pageSetup paperSize="9" scale="30" orientation="portrait" horizontalDpi="0"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15">
    <tabColor theme="6" tint="0.39997558519241921"/>
  </sheetPr>
  <dimension ref="A1:O35"/>
  <sheetViews>
    <sheetView showGridLines="0" zoomScale="90" zoomScaleNormal="90" workbookViewId="0">
      <selection activeCell="K1" sqref="K1"/>
    </sheetView>
  </sheetViews>
  <sheetFormatPr defaultRowHeight="15" x14ac:dyDescent="0.25"/>
  <cols>
    <col min="1" max="1" width="23.7109375" customWidth="1"/>
    <col min="2" max="2" width="38.140625" customWidth="1"/>
    <col min="3" max="3" width="20.42578125" style="45" customWidth="1"/>
    <col min="4" max="5" width="16.28515625" style="45" customWidth="1"/>
    <col min="6" max="6" width="17.7109375" style="45" customWidth="1"/>
    <col min="7" max="9" width="17.7109375" customWidth="1"/>
    <col min="10" max="10" width="21" customWidth="1"/>
    <col min="11" max="11" width="5.5703125" customWidth="1"/>
    <col min="12" max="12" width="34.5703125" hidden="1" customWidth="1"/>
    <col min="13" max="13" width="14.42578125" style="45" hidden="1" customWidth="1"/>
    <col min="14" max="14" width="20.140625" style="45" hidden="1" customWidth="1"/>
    <col min="15" max="15" width="9.140625" style="45"/>
  </cols>
  <sheetData>
    <row r="1" spans="1:14" ht="21" x14ac:dyDescent="0.35">
      <c r="A1" s="479"/>
      <c r="B1" s="479"/>
      <c r="C1" s="479"/>
      <c r="D1" s="479"/>
      <c r="E1" s="479"/>
      <c r="F1" s="479"/>
      <c r="G1" s="479"/>
      <c r="H1" s="479"/>
      <c r="I1" s="479"/>
      <c r="M1"/>
      <c r="N1"/>
    </row>
    <row r="2" spans="1:14" x14ac:dyDescent="0.25">
      <c r="A2" s="480"/>
      <c r="B2" s="480"/>
      <c r="C2" s="480"/>
      <c r="D2" s="480"/>
      <c r="E2" s="480"/>
      <c r="F2" s="480"/>
      <c r="G2" s="480"/>
      <c r="H2" s="480"/>
      <c r="I2" s="480"/>
      <c r="M2"/>
      <c r="N2"/>
    </row>
    <row r="3" spans="1:14" ht="15" customHeight="1" x14ac:dyDescent="0.25">
      <c r="A3" s="382"/>
      <c r="B3" s="382"/>
      <c r="C3" s="382"/>
      <c r="D3" s="382"/>
      <c r="E3" s="382"/>
      <c r="F3" s="382"/>
      <c r="G3" s="382"/>
      <c r="H3" s="382"/>
      <c r="J3" s="99"/>
      <c r="K3" s="99"/>
      <c r="L3" s="99"/>
      <c r="M3" s="99"/>
      <c r="N3" s="99"/>
    </row>
    <row r="4" spans="1:14" ht="15" customHeight="1" x14ac:dyDescent="0.3">
      <c r="A4" s="2"/>
      <c r="B4" s="2"/>
      <c r="C4" s="2"/>
      <c r="D4" s="2"/>
      <c r="E4" s="2"/>
      <c r="F4" s="2"/>
      <c r="G4" s="2"/>
      <c r="H4" s="2"/>
      <c r="J4" s="99"/>
      <c r="K4" s="99"/>
      <c r="L4" s="99"/>
      <c r="M4" s="99"/>
      <c r="N4" s="99"/>
    </row>
    <row r="5" spans="1:14" ht="15" customHeight="1" x14ac:dyDescent="0.25">
      <c r="A5" s="483" t="str">
        <f>ORIENTAÇÕES!A5</f>
        <v>MINISTÉRIO DA AGRICULTURA E PECUÁRIA</v>
      </c>
      <c r="B5" s="483"/>
      <c r="C5" s="483"/>
      <c r="D5" s="483"/>
      <c r="E5" s="483"/>
      <c r="F5" s="483"/>
      <c r="G5" s="483"/>
      <c r="H5" s="483"/>
      <c r="I5" s="483"/>
      <c r="J5" s="483"/>
      <c r="K5" s="483"/>
      <c r="L5" s="483"/>
      <c r="M5" s="483"/>
      <c r="N5" s="483"/>
    </row>
    <row r="6" spans="1:14" ht="15" customHeight="1" x14ac:dyDescent="0.25">
      <c r="A6" s="483" t="str">
        <f>ORIENTAÇÕES!A6</f>
        <v>LABORATÓRIO FEDERAL DE DEFESA AGROPECUÁRIA NO PARÁ</v>
      </c>
      <c r="B6" s="483"/>
      <c r="C6" s="483"/>
      <c r="D6" s="483"/>
      <c r="E6" s="483"/>
      <c r="F6" s="483"/>
      <c r="G6" s="483"/>
      <c r="H6" s="483"/>
      <c r="I6" s="483"/>
      <c r="J6" s="483"/>
      <c r="K6" s="483"/>
      <c r="L6" s="483"/>
      <c r="M6" s="483"/>
      <c r="N6" s="483"/>
    </row>
    <row r="7" spans="1:14" ht="15" customHeight="1" x14ac:dyDescent="0.3">
      <c r="A7" s="480"/>
      <c r="B7" s="480"/>
      <c r="C7" s="480"/>
      <c r="D7" s="480"/>
      <c r="E7" s="480"/>
      <c r="F7" s="480"/>
      <c r="G7" s="480"/>
      <c r="H7" s="480"/>
      <c r="I7" s="480"/>
      <c r="J7" s="2"/>
      <c r="L7" s="45"/>
      <c r="N7"/>
    </row>
    <row r="8" spans="1:14" ht="19.5" customHeight="1" x14ac:dyDescent="0.25">
      <c r="A8" s="484" t="str">
        <f>ORIENTAÇÕES!A8</f>
        <v xml:space="preserve">PLANILHA REFERENCIAL DE CUSTO E FORMAÇÃO DE PREÇO </v>
      </c>
      <c r="B8" s="484"/>
      <c r="C8" s="484"/>
      <c r="D8" s="484"/>
      <c r="E8" s="484"/>
      <c r="F8" s="484"/>
      <c r="G8" s="484"/>
      <c r="H8" s="484"/>
      <c r="I8" s="484"/>
      <c r="J8" s="484"/>
      <c r="K8" s="484"/>
      <c r="L8" s="484"/>
      <c r="M8" s="484"/>
      <c r="N8" s="484"/>
    </row>
    <row r="9" spans="1:14" ht="15" customHeight="1" x14ac:dyDescent="0.3">
      <c r="A9" s="482"/>
      <c r="B9" s="482"/>
      <c r="C9" s="482"/>
      <c r="D9" s="482"/>
      <c r="E9" s="482"/>
      <c r="F9" s="482"/>
      <c r="G9" s="482"/>
      <c r="H9" s="482"/>
      <c r="I9" s="482"/>
      <c r="J9" s="2"/>
      <c r="L9" s="45"/>
      <c r="N9"/>
    </row>
    <row r="10" spans="1:14" ht="15" customHeight="1" x14ac:dyDescent="0.25">
      <c r="A10" s="481" t="str">
        <f>ORIENTAÇÕES!A10</f>
        <v>Pregão Eletrônico 12/2023</v>
      </c>
      <c r="B10" s="481"/>
      <c r="C10" s="481"/>
      <c r="D10" s="481"/>
      <c r="E10" s="481"/>
      <c r="F10" s="481"/>
      <c r="G10" s="481"/>
      <c r="H10" s="481"/>
      <c r="I10" s="481"/>
      <c r="J10" s="481"/>
      <c r="K10" s="481"/>
      <c r="L10" s="481"/>
      <c r="M10" s="481"/>
      <c r="N10" s="481"/>
    </row>
    <row r="11" spans="1:14" ht="15" customHeight="1" x14ac:dyDescent="0.25">
      <c r="A11" s="481" t="str">
        <f>ORIENTAÇÕES!A11</f>
        <v>PROCESSO Nº. :  21000.001352/2023-57</v>
      </c>
      <c r="B11" s="481"/>
      <c r="C11" s="481"/>
      <c r="D11" s="481"/>
      <c r="E11" s="481"/>
      <c r="F11" s="481"/>
      <c r="G11" s="481"/>
      <c r="H11" s="481"/>
      <c r="I11" s="481"/>
      <c r="J11" s="481"/>
      <c r="K11" s="481"/>
      <c r="L11" s="481"/>
      <c r="M11" s="481"/>
      <c r="N11" s="481"/>
    </row>
    <row r="12" spans="1:14" ht="15" customHeight="1" x14ac:dyDescent="0.3">
      <c r="A12" s="383"/>
      <c r="B12" s="383"/>
      <c r="C12" s="383"/>
      <c r="D12" s="383"/>
      <c r="E12" s="383"/>
      <c r="F12" s="383"/>
      <c r="G12" s="383"/>
      <c r="H12" s="383"/>
      <c r="L12" s="45"/>
      <c r="N12"/>
    </row>
    <row r="13" spans="1:14" ht="20.100000000000001" customHeight="1" x14ac:dyDescent="0.3">
      <c r="A13" s="2" t="s">
        <v>127</v>
      </c>
      <c r="B13" s="76"/>
      <c r="G13" s="76"/>
      <c r="H13" s="76"/>
      <c r="L13" s="45"/>
      <c r="N13"/>
    </row>
    <row r="14" spans="1:14" ht="20.100000000000001" customHeight="1" x14ac:dyDescent="0.25">
      <c r="B14" s="45"/>
      <c r="C14"/>
      <c r="D14"/>
      <c r="E14"/>
      <c r="F14"/>
      <c r="L14" s="45"/>
      <c r="M14"/>
      <c r="N14"/>
    </row>
    <row r="15" spans="1:14" ht="72.75" customHeight="1" x14ac:dyDescent="0.25">
      <c r="A15" s="92" t="s">
        <v>128</v>
      </c>
      <c r="B15" s="92" t="s">
        <v>129</v>
      </c>
      <c r="C15" s="92" t="s">
        <v>130</v>
      </c>
      <c r="D15" s="92" t="s">
        <v>131</v>
      </c>
      <c r="E15" s="92" t="s">
        <v>132</v>
      </c>
      <c r="F15" s="92" t="s">
        <v>133</v>
      </c>
      <c r="G15" s="92" t="s">
        <v>134</v>
      </c>
      <c r="H15" s="92" t="s">
        <v>135</v>
      </c>
      <c r="I15" s="92" t="s">
        <v>136</v>
      </c>
      <c r="J15" s="92" t="s">
        <v>137</v>
      </c>
      <c r="L15" s="93" t="s">
        <v>138</v>
      </c>
      <c r="M15" s="93" t="s">
        <v>139</v>
      </c>
      <c r="N15" s="93" t="s">
        <v>140</v>
      </c>
    </row>
    <row r="16" spans="1:14" ht="30" customHeight="1" x14ac:dyDescent="0.25">
      <c r="A16" s="94" t="s">
        <v>141</v>
      </c>
      <c r="B16" s="55" t="s">
        <v>142</v>
      </c>
      <c r="C16" s="52" t="s">
        <v>143</v>
      </c>
      <c r="D16" s="177">
        <f>Áreas!X20</f>
        <v>1771.2320000000004</v>
      </c>
      <c r="E16" s="768"/>
      <c r="F16" s="115" t="e">
        <f>1/$E16</f>
        <v>#DIV/0!</v>
      </c>
      <c r="G16" s="90">
        <v>188.76</v>
      </c>
      <c r="H16" s="53" t="s">
        <v>144</v>
      </c>
      <c r="I16" s="83" t="e">
        <f t="shared" ref="I16:I27" si="0">(1/E16)*G16*(1/188.76)</f>
        <v>#DIV/0!</v>
      </c>
      <c r="J16" s="79" t="e">
        <f t="shared" ref="J16:J24" si="1">ROUND(D16*I16,2)</f>
        <v>#DIV/0!</v>
      </c>
      <c r="K16" s="80"/>
      <c r="L16" s="98" t="s">
        <v>145</v>
      </c>
      <c r="M16" s="53">
        <v>2</v>
      </c>
      <c r="N16" s="96" t="s">
        <v>146</v>
      </c>
    </row>
    <row r="17" spans="1:15" ht="30" customHeight="1" x14ac:dyDescent="0.25">
      <c r="A17" s="94" t="s">
        <v>141</v>
      </c>
      <c r="B17" s="55" t="s">
        <v>147</v>
      </c>
      <c r="C17" s="52" t="s">
        <v>148</v>
      </c>
      <c r="D17" s="177">
        <f>Áreas!X21</f>
        <v>1529.0260000000001</v>
      </c>
      <c r="E17" s="768"/>
      <c r="F17" s="115" t="e">
        <f t="shared" ref="F17:F28" si="2">1/$E17</f>
        <v>#DIV/0!</v>
      </c>
      <c r="G17" s="90">
        <v>188.76</v>
      </c>
      <c r="H17" s="53" t="s">
        <v>144</v>
      </c>
      <c r="I17" s="83" t="e">
        <f t="shared" si="0"/>
        <v>#DIV/0!</v>
      </c>
      <c r="J17" s="79" t="e">
        <f t="shared" si="1"/>
        <v>#DIV/0!</v>
      </c>
      <c r="K17" s="80"/>
      <c r="L17" s="98" t="s">
        <v>149</v>
      </c>
      <c r="M17" s="53">
        <v>2</v>
      </c>
      <c r="N17" s="96" t="s">
        <v>146</v>
      </c>
    </row>
    <row r="18" spans="1:15" ht="30" customHeight="1" x14ac:dyDescent="0.25">
      <c r="A18" s="94" t="s">
        <v>141</v>
      </c>
      <c r="B18" s="55" t="s">
        <v>150</v>
      </c>
      <c r="C18" s="52" t="s">
        <v>151</v>
      </c>
      <c r="D18" s="177">
        <f>Áreas!X22</f>
        <v>453.74799999999999</v>
      </c>
      <c r="E18" s="769"/>
      <c r="F18" s="115" t="e">
        <f t="shared" si="2"/>
        <v>#DIV/0!</v>
      </c>
      <c r="G18" s="90">
        <v>16</v>
      </c>
      <c r="H18" s="53" t="s">
        <v>144</v>
      </c>
      <c r="I18" s="83" t="e">
        <f t="shared" si="0"/>
        <v>#DIV/0!</v>
      </c>
      <c r="J18" s="79" t="e">
        <f t="shared" si="1"/>
        <v>#DIV/0!</v>
      </c>
      <c r="K18" s="80"/>
      <c r="L18" s="98" t="s">
        <v>152</v>
      </c>
      <c r="M18" s="53">
        <v>2</v>
      </c>
      <c r="N18" s="96" t="s">
        <v>146</v>
      </c>
    </row>
    <row r="19" spans="1:15" ht="30" customHeight="1" x14ac:dyDescent="0.25">
      <c r="A19" s="94" t="s">
        <v>141</v>
      </c>
      <c r="B19" s="55" t="s">
        <v>153</v>
      </c>
      <c r="C19" s="52" t="s">
        <v>154</v>
      </c>
      <c r="D19" s="177">
        <f>Áreas!X23</f>
        <v>63.89</v>
      </c>
      <c r="E19" s="769"/>
      <c r="F19" s="115" t="e">
        <f t="shared" si="2"/>
        <v>#DIV/0!</v>
      </c>
      <c r="G19" s="90">
        <v>16</v>
      </c>
      <c r="H19" s="53" t="s">
        <v>144</v>
      </c>
      <c r="I19" s="83" t="e">
        <f t="shared" si="0"/>
        <v>#DIV/0!</v>
      </c>
      <c r="J19" s="79" t="e">
        <f t="shared" si="1"/>
        <v>#DIV/0!</v>
      </c>
      <c r="K19" s="80"/>
      <c r="L19" s="98" t="s">
        <v>155</v>
      </c>
      <c r="M19" s="53">
        <v>1</v>
      </c>
      <c r="N19" s="96" t="s">
        <v>146</v>
      </c>
    </row>
    <row r="20" spans="1:15" ht="30" customHeight="1" x14ac:dyDescent="0.25">
      <c r="A20" s="94" t="s">
        <v>141</v>
      </c>
      <c r="B20" s="55" t="s">
        <v>156</v>
      </c>
      <c r="C20" s="52" t="s">
        <v>157</v>
      </c>
      <c r="D20" s="177">
        <f>Áreas!X24</f>
        <v>574.06000000000006</v>
      </c>
      <c r="E20" s="769"/>
      <c r="F20" s="115" t="e">
        <f t="shared" si="2"/>
        <v>#DIV/0!</v>
      </c>
      <c r="G20" s="90">
        <v>188.76</v>
      </c>
      <c r="H20" s="53" t="s">
        <v>144</v>
      </c>
      <c r="I20" s="83" t="e">
        <f t="shared" si="0"/>
        <v>#DIV/0!</v>
      </c>
      <c r="J20" s="79" t="e">
        <f t="shared" si="1"/>
        <v>#DIV/0!</v>
      </c>
      <c r="K20" s="80"/>
      <c r="L20" s="98" t="s">
        <v>158</v>
      </c>
      <c r="M20" s="53">
        <v>2</v>
      </c>
      <c r="N20" s="53" t="s">
        <v>109</v>
      </c>
    </row>
    <row r="21" spans="1:15" ht="30" customHeight="1" x14ac:dyDescent="0.25">
      <c r="A21" s="94" t="s">
        <v>141</v>
      </c>
      <c r="B21" s="55" t="s">
        <v>159</v>
      </c>
      <c r="C21" s="52" t="s">
        <v>160</v>
      </c>
      <c r="D21" s="177">
        <f>Áreas!X25</f>
        <v>432.06200000000001</v>
      </c>
      <c r="E21" s="768"/>
      <c r="F21" s="115" t="e">
        <f t="shared" si="2"/>
        <v>#DIV/0!</v>
      </c>
      <c r="G21" s="90">
        <v>188.76</v>
      </c>
      <c r="H21" s="53" t="s">
        <v>144</v>
      </c>
      <c r="I21" s="83" t="e">
        <f t="shared" si="0"/>
        <v>#DIV/0!</v>
      </c>
      <c r="J21" s="79" t="e">
        <f t="shared" si="1"/>
        <v>#DIV/0!</v>
      </c>
      <c r="K21" s="80"/>
      <c r="L21" s="98" t="s">
        <v>161</v>
      </c>
      <c r="M21" s="53">
        <v>3</v>
      </c>
      <c r="N21" s="53" t="s">
        <v>109</v>
      </c>
    </row>
    <row r="22" spans="1:15" ht="30" customHeight="1" x14ac:dyDescent="0.25">
      <c r="A22" s="94" t="s">
        <v>161</v>
      </c>
      <c r="B22" s="97" t="s">
        <v>162</v>
      </c>
      <c r="C22" s="82" t="s">
        <v>163</v>
      </c>
      <c r="D22" s="177">
        <f>Áreas!X27</f>
        <v>683.59768499999996</v>
      </c>
      <c r="E22" s="768"/>
      <c r="F22" s="115" t="e">
        <f t="shared" si="2"/>
        <v>#DIV/0!</v>
      </c>
      <c r="G22" s="90">
        <v>188.76</v>
      </c>
      <c r="H22" s="53" t="s">
        <v>144</v>
      </c>
      <c r="I22" s="83" t="e">
        <f t="shared" si="0"/>
        <v>#DIV/0!</v>
      </c>
      <c r="J22" s="79" t="e">
        <f t="shared" si="1"/>
        <v>#DIV/0!</v>
      </c>
      <c r="K22" s="80"/>
      <c r="L22" s="118" t="s">
        <v>164</v>
      </c>
      <c r="M22" s="119">
        <f>SUM(M16:M21)</f>
        <v>12</v>
      </c>
      <c r="N22" s="121"/>
      <c r="O22" s="81"/>
    </row>
    <row r="23" spans="1:15" ht="30" customHeight="1" x14ac:dyDescent="0.25">
      <c r="A23" s="94" t="s">
        <v>161</v>
      </c>
      <c r="B23" s="97" t="s">
        <v>165</v>
      </c>
      <c r="C23" s="52" t="s">
        <v>166</v>
      </c>
      <c r="D23" s="177">
        <f>Áreas!X28</f>
        <v>3842.4840000000004</v>
      </c>
      <c r="E23" s="768"/>
      <c r="F23" s="115" t="e">
        <f t="shared" si="2"/>
        <v>#DIV/0!</v>
      </c>
      <c r="G23" s="90">
        <v>188.76</v>
      </c>
      <c r="H23" s="53" t="s">
        <v>144</v>
      </c>
      <c r="I23" s="83" t="e">
        <f t="shared" si="0"/>
        <v>#DIV/0!</v>
      </c>
      <c r="J23" s="79" t="e">
        <f t="shared" si="1"/>
        <v>#DIV/0!</v>
      </c>
      <c r="K23" s="80"/>
      <c r="L23" s="45"/>
      <c r="N23"/>
    </row>
    <row r="24" spans="1:15" ht="30" customHeight="1" x14ac:dyDescent="0.25">
      <c r="A24" s="94" t="s">
        <v>161</v>
      </c>
      <c r="B24" s="55" t="s">
        <v>167</v>
      </c>
      <c r="C24" s="82" t="s">
        <v>163</v>
      </c>
      <c r="D24" s="177">
        <f>Áreas!X29</f>
        <v>2265.922</v>
      </c>
      <c r="E24" s="768"/>
      <c r="F24" s="115" t="e">
        <f t="shared" si="2"/>
        <v>#DIV/0!</v>
      </c>
      <c r="G24" s="90">
        <v>188.76</v>
      </c>
      <c r="H24" s="53" t="s">
        <v>144</v>
      </c>
      <c r="I24" s="83" t="e">
        <f t="shared" si="0"/>
        <v>#DIV/0!</v>
      </c>
      <c r="J24" s="79" t="e">
        <f t="shared" si="1"/>
        <v>#DIV/0!</v>
      </c>
      <c r="K24" s="80"/>
      <c r="L24" s="45"/>
      <c r="N24"/>
    </row>
    <row r="25" spans="1:15" ht="30" customHeight="1" x14ac:dyDescent="0.25">
      <c r="A25" s="94" t="s">
        <v>168</v>
      </c>
      <c r="B25" s="51" t="s">
        <v>169</v>
      </c>
      <c r="C25" s="52" t="s">
        <v>170</v>
      </c>
      <c r="D25" s="178">
        <f>Áreas!X32</f>
        <v>158.3948</v>
      </c>
      <c r="E25" s="770"/>
      <c r="F25" s="115" t="e">
        <f t="shared" si="2"/>
        <v>#DIV/0!</v>
      </c>
      <c r="G25" s="90">
        <v>16</v>
      </c>
      <c r="H25" s="53" t="s">
        <v>144</v>
      </c>
      <c r="I25" s="83" t="e">
        <f t="shared" si="0"/>
        <v>#DIV/0!</v>
      </c>
      <c r="J25" s="91" t="e">
        <f>ROUND(I25*D25,2)</f>
        <v>#DIV/0!</v>
      </c>
      <c r="L25" s="45"/>
      <c r="N25"/>
    </row>
    <row r="26" spans="1:15" ht="30" customHeight="1" x14ac:dyDescent="0.25">
      <c r="A26" s="94" t="s">
        <v>168</v>
      </c>
      <c r="B26" s="51" t="s">
        <v>171</v>
      </c>
      <c r="C26" s="52" t="s">
        <v>172</v>
      </c>
      <c r="D26" s="178">
        <f>Áreas!X33</f>
        <v>211.98199999999997</v>
      </c>
      <c r="E26" s="770"/>
      <c r="F26" s="115" t="e">
        <f t="shared" si="2"/>
        <v>#DIV/0!</v>
      </c>
      <c r="G26" s="90">
        <v>16</v>
      </c>
      <c r="H26" s="53" t="s">
        <v>144</v>
      </c>
      <c r="I26" s="83" t="e">
        <f t="shared" si="0"/>
        <v>#DIV/0!</v>
      </c>
      <c r="J26" s="91" t="e">
        <f>ROUND(I26*D26,2)</f>
        <v>#DIV/0!</v>
      </c>
      <c r="L26" s="45"/>
      <c r="N26"/>
    </row>
    <row r="27" spans="1:15" ht="30" customHeight="1" x14ac:dyDescent="0.25">
      <c r="A27" s="94" t="s">
        <v>168</v>
      </c>
      <c r="B27" s="55" t="s">
        <v>173</v>
      </c>
      <c r="C27" s="52" t="s">
        <v>172</v>
      </c>
      <c r="D27" s="178">
        <f>Áreas!X34</f>
        <v>1059.356</v>
      </c>
      <c r="E27" s="770"/>
      <c r="F27" s="115" t="e">
        <f t="shared" si="2"/>
        <v>#DIV/0!</v>
      </c>
      <c r="G27" s="90">
        <v>16</v>
      </c>
      <c r="H27" s="53" t="s">
        <v>144</v>
      </c>
      <c r="I27" s="83" t="e">
        <f t="shared" si="0"/>
        <v>#DIV/0!</v>
      </c>
      <c r="J27" s="91" t="e">
        <f>ROUND(I27*D27,2)</f>
        <v>#DIV/0!</v>
      </c>
      <c r="L27" s="45"/>
      <c r="N27"/>
    </row>
    <row r="28" spans="1:15" ht="30" customHeight="1" x14ac:dyDescent="0.25">
      <c r="A28" s="94" t="s">
        <v>174</v>
      </c>
      <c r="B28" s="51" t="s">
        <v>175</v>
      </c>
      <c r="C28" s="52" t="s">
        <v>170</v>
      </c>
      <c r="D28" s="178">
        <f>Áreas!X36</f>
        <v>804.61080000000004</v>
      </c>
      <c r="E28" s="770"/>
      <c r="F28" s="115" t="e">
        <f t="shared" si="2"/>
        <v>#DIV/0!</v>
      </c>
      <c r="G28" s="90">
        <v>8</v>
      </c>
      <c r="H28" s="53" t="s">
        <v>176</v>
      </c>
      <c r="I28" s="83" t="e">
        <f>(1/E28)*G28*(1/1132.6)</f>
        <v>#DIV/0!</v>
      </c>
      <c r="J28" s="85" t="e">
        <f>ROUND(I28*D28,2)</f>
        <v>#DIV/0!</v>
      </c>
      <c r="L28" s="45"/>
      <c r="N28"/>
    </row>
    <row r="29" spans="1:15" ht="18.75" customHeight="1" x14ac:dyDescent="0.25">
      <c r="A29" s="84"/>
      <c r="B29" s="117"/>
      <c r="C29" s="58"/>
      <c r="D29" s="56"/>
      <c r="E29" s="56"/>
      <c r="F29" s="56"/>
      <c r="G29" s="84"/>
      <c r="H29" s="84"/>
      <c r="I29" s="48" t="s">
        <v>177</v>
      </c>
      <c r="J29" s="89" t="e">
        <f>SUM(J16:J28)</f>
        <v>#DIV/0!</v>
      </c>
      <c r="L29" s="45"/>
      <c r="N29"/>
    </row>
    <row r="30" spans="1:15" ht="21" customHeight="1" thickBot="1" x14ac:dyDescent="0.3">
      <c r="A30" s="84"/>
      <c r="B30" s="117"/>
      <c r="C30" s="58"/>
      <c r="D30" s="56"/>
      <c r="E30" s="56"/>
      <c r="F30" s="56"/>
      <c r="G30" s="84"/>
      <c r="H30" s="84"/>
      <c r="I30" s="84"/>
      <c r="J30" s="84"/>
    </row>
    <row r="31" spans="1:15" ht="21" customHeight="1" thickBot="1" x14ac:dyDescent="0.3">
      <c r="A31" s="84"/>
      <c r="B31" s="117"/>
      <c r="C31" s="58"/>
      <c r="D31" s="56"/>
      <c r="E31" s="56"/>
      <c r="F31" s="56"/>
      <c r="G31" s="84"/>
      <c r="H31" s="84"/>
      <c r="I31" s="48" t="s">
        <v>178</v>
      </c>
      <c r="J31" s="120" t="e">
        <f>ROUND($J$29,0)</f>
        <v>#DIV/0!</v>
      </c>
    </row>
    <row r="32" spans="1:15" ht="21" customHeight="1" x14ac:dyDescent="0.25">
      <c r="B32" s="86"/>
      <c r="C32" s="57"/>
      <c r="I32" t="s">
        <v>141</v>
      </c>
      <c r="J32" s="443" t="e">
        <f>ROUND(SUM(J16:J21),0)</f>
        <v>#DIV/0!</v>
      </c>
    </row>
    <row r="33" spans="1:14" ht="21" customHeight="1" x14ac:dyDescent="0.25">
      <c r="A33" s="87" t="s">
        <v>179</v>
      </c>
      <c r="B33" s="88"/>
      <c r="C33" s="88"/>
      <c r="D33" s="88"/>
      <c r="E33" s="88"/>
      <c r="F33" s="87"/>
      <c r="G33" s="87"/>
      <c r="H33" s="61"/>
      <c r="I33" t="s">
        <v>161</v>
      </c>
      <c r="J33" s="443" t="e">
        <f>ROUND(SUM(J22:J28),0)</f>
        <v>#DIV/0!</v>
      </c>
      <c r="L33" s="45"/>
      <c r="N33"/>
    </row>
    <row r="34" spans="1:14" x14ac:dyDescent="0.25">
      <c r="A34" s="87" t="s">
        <v>180</v>
      </c>
      <c r="B34" s="88"/>
      <c r="C34" s="88"/>
      <c r="D34" s="88"/>
      <c r="E34" s="88"/>
      <c r="F34" s="87"/>
      <c r="G34" s="87"/>
      <c r="H34" s="61"/>
      <c r="L34" s="45"/>
      <c r="N34"/>
    </row>
    <row r="35" spans="1:14" x14ac:dyDescent="0.25">
      <c r="A35" s="461" t="s">
        <v>181</v>
      </c>
      <c r="B35" s="45"/>
      <c r="D35"/>
      <c r="E35"/>
      <c r="F35"/>
      <c r="J35" s="45"/>
      <c r="K35" s="45"/>
      <c r="M35"/>
      <c r="N35"/>
    </row>
  </sheetData>
  <sheetProtection algorithmName="SHA-512" hashValue="9bY+GBTD/3OPREXZRhQn0dGxld4sE3i5AINvSbxA52YTHsUFRLCFagpDmRl6s7htERtrMUCwDpG/vob7IPDz6w==" saltValue="1caC2bLBk32w9KbsZaXXDg==" spinCount="100000" sheet="1" objects="1" scenarios="1"/>
  <mergeCells count="9">
    <mergeCell ref="A8:N8"/>
    <mergeCell ref="A10:N10"/>
    <mergeCell ref="A11:N11"/>
    <mergeCell ref="A5:N5"/>
    <mergeCell ref="A1:I1"/>
    <mergeCell ref="A2:I2"/>
    <mergeCell ref="A7:I7"/>
    <mergeCell ref="A9:I9"/>
    <mergeCell ref="A6:N6"/>
  </mergeCells>
  <pageMargins left="0.78740157480314965" right="0.59055118110236227" top="0.78740157480314965" bottom="0.78740157480314965" header="0.31496062992125984" footer="0.31496062992125984"/>
  <pageSetup paperSize="9" scale="31" orientation="portrait" r:id="rId1"/>
  <headerFooter>
    <oddFooter>&amp;A</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10">
    <tabColor theme="6" tint="0.39997558519241921"/>
  </sheetPr>
  <dimension ref="A1:S50"/>
  <sheetViews>
    <sheetView showGridLines="0" zoomScale="85" zoomScaleNormal="85" workbookViewId="0">
      <selection activeCell="A32" sqref="A32:K32"/>
    </sheetView>
  </sheetViews>
  <sheetFormatPr defaultRowHeight="15.75" x14ac:dyDescent="0.25"/>
  <cols>
    <col min="1" max="1" width="23.7109375" style="47" customWidth="1"/>
    <col min="2" max="2" width="37.42578125" style="47" customWidth="1"/>
    <col min="3" max="3" width="17.7109375" style="95" customWidth="1"/>
    <col min="4" max="4" width="17.85546875" style="95" customWidth="1"/>
    <col min="5" max="5" width="19.5703125" style="95" customWidth="1"/>
    <col min="6" max="6" width="16.5703125" style="95" customWidth="1"/>
    <col min="7" max="7" width="15.5703125" style="47" customWidth="1"/>
    <col min="8" max="8" width="16.28515625" style="47" customWidth="1"/>
    <col min="9" max="12" width="17.7109375" style="47" customWidth="1"/>
    <col min="13" max="13" width="10.28515625" style="47" customWidth="1"/>
    <col min="14" max="14" width="14.7109375" style="47" customWidth="1"/>
    <col min="15" max="15" width="23.7109375" style="47" customWidth="1"/>
    <col min="16" max="16" width="37.42578125" style="47" customWidth="1"/>
    <col min="17" max="19" width="17.7109375" style="47" customWidth="1"/>
    <col min="20" max="20" width="14.7109375" style="47" customWidth="1"/>
    <col min="21" max="16384" width="9.140625" style="47"/>
  </cols>
  <sheetData>
    <row r="1" spans="1:19" ht="15" customHeight="1" x14ac:dyDescent="0.35">
      <c r="A1" s="479"/>
      <c r="B1" s="479"/>
      <c r="C1" s="479"/>
      <c r="D1" s="479"/>
      <c r="E1" s="479"/>
      <c r="F1" s="479"/>
      <c r="G1" s="479"/>
      <c r="H1" s="479"/>
      <c r="I1" s="479"/>
      <c r="J1" s="99"/>
      <c r="K1" s="99"/>
    </row>
    <row r="2" spans="1:19" ht="15" customHeight="1" x14ac:dyDescent="0.25">
      <c r="A2" s="480"/>
      <c r="B2" s="480"/>
      <c r="C2" s="480"/>
      <c r="D2" s="480"/>
      <c r="E2" s="480"/>
      <c r="F2" s="480"/>
      <c r="G2" s="480"/>
      <c r="H2" s="480"/>
      <c r="I2" s="480"/>
      <c r="J2" s="99"/>
      <c r="K2" s="99"/>
    </row>
    <row r="3" spans="1:19" ht="15" customHeight="1" x14ac:dyDescent="0.25">
      <c r="A3" s="382"/>
      <c r="B3" s="382"/>
      <c r="C3" s="382"/>
      <c r="D3" s="382"/>
      <c r="E3" s="382"/>
      <c r="F3" s="382"/>
      <c r="G3" s="382"/>
      <c r="H3" s="382"/>
      <c r="I3"/>
      <c r="J3" s="75"/>
      <c r="K3" s="75"/>
    </row>
    <row r="4" spans="1:19" ht="15" customHeight="1" x14ac:dyDescent="0.3">
      <c r="A4" s="2"/>
      <c r="B4" s="2"/>
      <c r="C4" s="2"/>
      <c r="D4" s="2"/>
      <c r="E4" s="2"/>
      <c r="F4" s="2"/>
      <c r="G4" s="2"/>
      <c r="H4" s="2"/>
      <c r="I4"/>
      <c r="J4" s="75"/>
      <c r="K4" s="75"/>
    </row>
    <row r="5" spans="1:19" ht="15" customHeight="1" x14ac:dyDescent="0.25">
      <c r="A5" s="483" t="str">
        <f>ORIENTAÇÕES!A5</f>
        <v>MINISTÉRIO DA AGRICULTURA E PECUÁRIA</v>
      </c>
      <c r="B5" s="483"/>
      <c r="C5" s="483"/>
      <c r="D5" s="483"/>
      <c r="E5" s="483"/>
      <c r="F5" s="483"/>
      <c r="G5" s="483"/>
      <c r="H5" s="483"/>
      <c r="I5" s="483"/>
      <c r="J5" s="483"/>
      <c r="K5" s="483"/>
      <c r="L5" s="483"/>
      <c r="M5" s="483"/>
      <c r="N5" s="483"/>
      <c r="O5" s="483"/>
      <c r="P5" s="483"/>
      <c r="Q5" s="483"/>
      <c r="R5" s="483"/>
      <c r="S5" s="483"/>
    </row>
    <row r="6" spans="1:19" ht="15" customHeight="1" x14ac:dyDescent="0.25">
      <c r="A6" s="483" t="str">
        <f>ORIENTAÇÕES!A6</f>
        <v>LABORATÓRIO FEDERAL DE DEFESA AGROPECUÁRIA NO PARÁ</v>
      </c>
      <c r="B6" s="483"/>
      <c r="C6" s="483"/>
      <c r="D6" s="483"/>
      <c r="E6" s="483"/>
      <c r="F6" s="483"/>
      <c r="G6" s="483"/>
      <c r="H6" s="483"/>
      <c r="I6" s="483"/>
      <c r="J6" s="483"/>
      <c r="K6" s="483"/>
      <c r="L6" s="483"/>
      <c r="M6" s="483"/>
      <c r="N6" s="483"/>
      <c r="O6" s="483"/>
      <c r="P6" s="483"/>
      <c r="Q6" s="483"/>
      <c r="R6" s="483"/>
      <c r="S6" s="483"/>
    </row>
    <row r="7" spans="1:19" ht="15" customHeight="1" x14ac:dyDescent="0.25">
      <c r="A7" s="480"/>
      <c r="B7" s="480"/>
      <c r="C7" s="480"/>
      <c r="D7" s="480"/>
      <c r="E7" s="480"/>
      <c r="F7" s="480"/>
      <c r="G7" s="480"/>
      <c r="H7" s="480"/>
      <c r="I7" s="480"/>
      <c r="J7" s="75"/>
      <c r="K7" s="75"/>
    </row>
    <row r="8" spans="1:19" ht="19.5" customHeight="1" x14ac:dyDescent="0.25">
      <c r="A8" s="484" t="str">
        <f>ORIENTAÇÕES!A8</f>
        <v xml:space="preserve">PLANILHA REFERENCIAL DE CUSTO E FORMAÇÃO DE PREÇO </v>
      </c>
      <c r="B8" s="484"/>
      <c r="C8" s="484"/>
      <c r="D8" s="484"/>
      <c r="E8" s="484"/>
      <c r="F8" s="484"/>
      <c r="G8" s="484"/>
      <c r="H8" s="484"/>
      <c r="I8" s="484"/>
      <c r="J8" s="484"/>
      <c r="K8" s="484"/>
      <c r="L8" s="484"/>
      <c r="M8" s="484"/>
      <c r="N8" s="484"/>
      <c r="O8" s="484"/>
      <c r="P8" s="484"/>
      <c r="Q8" s="484"/>
      <c r="R8" s="484"/>
      <c r="S8" s="484"/>
    </row>
    <row r="9" spans="1:19" ht="15" customHeight="1" x14ac:dyDescent="0.25">
      <c r="A9" s="482"/>
      <c r="B9" s="482"/>
      <c r="C9" s="482"/>
      <c r="D9" s="482"/>
      <c r="E9" s="482"/>
      <c r="F9" s="482"/>
      <c r="G9" s="482"/>
      <c r="H9" s="482"/>
      <c r="I9" s="482"/>
      <c r="J9" s="75"/>
      <c r="K9" s="75"/>
    </row>
    <row r="10" spans="1:19" ht="15" customHeight="1" x14ac:dyDescent="0.25">
      <c r="A10" s="481" t="str">
        <f>ORIENTAÇÕES!A10</f>
        <v>Pregão Eletrônico 12/2023</v>
      </c>
      <c r="B10" s="481"/>
      <c r="C10" s="481"/>
      <c r="D10" s="481"/>
      <c r="E10" s="481"/>
      <c r="F10" s="481"/>
      <c r="G10" s="481"/>
      <c r="H10" s="481"/>
      <c r="I10" s="481"/>
      <c r="J10" s="481"/>
      <c r="K10" s="481"/>
      <c r="L10" s="481"/>
      <c r="M10" s="481"/>
      <c r="N10" s="481"/>
      <c r="O10" s="481"/>
      <c r="P10" s="481"/>
      <c r="Q10" s="481"/>
      <c r="R10" s="481"/>
      <c r="S10" s="481"/>
    </row>
    <row r="11" spans="1:19" ht="15" customHeight="1" x14ac:dyDescent="0.25">
      <c r="A11" s="481" t="str">
        <f>ORIENTAÇÕES!A11</f>
        <v>PROCESSO Nº. :  21000.001352/2023-57</v>
      </c>
      <c r="B11" s="481"/>
      <c r="C11" s="481"/>
      <c r="D11" s="481"/>
      <c r="E11" s="481"/>
      <c r="F11" s="481"/>
      <c r="G11" s="481"/>
      <c r="H11" s="481"/>
      <c r="I11" s="481"/>
      <c r="J11" s="481"/>
      <c r="K11" s="481"/>
      <c r="L11" s="481"/>
      <c r="M11" s="481"/>
      <c r="N11" s="481"/>
      <c r="O11" s="481"/>
      <c r="P11" s="481"/>
      <c r="Q11" s="481"/>
      <c r="R11" s="481"/>
      <c r="S11" s="481"/>
    </row>
    <row r="12" spans="1:19" ht="30" customHeight="1" x14ac:dyDescent="0.3">
      <c r="A12" s="383"/>
      <c r="B12" s="383"/>
      <c r="C12" s="383"/>
      <c r="D12" s="383"/>
      <c r="E12" s="383"/>
      <c r="F12" s="383"/>
      <c r="G12" s="383"/>
      <c r="H12" s="383"/>
      <c r="I12"/>
      <c r="J12" s="75"/>
      <c r="K12" s="75"/>
    </row>
    <row r="13" spans="1:19" ht="30" customHeight="1" x14ac:dyDescent="0.25">
      <c r="A13" s="484" t="s">
        <v>182</v>
      </c>
      <c r="B13" s="484"/>
      <c r="C13" s="484"/>
      <c r="D13" s="484"/>
      <c r="E13" s="484"/>
      <c r="F13" s="484"/>
      <c r="G13" s="484"/>
      <c r="H13" s="484"/>
      <c r="I13" s="484"/>
      <c r="J13" s="484"/>
      <c r="K13" s="484"/>
      <c r="L13" s="484"/>
      <c r="M13" s="484"/>
      <c r="N13" s="484"/>
      <c r="O13" s="484"/>
      <c r="P13" s="484"/>
      <c r="Q13" s="484"/>
      <c r="R13" s="484"/>
      <c r="S13" s="484"/>
    </row>
    <row r="14" spans="1:19" ht="30" customHeight="1" x14ac:dyDescent="0.3">
      <c r="A14" s="2"/>
      <c r="B14" s="75"/>
      <c r="G14" s="75"/>
      <c r="H14" s="75"/>
    </row>
    <row r="15" spans="1:19" ht="35.25" customHeight="1" x14ac:dyDescent="0.25">
      <c r="A15" s="77" t="s">
        <v>183</v>
      </c>
      <c r="B15" s="514">
        <f>RESUMO!C16</f>
        <v>0</v>
      </c>
      <c r="C15" s="515"/>
      <c r="D15" s="515"/>
      <c r="E15" s="516"/>
      <c r="F15" s="78" t="s">
        <v>45</v>
      </c>
      <c r="G15" s="517">
        <f>RESUMO!C18</f>
        <v>0</v>
      </c>
      <c r="H15" s="518"/>
    </row>
    <row r="16" spans="1:19" ht="20.25" customHeight="1" x14ac:dyDescent="0.25">
      <c r="C16" s="47"/>
      <c r="D16" s="47"/>
      <c r="E16" s="47"/>
      <c r="F16" s="47"/>
    </row>
    <row r="17" spans="1:19" ht="19.5" customHeight="1" x14ac:dyDescent="0.25">
      <c r="C17" s="47"/>
      <c r="D17" s="47"/>
      <c r="E17" s="47"/>
      <c r="F17" s="47"/>
      <c r="J17" s="513" t="s">
        <v>184</v>
      </c>
      <c r="K17" s="513"/>
      <c r="L17" s="513"/>
    </row>
    <row r="18" spans="1:19" ht="72.75" customHeight="1" thickBot="1" x14ac:dyDescent="0.3">
      <c r="A18" s="100" t="s">
        <v>128</v>
      </c>
      <c r="B18" s="100" t="s">
        <v>129</v>
      </c>
      <c r="C18" s="128" t="s">
        <v>131</v>
      </c>
      <c r="D18" s="128" t="s">
        <v>185</v>
      </c>
      <c r="E18" s="128" t="s">
        <v>186</v>
      </c>
      <c r="F18" s="128" t="s">
        <v>133</v>
      </c>
      <c r="G18" s="100" t="s">
        <v>134</v>
      </c>
      <c r="H18" s="100" t="s">
        <v>135</v>
      </c>
      <c r="I18" s="100" t="s">
        <v>136</v>
      </c>
      <c r="J18" s="100" t="s">
        <v>187</v>
      </c>
      <c r="K18" s="100" t="s">
        <v>188</v>
      </c>
      <c r="L18" s="100" t="s">
        <v>189</v>
      </c>
      <c r="O18" s="100" t="s">
        <v>128</v>
      </c>
      <c r="P18" s="100" t="s">
        <v>129</v>
      </c>
      <c r="Q18" s="100" t="s">
        <v>190</v>
      </c>
      <c r="R18" s="100" t="s">
        <v>191</v>
      </c>
      <c r="S18" s="100" t="s">
        <v>192</v>
      </c>
    </row>
    <row r="19" spans="1:19" ht="30" customHeight="1" x14ac:dyDescent="0.25">
      <c r="A19" s="510" t="s">
        <v>141</v>
      </c>
      <c r="B19" s="129" t="s">
        <v>142</v>
      </c>
      <c r="C19" s="130">
        <f>Produtividade!D16</f>
        <v>1771.2320000000004</v>
      </c>
      <c r="D19" s="131">
        <f>Produtividade!E16</f>
        <v>0</v>
      </c>
      <c r="E19" s="132" t="s">
        <v>69</v>
      </c>
      <c r="F19" s="133" t="e">
        <f>1/D19</f>
        <v>#DIV/0!</v>
      </c>
      <c r="G19" s="134">
        <v>188.76</v>
      </c>
      <c r="H19" s="135" t="s">
        <v>144</v>
      </c>
      <c r="I19" s="136" t="e">
        <f>(1/D19)*G19*(1/188.76)</f>
        <v>#DIV/0!</v>
      </c>
      <c r="J19" s="137" t="e">
        <f>'Servente + I'!H210</f>
        <v>#DIV/0!</v>
      </c>
      <c r="K19" s="138" t="e">
        <f>I19*J19</f>
        <v>#DIV/0!</v>
      </c>
      <c r="L19" s="162" t="e">
        <f>K19*C19</f>
        <v>#DIV/0!</v>
      </c>
      <c r="M19" s="127"/>
      <c r="N19" s="127"/>
      <c r="O19" s="525" t="s">
        <v>141</v>
      </c>
      <c r="P19" s="101" t="s">
        <v>142</v>
      </c>
      <c r="Q19" s="537" t="e">
        <f>S19/R19</f>
        <v>#DIV/0!</v>
      </c>
      <c r="R19" s="536">
        <f>SUM(C19:C24)</f>
        <v>4824.0180000000009</v>
      </c>
      <c r="S19" s="528" t="e">
        <f>SUM(L19:L24)</f>
        <v>#DIV/0!</v>
      </c>
    </row>
    <row r="20" spans="1:19" ht="30" customHeight="1" x14ac:dyDescent="0.25">
      <c r="A20" s="511"/>
      <c r="B20" s="101" t="s">
        <v>147</v>
      </c>
      <c r="C20" s="102">
        <f>Produtividade!D17</f>
        <v>1529.0260000000001</v>
      </c>
      <c r="D20" s="103">
        <f>Produtividade!E17</f>
        <v>0</v>
      </c>
      <c r="E20" s="125" t="s">
        <v>69</v>
      </c>
      <c r="F20" s="104" t="e">
        <f t="shared" ref="F20:F31" si="0">1/D20</f>
        <v>#DIV/0!</v>
      </c>
      <c r="G20" s="105">
        <v>188.76</v>
      </c>
      <c r="H20" s="106" t="s">
        <v>144</v>
      </c>
      <c r="I20" s="107" t="e">
        <f t="shared" ref="I20:I21" si="1">(1/D20)*G20*(1/188.76)</f>
        <v>#DIV/0!</v>
      </c>
      <c r="J20" s="126" t="e">
        <f>'Servente + I'!H210</f>
        <v>#DIV/0!</v>
      </c>
      <c r="K20" s="108" t="e">
        <f t="shared" ref="K20:K21" si="2">I20*J20</f>
        <v>#DIV/0!</v>
      </c>
      <c r="L20" s="163" t="e">
        <f t="shared" ref="L20:L31" si="3">K20*C20</f>
        <v>#DIV/0!</v>
      </c>
      <c r="M20" s="127"/>
      <c r="N20" s="127"/>
      <c r="O20" s="526"/>
      <c r="P20" s="101" t="s">
        <v>147</v>
      </c>
      <c r="Q20" s="537"/>
      <c r="R20" s="536"/>
      <c r="S20" s="529"/>
    </row>
    <row r="21" spans="1:19" ht="30" customHeight="1" x14ac:dyDescent="0.25">
      <c r="A21" s="511"/>
      <c r="B21" s="101" t="s">
        <v>150</v>
      </c>
      <c r="C21" s="102">
        <f>Produtividade!D18</f>
        <v>453.74799999999999</v>
      </c>
      <c r="D21" s="103">
        <f>Produtividade!E18</f>
        <v>0</v>
      </c>
      <c r="E21" s="125" t="s">
        <v>69</v>
      </c>
      <c r="F21" s="104" t="e">
        <f t="shared" si="0"/>
        <v>#DIV/0!</v>
      </c>
      <c r="G21" s="105">
        <v>16</v>
      </c>
      <c r="H21" s="106" t="s">
        <v>144</v>
      </c>
      <c r="I21" s="107" t="e">
        <f t="shared" si="1"/>
        <v>#DIV/0!</v>
      </c>
      <c r="J21" s="126" t="e">
        <f>'Servente + I'!H210</f>
        <v>#DIV/0!</v>
      </c>
      <c r="K21" s="108" t="e">
        <f t="shared" si="2"/>
        <v>#DIV/0!</v>
      </c>
      <c r="L21" s="163" t="e">
        <f t="shared" si="3"/>
        <v>#DIV/0!</v>
      </c>
      <c r="M21" s="127"/>
      <c r="N21" s="127"/>
      <c r="O21" s="526"/>
      <c r="P21" s="101" t="s">
        <v>150</v>
      </c>
      <c r="Q21" s="537"/>
      <c r="R21" s="536"/>
      <c r="S21" s="529"/>
    </row>
    <row r="22" spans="1:19" ht="30" customHeight="1" x14ac:dyDescent="0.25">
      <c r="A22" s="511"/>
      <c r="B22" s="101" t="s">
        <v>153</v>
      </c>
      <c r="C22" s="102">
        <f>Produtividade!D19</f>
        <v>63.89</v>
      </c>
      <c r="D22" s="103">
        <f>Produtividade!E19</f>
        <v>0</v>
      </c>
      <c r="E22" s="103" t="s">
        <v>69</v>
      </c>
      <c r="F22" s="104" t="e">
        <f t="shared" si="0"/>
        <v>#DIV/0!</v>
      </c>
      <c r="G22" s="105">
        <v>16</v>
      </c>
      <c r="H22" s="106" t="s">
        <v>144</v>
      </c>
      <c r="I22" s="107" t="e">
        <f t="shared" ref="I22:I24" si="4">(1/D22)*G22*(1/188.76)</f>
        <v>#DIV/0!</v>
      </c>
      <c r="J22" s="126" t="e">
        <f>Servente!H209</f>
        <v>#DIV/0!</v>
      </c>
      <c r="K22" s="108" t="e">
        <f t="shared" ref="K22:K24" si="5">I22*J22</f>
        <v>#DIV/0!</v>
      </c>
      <c r="L22" s="163" t="e">
        <f t="shared" si="3"/>
        <v>#DIV/0!</v>
      </c>
      <c r="M22" s="127"/>
      <c r="N22" s="127"/>
      <c r="O22" s="526"/>
      <c r="P22" s="101" t="s">
        <v>153</v>
      </c>
      <c r="Q22" s="537"/>
      <c r="R22" s="536"/>
      <c r="S22" s="529"/>
    </row>
    <row r="23" spans="1:19" ht="30" customHeight="1" x14ac:dyDescent="0.25">
      <c r="A23" s="511"/>
      <c r="B23" s="101" t="s">
        <v>156</v>
      </c>
      <c r="C23" s="102">
        <f>Produtividade!D20</f>
        <v>574.06000000000006</v>
      </c>
      <c r="D23" s="103">
        <f>Produtividade!E20</f>
        <v>0</v>
      </c>
      <c r="E23" s="103" t="s">
        <v>69</v>
      </c>
      <c r="F23" s="104" t="e">
        <f t="shared" si="0"/>
        <v>#DIV/0!</v>
      </c>
      <c r="G23" s="105">
        <v>188.76</v>
      </c>
      <c r="H23" s="106" t="s">
        <v>144</v>
      </c>
      <c r="I23" s="107" t="e">
        <f t="shared" si="4"/>
        <v>#DIV/0!</v>
      </c>
      <c r="J23" s="126" t="e">
        <f>Servente!H209</f>
        <v>#DIV/0!</v>
      </c>
      <c r="K23" s="108" t="e">
        <f t="shared" si="5"/>
        <v>#DIV/0!</v>
      </c>
      <c r="L23" s="163" t="e">
        <f t="shared" si="3"/>
        <v>#DIV/0!</v>
      </c>
      <c r="M23" s="127"/>
      <c r="N23" s="127"/>
      <c r="O23" s="526"/>
      <c r="P23" s="101" t="s">
        <v>156</v>
      </c>
      <c r="Q23" s="537"/>
      <c r="R23" s="536"/>
      <c r="S23" s="529"/>
    </row>
    <row r="24" spans="1:19" ht="30" customHeight="1" thickBot="1" x14ac:dyDescent="0.3">
      <c r="A24" s="512"/>
      <c r="B24" s="139" t="s">
        <v>159</v>
      </c>
      <c r="C24" s="140">
        <f>Produtividade!D21</f>
        <v>432.06200000000001</v>
      </c>
      <c r="D24" s="141">
        <f>Produtividade!E21</f>
        <v>0</v>
      </c>
      <c r="E24" s="142" t="s">
        <v>69</v>
      </c>
      <c r="F24" s="143" t="e">
        <f t="shared" si="0"/>
        <v>#DIV/0!</v>
      </c>
      <c r="G24" s="441">
        <v>188.76</v>
      </c>
      <c r="H24" s="144" t="s">
        <v>144</v>
      </c>
      <c r="I24" s="145" t="e">
        <f t="shared" si="4"/>
        <v>#DIV/0!</v>
      </c>
      <c r="J24" s="146" t="e">
        <f>'Servente + I'!H210</f>
        <v>#DIV/0!</v>
      </c>
      <c r="K24" s="147" t="e">
        <f t="shared" si="5"/>
        <v>#DIV/0!</v>
      </c>
      <c r="L24" s="164" t="e">
        <f t="shared" si="3"/>
        <v>#DIV/0!</v>
      </c>
      <c r="M24" s="127"/>
      <c r="N24" s="127"/>
      <c r="O24" s="527"/>
      <c r="P24" s="101" t="s">
        <v>159</v>
      </c>
      <c r="Q24" s="537"/>
      <c r="R24" s="536"/>
      <c r="S24" s="529"/>
    </row>
    <row r="25" spans="1:19" ht="53.25" customHeight="1" thickBot="1" x14ac:dyDescent="0.3">
      <c r="A25" s="510" t="s">
        <v>161</v>
      </c>
      <c r="B25" s="148" t="s">
        <v>162</v>
      </c>
      <c r="C25" s="130">
        <f>Produtividade!D22</f>
        <v>683.59768499999996</v>
      </c>
      <c r="D25" s="131">
        <f>Produtividade!E22</f>
        <v>0</v>
      </c>
      <c r="E25" s="131" t="s">
        <v>69</v>
      </c>
      <c r="F25" s="133" t="e">
        <f t="shared" si="0"/>
        <v>#DIV/0!</v>
      </c>
      <c r="G25" s="134">
        <v>188.76</v>
      </c>
      <c r="H25" s="135" t="s">
        <v>144</v>
      </c>
      <c r="I25" s="136" t="e">
        <f>(1/D25)*G25*(1/188.76)</f>
        <v>#DIV/0!</v>
      </c>
      <c r="J25" s="137" t="e">
        <f>Servente!H209</f>
        <v>#DIV/0!</v>
      </c>
      <c r="K25" s="138" t="e">
        <f>I25*J25</f>
        <v>#DIV/0!</v>
      </c>
      <c r="L25" s="162" t="e">
        <f t="shared" si="3"/>
        <v>#DIV/0!</v>
      </c>
      <c r="M25" s="127"/>
      <c r="N25" s="127"/>
      <c r="O25" s="525" t="s">
        <v>161</v>
      </c>
      <c r="P25" s="109" t="s">
        <v>162</v>
      </c>
      <c r="Q25" s="533" t="e">
        <f>S25/R25</f>
        <v>#DIV/0!</v>
      </c>
      <c r="R25" s="536">
        <f>SUM(C25:C27)</f>
        <v>6792.0036849999997</v>
      </c>
      <c r="S25" s="530" t="e">
        <f>SUM(L25:L27)</f>
        <v>#DIV/0!</v>
      </c>
    </row>
    <row r="26" spans="1:19" ht="38.25" customHeight="1" x14ac:dyDescent="0.25">
      <c r="A26" s="511"/>
      <c r="B26" s="109" t="s">
        <v>165</v>
      </c>
      <c r="C26" s="102">
        <f>Produtividade!D23</f>
        <v>3842.4840000000004</v>
      </c>
      <c r="D26" s="103">
        <f>Produtividade!E23</f>
        <v>0</v>
      </c>
      <c r="E26" s="103" t="s">
        <v>69</v>
      </c>
      <c r="F26" s="104" t="e">
        <f t="shared" si="0"/>
        <v>#DIV/0!</v>
      </c>
      <c r="G26" s="105">
        <v>188.76</v>
      </c>
      <c r="H26" s="106" t="s">
        <v>144</v>
      </c>
      <c r="I26" s="107" t="e">
        <f t="shared" ref="I26:I31" si="6">(1/D26)*G26*(1/188.76)</f>
        <v>#DIV/0!</v>
      </c>
      <c r="J26" s="137" t="e">
        <f>Servente!H209</f>
        <v>#DIV/0!</v>
      </c>
      <c r="K26" s="108" t="e">
        <f t="shared" ref="K26:K27" si="7">I26*J26</f>
        <v>#DIV/0!</v>
      </c>
      <c r="L26" s="163" t="e">
        <f t="shared" si="3"/>
        <v>#DIV/0!</v>
      </c>
      <c r="M26" s="127"/>
      <c r="N26" s="127"/>
      <c r="O26" s="526"/>
      <c r="P26" s="109" t="s">
        <v>165</v>
      </c>
      <c r="Q26" s="534"/>
      <c r="R26" s="536"/>
      <c r="S26" s="531"/>
    </row>
    <row r="27" spans="1:19" ht="30" customHeight="1" thickBot="1" x14ac:dyDescent="0.3">
      <c r="A27" s="512"/>
      <c r="B27" s="139" t="s">
        <v>167</v>
      </c>
      <c r="C27" s="140">
        <f>Produtividade!D24</f>
        <v>2265.922</v>
      </c>
      <c r="D27" s="141">
        <f>Produtividade!E24</f>
        <v>0</v>
      </c>
      <c r="E27" s="141" t="s">
        <v>69</v>
      </c>
      <c r="F27" s="143" t="e">
        <f t="shared" si="0"/>
        <v>#DIV/0!</v>
      </c>
      <c r="G27" s="441">
        <v>188.76</v>
      </c>
      <c r="H27" s="144" t="s">
        <v>144</v>
      </c>
      <c r="I27" s="145" t="e">
        <f t="shared" si="6"/>
        <v>#DIV/0!</v>
      </c>
      <c r="J27" s="126" t="e">
        <f>Servente!H209</f>
        <v>#DIV/0!</v>
      </c>
      <c r="K27" s="147" t="e">
        <f t="shared" si="7"/>
        <v>#DIV/0!</v>
      </c>
      <c r="L27" s="164" t="e">
        <f t="shared" si="3"/>
        <v>#DIV/0!</v>
      </c>
      <c r="M27" s="127"/>
      <c r="N27" s="127"/>
      <c r="O27" s="527"/>
      <c r="P27" s="101" t="s">
        <v>167</v>
      </c>
      <c r="Q27" s="535"/>
      <c r="R27" s="536"/>
      <c r="S27" s="532"/>
    </row>
    <row r="28" spans="1:19" ht="36" customHeight="1" x14ac:dyDescent="0.25">
      <c r="A28" s="510" t="s">
        <v>168</v>
      </c>
      <c r="B28" s="149" t="s">
        <v>193</v>
      </c>
      <c r="C28" s="398">
        <f>Produtividade!D25</f>
        <v>158.3948</v>
      </c>
      <c r="D28" s="131">
        <f>Produtividade!E25</f>
        <v>0</v>
      </c>
      <c r="E28" s="131" t="s">
        <v>69</v>
      </c>
      <c r="F28" s="133" t="e">
        <f t="shared" si="0"/>
        <v>#DIV/0!</v>
      </c>
      <c r="G28" s="134">
        <v>16</v>
      </c>
      <c r="H28" s="135" t="s">
        <v>144</v>
      </c>
      <c r="I28" s="136" t="e">
        <f t="shared" si="6"/>
        <v>#DIV/0!</v>
      </c>
      <c r="J28" s="126" t="e">
        <f>Servente!H209</f>
        <v>#DIV/0!</v>
      </c>
      <c r="K28" s="150" t="e">
        <f>ROUND((I28*J28),2)</f>
        <v>#DIV/0!</v>
      </c>
      <c r="L28" s="165" t="e">
        <f t="shared" si="3"/>
        <v>#DIV/0!</v>
      </c>
      <c r="M28" s="127"/>
      <c r="N28" s="127"/>
      <c r="O28" s="525" t="s">
        <v>168</v>
      </c>
      <c r="P28" s="110" t="s">
        <v>193</v>
      </c>
      <c r="Q28" s="533" t="e">
        <f>S28/R28</f>
        <v>#DIV/0!</v>
      </c>
      <c r="R28" s="536">
        <f>SUM(C28:C30)</f>
        <v>1429.7328</v>
      </c>
      <c r="S28" s="530" t="e">
        <f>SUM(L28:L30)</f>
        <v>#DIV/0!</v>
      </c>
    </row>
    <row r="29" spans="1:19" s="113" customFormat="1" ht="36" customHeight="1" x14ac:dyDescent="0.25">
      <c r="A29" s="511"/>
      <c r="B29" s="110" t="s">
        <v>194</v>
      </c>
      <c r="C29" s="391">
        <f>Produtividade!D26</f>
        <v>211.98199999999997</v>
      </c>
      <c r="D29" s="103">
        <f>Produtividade!E26</f>
        <v>0</v>
      </c>
      <c r="E29" s="103" t="s">
        <v>69</v>
      </c>
      <c r="F29" s="104" t="e">
        <f t="shared" si="0"/>
        <v>#DIV/0!</v>
      </c>
      <c r="G29" s="105">
        <v>16</v>
      </c>
      <c r="H29" s="106" t="s">
        <v>144</v>
      </c>
      <c r="I29" s="107" t="e">
        <f t="shared" si="6"/>
        <v>#DIV/0!</v>
      </c>
      <c r="J29" s="111" t="e">
        <f>Servente!H209</f>
        <v>#DIV/0!</v>
      </c>
      <c r="K29" s="112" t="e">
        <f>ROUND((I29*J29),2)</f>
        <v>#DIV/0!</v>
      </c>
      <c r="L29" s="166" t="e">
        <f t="shared" si="3"/>
        <v>#DIV/0!</v>
      </c>
      <c r="M29" s="127"/>
      <c r="N29" s="127"/>
      <c r="O29" s="526"/>
      <c r="P29" s="110" t="s">
        <v>194</v>
      </c>
      <c r="Q29" s="534"/>
      <c r="R29" s="536"/>
      <c r="S29" s="531"/>
    </row>
    <row r="30" spans="1:19" s="113" customFormat="1" ht="30" customHeight="1" thickBot="1" x14ac:dyDescent="0.3">
      <c r="A30" s="512"/>
      <c r="B30" s="151" t="s">
        <v>173</v>
      </c>
      <c r="C30" s="399">
        <f>Produtividade!D27</f>
        <v>1059.356</v>
      </c>
      <c r="D30" s="141">
        <f>Produtividade!E27</f>
        <v>0</v>
      </c>
      <c r="E30" s="141" t="s">
        <v>69</v>
      </c>
      <c r="F30" s="143" t="e">
        <f t="shared" si="0"/>
        <v>#DIV/0!</v>
      </c>
      <c r="G30" s="441">
        <v>16</v>
      </c>
      <c r="H30" s="144" t="s">
        <v>144</v>
      </c>
      <c r="I30" s="145" t="e">
        <f t="shared" si="6"/>
        <v>#DIV/0!</v>
      </c>
      <c r="J30" s="152" t="e">
        <f>Servente!H209</f>
        <v>#DIV/0!</v>
      </c>
      <c r="K30" s="153" t="e">
        <f t="shared" ref="K30" si="8">ROUND((I30*J30),2)</f>
        <v>#DIV/0!</v>
      </c>
      <c r="L30" s="167" t="e">
        <f t="shared" si="3"/>
        <v>#DIV/0!</v>
      </c>
      <c r="M30" s="127"/>
      <c r="N30" s="127"/>
      <c r="O30" s="527"/>
      <c r="P30" s="114" t="s">
        <v>173</v>
      </c>
      <c r="Q30" s="535"/>
      <c r="R30" s="536"/>
      <c r="S30" s="532"/>
    </row>
    <row r="31" spans="1:19" ht="37.5" customHeight="1" thickBot="1" x14ac:dyDescent="0.3">
      <c r="A31" s="154" t="s">
        <v>174</v>
      </c>
      <c r="B31" s="155" t="s">
        <v>175</v>
      </c>
      <c r="C31" s="400">
        <f>Produtividade!D28</f>
        <v>804.61080000000004</v>
      </c>
      <c r="D31" s="156">
        <f>Produtividade!E28</f>
        <v>0</v>
      </c>
      <c r="E31" s="156" t="s">
        <v>69</v>
      </c>
      <c r="F31" s="157" t="e">
        <f t="shared" si="0"/>
        <v>#DIV/0!</v>
      </c>
      <c r="G31" s="442">
        <v>8</v>
      </c>
      <c r="H31" s="158" t="s">
        <v>144</v>
      </c>
      <c r="I31" s="159" t="e">
        <f t="shared" si="6"/>
        <v>#DIV/0!</v>
      </c>
      <c r="J31" s="160" t="e">
        <f>Servente!H209</f>
        <v>#DIV/0!</v>
      </c>
      <c r="K31" s="161" t="e">
        <f>ROUND((I31*J31),2)</f>
        <v>#DIV/0!</v>
      </c>
      <c r="L31" s="168" t="e">
        <f t="shared" si="3"/>
        <v>#DIV/0!</v>
      </c>
      <c r="M31" s="127"/>
      <c r="N31" s="127"/>
      <c r="O31" s="169" t="s">
        <v>174</v>
      </c>
      <c r="P31" s="170" t="s">
        <v>175</v>
      </c>
      <c r="Q31" s="171" t="e">
        <f>S31/R31</f>
        <v>#DIV/0!</v>
      </c>
      <c r="R31" s="172">
        <f>C31</f>
        <v>804.61080000000004</v>
      </c>
      <c r="S31" s="175" t="e">
        <f>L31</f>
        <v>#DIV/0!</v>
      </c>
    </row>
    <row r="32" spans="1:19" s="113" customFormat="1" ht="26.25" customHeight="1" thickBot="1" x14ac:dyDescent="0.3">
      <c r="A32" s="522" t="s">
        <v>195</v>
      </c>
      <c r="B32" s="523"/>
      <c r="C32" s="523"/>
      <c r="D32" s="523"/>
      <c r="E32" s="523"/>
      <c r="F32" s="523"/>
      <c r="G32" s="523"/>
      <c r="H32" s="523"/>
      <c r="I32" s="523"/>
      <c r="J32" s="523"/>
      <c r="K32" s="524"/>
      <c r="L32" s="173" t="e">
        <f>SUM(L19:L31)</f>
        <v>#DIV/0!</v>
      </c>
      <c r="N32" s="397"/>
      <c r="O32" s="519" t="s">
        <v>195</v>
      </c>
      <c r="P32" s="520"/>
      <c r="Q32" s="520"/>
      <c r="R32" s="521"/>
      <c r="S32" s="174" t="e">
        <f>SUM(S19:S31)</f>
        <v>#DIV/0!</v>
      </c>
    </row>
    <row r="36" spans="3:5" ht="55.5" customHeight="1" x14ac:dyDescent="0.25">
      <c r="C36" s="47"/>
      <c r="D36" s="47"/>
      <c r="E36" s="47"/>
    </row>
    <row r="37" spans="3:5" x14ac:dyDescent="0.25">
      <c r="C37" s="47"/>
      <c r="D37" s="47"/>
      <c r="E37" s="47"/>
    </row>
    <row r="38" spans="3:5" x14ac:dyDescent="0.25">
      <c r="C38" s="47"/>
      <c r="D38" s="47"/>
      <c r="E38" s="47"/>
    </row>
    <row r="39" spans="3:5" x14ac:dyDescent="0.25">
      <c r="C39" s="47"/>
      <c r="D39" s="47"/>
      <c r="E39" s="47"/>
    </row>
    <row r="40" spans="3:5" x14ac:dyDescent="0.25">
      <c r="C40" s="47"/>
      <c r="D40" s="47"/>
      <c r="E40" s="47"/>
    </row>
    <row r="41" spans="3:5" x14ac:dyDescent="0.25">
      <c r="C41" s="47"/>
      <c r="D41" s="47"/>
      <c r="E41" s="47"/>
    </row>
    <row r="42" spans="3:5" x14ac:dyDescent="0.25">
      <c r="C42" s="47"/>
      <c r="D42" s="47"/>
      <c r="E42" s="47"/>
    </row>
    <row r="43" spans="3:5" x14ac:dyDescent="0.25">
      <c r="C43" s="47"/>
      <c r="D43" s="47"/>
      <c r="E43" s="47"/>
    </row>
    <row r="44" spans="3:5" x14ac:dyDescent="0.25">
      <c r="C44" s="47"/>
      <c r="D44" s="47"/>
      <c r="E44" s="47"/>
    </row>
    <row r="45" spans="3:5" x14ac:dyDescent="0.25">
      <c r="C45" s="47"/>
      <c r="D45" s="47"/>
      <c r="E45" s="47"/>
    </row>
    <row r="46" spans="3:5" x14ac:dyDescent="0.25">
      <c r="C46" s="47"/>
      <c r="D46" s="47"/>
      <c r="E46" s="47"/>
    </row>
    <row r="47" spans="3:5" x14ac:dyDescent="0.25">
      <c r="C47" s="47"/>
      <c r="D47" s="47"/>
      <c r="E47" s="47"/>
    </row>
    <row r="48" spans="3:5" x14ac:dyDescent="0.25">
      <c r="C48" s="47"/>
      <c r="D48" s="47"/>
      <c r="E48" s="47"/>
    </row>
    <row r="49" spans="3:5" x14ac:dyDescent="0.25">
      <c r="C49" s="47"/>
      <c r="D49" s="47"/>
      <c r="E49" s="47"/>
    </row>
    <row r="50" spans="3:5" x14ac:dyDescent="0.25">
      <c r="C50" s="47"/>
      <c r="D50" s="47"/>
      <c r="E50" s="47"/>
    </row>
  </sheetData>
  <sheetProtection algorithmName="SHA-512" hashValue="lk+ZDgNOdBEMfnJZxaNJpezQ9x3RRN9ymLKdOZe/RKDXdMkrk+wd2jIOVbNcPSYMpeyPgYAH+Khr0UutL4iThw==" saltValue="4MOnZLV21bCjrrb3ri8dUw==" spinCount="100000" sheet="1" objects="1" scenarios="1"/>
  <mergeCells count="30">
    <mergeCell ref="A13:S13"/>
    <mergeCell ref="A9:I9"/>
    <mergeCell ref="A1:I1"/>
    <mergeCell ref="A2:I2"/>
    <mergeCell ref="A7:I7"/>
    <mergeCell ref="A5:S5"/>
    <mergeCell ref="A6:S6"/>
    <mergeCell ref="A8:S8"/>
    <mergeCell ref="A10:S10"/>
    <mergeCell ref="A11:S11"/>
    <mergeCell ref="S19:S24"/>
    <mergeCell ref="S25:S27"/>
    <mergeCell ref="Q25:Q27"/>
    <mergeCell ref="Q28:Q30"/>
    <mergeCell ref="S28:S30"/>
    <mergeCell ref="R19:R24"/>
    <mergeCell ref="R25:R27"/>
    <mergeCell ref="R28:R30"/>
    <mergeCell ref="Q19:Q24"/>
    <mergeCell ref="A28:A30"/>
    <mergeCell ref="J17:L17"/>
    <mergeCell ref="B15:E15"/>
    <mergeCell ref="G15:H15"/>
    <mergeCell ref="O32:R32"/>
    <mergeCell ref="A32:K32"/>
    <mergeCell ref="O19:O24"/>
    <mergeCell ref="O25:O27"/>
    <mergeCell ref="O28:O30"/>
    <mergeCell ref="A19:A24"/>
    <mergeCell ref="A25:A27"/>
  </mergeCells>
  <pageMargins left="0.78740157480314965" right="0.59055118110236227" top="0.78740157480314965" bottom="0.78740157480314965" header="0.31496062992125984" footer="0.31496062992125984"/>
  <pageSetup paperSize="9" scale="23" orientation="portrait" r:id="rId1"/>
  <headerFooter>
    <oddFooter>&amp;A</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4">
    <tabColor rgb="FF00B050"/>
    <pageSetUpPr fitToPage="1"/>
  </sheetPr>
  <dimension ref="A1:Q41"/>
  <sheetViews>
    <sheetView showGridLines="0" zoomScaleNormal="100" workbookViewId="0">
      <selection activeCell="M1" sqref="M1"/>
    </sheetView>
  </sheetViews>
  <sheetFormatPr defaultRowHeight="15" x14ac:dyDescent="0.25"/>
  <cols>
    <col min="1" max="1" width="7" customWidth="1"/>
    <col min="2" max="2" width="40.7109375" customWidth="1"/>
    <col min="3" max="4" width="9.7109375" customWidth="1"/>
    <col min="5" max="5" width="15.42578125" customWidth="1"/>
    <col min="6" max="9" width="11.7109375" customWidth="1"/>
    <col min="10" max="10" width="13.7109375" customWidth="1"/>
    <col min="11" max="11" width="14.7109375" customWidth="1"/>
    <col min="12" max="15" width="13.85546875" customWidth="1"/>
    <col min="16" max="16" width="5.7109375" customWidth="1"/>
    <col min="17" max="17" width="17.140625" customWidth="1"/>
  </cols>
  <sheetData>
    <row r="1" spans="1:17" ht="15" customHeight="1" x14ac:dyDescent="0.35">
      <c r="A1" s="479"/>
      <c r="B1" s="479"/>
      <c r="C1" s="479"/>
      <c r="D1" s="479"/>
      <c r="E1" s="479"/>
      <c r="F1" s="479"/>
      <c r="G1" s="479"/>
      <c r="H1" s="479"/>
      <c r="I1" s="479"/>
    </row>
    <row r="2" spans="1:17" ht="15" customHeight="1" x14ac:dyDescent="0.25">
      <c r="A2" s="480"/>
      <c r="B2" s="480"/>
      <c r="C2" s="480"/>
      <c r="D2" s="480"/>
      <c r="E2" s="480"/>
      <c r="F2" s="480"/>
      <c r="G2" s="480"/>
      <c r="H2" s="480"/>
      <c r="I2" s="480"/>
    </row>
    <row r="3" spans="1:17" ht="15" customHeight="1" x14ac:dyDescent="0.35">
      <c r="A3" s="382"/>
      <c r="B3" s="382"/>
      <c r="C3" s="382"/>
      <c r="D3" s="382"/>
      <c r="E3" s="382"/>
      <c r="F3" s="382"/>
      <c r="G3" s="382"/>
      <c r="H3" s="382"/>
      <c r="J3" s="2"/>
      <c r="K3" s="2"/>
      <c r="L3" s="2"/>
      <c r="M3" s="2"/>
      <c r="N3" s="2"/>
      <c r="O3" s="2"/>
      <c r="P3" s="274"/>
      <c r="Q3" s="274"/>
    </row>
    <row r="4" spans="1:17" ht="15" customHeight="1" x14ac:dyDescent="0.35">
      <c r="A4" s="2"/>
      <c r="B4" s="2"/>
      <c r="C4" s="2"/>
      <c r="D4" s="2"/>
      <c r="E4" s="2"/>
      <c r="F4" s="2"/>
      <c r="G4" s="2"/>
      <c r="H4" s="2"/>
      <c r="J4" s="2"/>
      <c r="K4" s="2"/>
      <c r="L4" s="2"/>
      <c r="M4" s="2"/>
      <c r="N4" s="2"/>
      <c r="O4" s="2"/>
      <c r="P4" s="274"/>
      <c r="Q4" s="274"/>
    </row>
    <row r="5" spans="1:17" ht="15" customHeight="1" x14ac:dyDescent="0.35">
      <c r="A5" s="483" t="str">
        <f>ORIENTAÇÕES!A5</f>
        <v>MINISTÉRIO DA AGRICULTURA E PECUÁRIA</v>
      </c>
      <c r="B5" s="483"/>
      <c r="C5" s="483"/>
      <c r="D5" s="483"/>
      <c r="E5" s="483"/>
      <c r="F5" s="483"/>
      <c r="G5" s="483"/>
      <c r="H5" s="483"/>
      <c r="I5" s="483"/>
      <c r="J5" s="483"/>
      <c r="K5" s="483"/>
      <c r="L5" s="483"/>
      <c r="M5" s="483"/>
      <c r="N5" s="483"/>
      <c r="O5" s="483"/>
      <c r="P5" s="274"/>
      <c r="Q5" s="274"/>
    </row>
    <row r="6" spans="1:17" ht="15" customHeight="1" x14ac:dyDescent="0.35">
      <c r="A6" s="483" t="str">
        <f>ORIENTAÇÕES!A6</f>
        <v>LABORATÓRIO FEDERAL DE DEFESA AGROPECUÁRIA NO PARÁ</v>
      </c>
      <c r="B6" s="483"/>
      <c r="C6" s="483"/>
      <c r="D6" s="483"/>
      <c r="E6" s="483"/>
      <c r="F6" s="483"/>
      <c r="G6" s="483"/>
      <c r="H6" s="483"/>
      <c r="I6" s="483"/>
      <c r="J6" s="483"/>
      <c r="K6" s="483"/>
      <c r="L6" s="483"/>
      <c r="M6" s="483"/>
      <c r="N6" s="483"/>
      <c r="O6" s="483"/>
      <c r="P6" s="274"/>
      <c r="Q6" s="274"/>
    </row>
    <row r="7" spans="1:17" ht="15" customHeight="1" x14ac:dyDescent="0.35">
      <c r="A7" s="480"/>
      <c r="B7" s="480"/>
      <c r="C7" s="480"/>
      <c r="D7" s="480"/>
      <c r="E7" s="480"/>
      <c r="F7" s="480"/>
      <c r="G7" s="480"/>
      <c r="H7" s="480"/>
      <c r="I7" s="480"/>
      <c r="J7" s="2"/>
      <c r="K7" s="2"/>
      <c r="L7" s="2"/>
      <c r="M7" s="2"/>
      <c r="N7" s="2"/>
      <c r="O7" s="2"/>
      <c r="P7" s="274"/>
      <c r="Q7" s="274"/>
    </row>
    <row r="8" spans="1:17" ht="19.5" customHeight="1" x14ac:dyDescent="0.35">
      <c r="A8" s="484" t="str">
        <f>ORIENTAÇÕES!A8</f>
        <v xml:space="preserve">PLANILHA REFERENCIAL DE CUSTO E FORMAÇÃO DE PREÇO </v>
      </c>
      <c r="B8" s="484"/>
      <c r="C8" s="484"/>
      <c r="D8" s="484"/>
      <c r="E8" s="484"/>
      <c r="F8" s="484"/>
      <c r="G8" s="484"/>
      <c r="H8" s="484"/>
      <c r="I8" s="484"/>
      <c r="J8" s="484"/>
      <c r="K8" s="484"/>
      <c r="L8" s="484"/>
      <c r="M8" s="484"/>
      <c r="N8" s="484"/>
      <c r="O8" s="484"/>
      <c r="P8" s="274"/>
      <c r="Q8" s="274"/>
    </row>
    <row r="9" spans="1:17" ht="15" customHeight="1" x14ac:dyDescent="0.35">
      <c r="A9" s="482"/>
      <c r="B9" s="482"/>
      <c r="C9" s="482"/>
      <c r="D9" s="482"/>
      <c r="E9" s="482"/>
      <c r="F9" s="482"/>
      <c r="G9" s="482"/>
      <c r="H9" s="482"/>
      <c r="I9" s="482"/>
      <c r="J9" s="2"/>
      <c r="K9" s="2"/>
      <c r="L9" s="2"/>
      <c r="M9" s="2"/>
      <c r="N9" s="2"/>
      <c r="O9" s="2"/>
      <c r="P9" s="274"/>
      <c r="Q9" s="274"/>
    </row>
    <row r="10" spans="1:17" ht="15" customHeight="1" x14ac:dyDescent="0.25">
      <c r="A10" s="481" t="str">
        <f>ORIENTAÇÕES!A10</f>
        <v>Pregão Eletrônico 12/2023</v>
      </c>
      <c r="B10" s="481"/>
      <c r="C10" s="481"/>
      <c r="D10" s="481"/>
      <c r="E10" s="481"/>
      <c r="F10" s="481"/>
      <c r="G10" s="481"/>
      <c r="H10" s="481"/>
      <c r="I10" s="481"/>
      <c r="J10" s="481"/>
      <c r="K10" s="481"/>
      <c r="L10" s="481"/>
      <c r="M10" s="481"/>
      <c r="N10" s="481"/>
      <c r="O10" s="481"/>
      <c r="P10" s="45"/>
      <c r="Q10" s="45"/>
    </row>
    <row r="11" spans="1:17" ht="15" customHeight="1" x14ac:dyDescent="0.3">
      <c r="A11" s="481" t="str">
        <f>ORIENTAÇÕES!A11</f>
        <v>PROCESSO Nº. :  21000.001352/2023-57</v>
      </c>
      <c r="B11" s="481"/>
      <c r="C11" s="481"/>
      <c r="D11" s="481"/>
      <c r="E11" s="481"/>
      <c r="F11" s="481"/>
      <c r="G11" s="481"/>
      <c r="H11" s="481"/>
      <c r="I11" s="481"/>
      <c r="J11" s="481"/>
      <c r="K11" s="481"/>
      <c r="L11" s="481"/>
      <c r="M11" s="481"/>
      <c r="N11" s="481"/>
      <c r="O11" s="481"/>
      <c r="P11" s="2"/>
      <c r="Q11" s="2"/>
    </row>
    <row r="12" spans="1:17" ht="15" customHeight="1" x14ac:dyDescent="0.3">
      <c r="A12" s="383"/>
      <c r="B12" s="383"/>
      <c r="C12" s="383"/>
      <c r="D12" s="383"/>
      <c r="E12" s="383"/>
      <c r="F12" s="383"/>
      <c r="G12" s="383"/>
      <c r="H12" s="383"/>
      <c r="J12" s="2"/>
      <c r="K12" s="2"/>
      <c r="L12" s="2"/>
      <c r="M12" s="2"/>
      <c r="N12" s="2"/>
      <c r="O12" s="2"/>
      <c r="P12" s="2"/>
      <c r="Q12" s="2"/>
    </row>
    <row r="13" spans="1:17" ht="19.5" customHeight="1" x14ac:dyDescent="0.3">
      <c r="A13" s="538" t="s">
        <v>196</v>
      </c>
      <c r="B13" s="538"/>
      <c r="C13" s="538"/>
      <c r="D13" s="538"/>
      <c r="E13" s="538"/>
      <c r="F13" s="538"/>
      <c r="G13" s="538"/>
      <c r="H13" s="538"/>
      <c r="I13" s="538"/>
      <c r="J13" s="538"/>
      <c r="K13" s="538"/>
      <c r="L13" s="538"/>
      <c r="M13" s="538"/>
      <c r="N13" s="538"/>
      <c r="O13" s="538"/>
      <c r="P13" s="2"/>
      <c r="Q13" s="2"/>
    </row>
    <row r="14" spans="1:17" ht="30" customHeight="1" x14ac:dyDescent="0.25">
      <c r="A14" s="75"/>
      <c r="B14" s="75"/>
      <c r="C14" s="95"/>
      <c r="D14" s="95"/>
      <c r="E14" s="95"/>
      <c r="F14" s="95"/>
      <c r="G14" s="95"/>
      <c r="H14" s="95"/>
      <c r="I14" s="95"/>
      <c r="J14" s="95"/>
      <c r="K14" s="95"/>
      <c r="L14" s="95"/>
      <c r="M14" s="95"/>
      <c r="N14" s="95"/>
      <c r="O14" s="95"/>
      <c r="P14" s="45"/>
      <c r="Q14" s="45"/>
    </row>
    <row r="15" spans="1:17" ht="30" customHeight="1" x14ac:dyDescent="0.25">
      <c r="A15" s="539" t="s">
        <v>183</v>
      </c>
      <c r="B15" s="539"/>
      <c r="C15" s="550">
        <f>RESUMO!C16</f>
        <v>0</v>
      </c>
      <c r="D15" s="550"/>
      <c r="E15" s="550"/>
      <c r="F15" s="550"/>
      <c r="G15" s="550"/>
      <c r="H15" s="275"/>
      <c r="I15" s="248"/>
      <c r="J15" s="99"/>
      <c r="K15" s="551" t="s">
        <v>197</v>
      </c>
      <c r="L15" s="552"/>
      <c r="M15" s="529">
        <f>RESUMO!C18</f>
        <v>0</v>
      </c>
      <c r="N15" s="529"/>
      <c r="O15" s="529"/>
      <c r="P15" s="1"/>
      <c r="Q15" s="1"/>
    </row>
    <row r="16" spans="1:17" ht="30" customHeight="1" thickBot="1" x14ac:dyDescent="0.3">
      <c r="A16" s="37"/>
      <c r="B16" s="37"/>
      <c r="C16" s="37"/>
      <c r="D16" s="37"/>
      <c r="E16" s="37"/>
      <c r="F16" s="37"/>
      <c r="G16" s="37"/>
      <c r="H16" s="37"/>
      <c r="I16" s="37"/>
      <c r="J16" s="37"/>
      <c r="K16" s="37"/>
      <c r="L16" s="37"/>
      <c r="M16" s="37"/>
      <c r="N16" s="37"/>
      <c r="O16" s="37"/>
      <c r="P16" s="37"/>
      <c r="Q16" s="37"/>
    </row>
    <row r="17" spans="1:15" ht="15.75" thickBot="1" x14ac:dyDescent="0.3">
      <c r="A17" s="276"/>
      <c r="B17" s="276"/>
      <c r="C17" s="276"/>
      <c r="D17" s="276"/>
      <c r="E17" s="276"/>
      <c r="F17" s="276"/>
      <c r="G17" s="276"/>
      <c r="H17" s="276"/>
      <c r="I17" s="276"/>
      <c r="J17" s="276"/>
      <c r="K17" s="276"/>
      <c r="L17" s="540" t="s">
        <v>198</v>
      </c>
      <c r="M17" s="541"/>
      <c r="N17" s="541"/>
      <c r="O17" s="542"/>
    </row>
    <row r="18" spans="1:15" ht="30" x14ac:dyDescent="0.25">
      <c r="A18" s="277" t="s">
        <v>57</v>
      </c>
      <c r="B18" s="278" t="s">
        <v>199</v>
      </c>
      <c r="C18" s="278" t="s">
        <v>200</v>
      </c>
      <c r="D18" s="278" t="s">
        <v>201</v>
      </c>
      <c r="E18" s="278" t="s">
        <v>202</v>
      </c>
      <c r="F18" s="278" t="s">
        <v>69</v>
      </c>
      <c r="G18" s="278" t="s">
        <v>203</v>
      </c>
      <c r="H18" s="278" t="s">
        <v>72</v>
      </c>
      <c r="I18" s="278" t="s">
        <v>75</v>
      </c>
      <c r="J18" s="278" t="s">
        <v>204</v>
      </c>
      <c r="K18" s="279" t="s">
        <v>205</v>
      </c>
      <c r="L18" s="277" t="s">
        <v>206</v>
      </c>
      <c r="M18" s="278" t="s">
        <v>203</v>
      </c>
      <c r="N18" s="278" t="s">
        <v>72</v>
      </c>
      <c r="O18" s="280" t="s">
        <v>75</v>
      </c>
    </row>
    <row r="19" spans="1:15" ht="40.5" customHeight="1" x14ac:dyDescent="0.25">
      <c r="A19" s="250">
        <v>1</v>
      </c>
      <c r="B19" s="318" t="s">
        <v>207</v>
      </c>
      <c r="C19" s="462">
        <v>2</v>
      </c>
      <c r="D19" s="330" t="s">
        <v>201</v>
      </c>
      <c r="E19" s="341" t="s">
        <v>208</v>
      </c>
      <c r="F19" s="392" t="s">
        <v>209</v>
      </c>
      <c r="G19" s="392" t="s">
        <v>209</v>
      </c>
      <c r="H19" s="392" t="s">
        <v>209</v>
      </c>
      <c r="I19" s="342"/>
      <c r="J19" s="771">
        <v>0</v>
      </c>
      <c r="K19" s="464">
        <v>4</v>
      </c>
      <c r="L19" s="319">
        <f t="shared" ref="L19:M26" si="0">$K19*$J19</f>
        <v>0</v>
      </c>
      <c r="M19" s="343">
        <f t="shared" ref="M19:N19" si="1">$K19*$J19</f>
        <v>0</v>
      </c>
      <c r="N19" s="343">
        <f t="shared" si="1"/>
        <v>0</v>
      </c>
      <c r="O19" s="320" t="s">
        <v>109</v>
      </c>
    </row>
    <row r="20" spans="1:15" ht="30" customHeight="1" x14ac:dyDescent="0.25">
      <c r="A20" s="250">
        <v>2</v>
      </c>
      <c r="B20" s="318" t="s">
        <v>210</v>
      </c>
      <c r="C20" s="462">
        <v>2</v>
      </c>
      <c r="D20" s="330" t="s">
        <v>201</v>
      </c>
      <c r="E20" s="341" t="s">
        <v>208</v>
      </c>
      <c r="F20" s="342"/>
      <c r="G20" s="392" t="s">
        <v>209</v>
      </c>
      <c r="H20" s="342"/>
      <c r="I20" s="342"/>
      <c r="J20" s="771">
        <v>0</v>
      </c>
      <c r="K20" s="464">
        <v>4</v>
      </c>
      <c r="L20" s="345" t="s">
        <v>109</v>
      </c>
      <c r="M20" s="343">
        <f t="shared" ref="M20:O26" si="2">$K20*$J20</f>
        <v>0</v>
      </c>
      <c r="N20" s="345" t="s">
        <v>109</v>
      </c>
      <c r="O20" s="320" t="s">
        <v>109</v>
      </c>
    </row>
    <row r="21" spans="1:15" ht="30" customHeight="1" x14ac:dyDescent="0.25">
      <c r="A21" s="250">
        <v>3</v>
      </c>
      <c r="B21" s="318" t="s">
        <v>211</v>
      </c>
      <c r="C21" s="462">
        <v>2</v>
      </c>
      <c r="D21" s="330" t="s">
        <v>201</v>
      </c>
      <c r="E21" s="341" t="s">
        <v>208</v>
      </c>
      <c r="F21" s="330"/>
      <c r="G21" s="330"/>
      <c r="H21" s="330"/>
      <c r="I21" s="392" t="s">
        <v>209</v>
      </c>
      <c r="J21" s="771">
        <v>0</v>
      </c>
      <c r="K21" s="464">
        <v>4</v>
      </c>
      <c r="L21" s="345" t="s">
        <v>109</v>
      </c>
      <c r="M21" s="345" t="s">
        <v>109</v>
      </c>
      <c r="N21" s="345" t="s">
        <v>109</v>
      </c>
      <c r="O21" s="348">
        <f t="shared" si="2"/>
        <v>0</v>
      </c>
    </row>
    <row r="22" spans="1:15" ht="30" customHeight="1" x14ac:dyDescent="0.25">
      <c r="A22" s="250">
        <v>4</v>
      </c>
      <c r="B22" s="318" t="s">
        <v>212</v>
      </c>
      <c r="C22" s="462">
        <v>2</v>
      </c>
      <c r="D22" s="330" t="s">
        <v>201</v>
      </c>
      <c r="E22" s="341" t="s">
        <v>208</v>
      </c>
      <c r="F22" s="342"/>
      <c r="G22" s="342"/>
      <c r="H22" s="342"/>
      <c r="I22" s="392" t="s">
        <v>209</v>
      </c>
      <c r="J22" s="771">
        <v>0</v>
      </c>
      <c r="K22" s="464">
        <v>4</v>
      </c>
      <c r="L22" s="345" t="s">
        <v>109</v>
      </c>
      <c r="M22" s="345" t="s">
        <v>109</v>
      </c>
      <c r="N22" s="345" t="s">
        <v>109</v>
      </c>
      <c r="O22" s="348">
        <f t="shared" si="2"/>
        <v>0</v>
      </c>
    </row>
    <row r="23" spans="1:15" ht="30" customHeight="1" x14ac:dyDescent="0.25">
      <c r="A23" s="250">
        <v>5</v>
      </c>
      <c r="B23" s="318" t="s">
        <v>213</v>
      </c>
      <c r="C23" s="462">
        <v>4</v>
      </c>
      <c r="D23" s="330" t="s">
        <v>214</v>
      </c>
      <c r="E23" s="341" t="s">
        <v>208</v>
      </c>
      <c r="F23" s="392" t="s">
        <v>209</v>
      </c>
      <c r="G23" s="392" t="s">
        <v>209</v>
      </c>
      <c r="H23" s="392" t="s">
        <v>209</v>
      </c>
      <c r="I23" s="342"/>
      <c r="J23" s="771">
        <v>0</v>
      </c>
      <c r="K23" s="464">
        <v>8</v>
      </c>
      <c r="L23" s="319">
        <f t="shared" si="0"/>
        <v>0</v>
      </c>
      <c r="M23" s="343">
        <f t="shared" si="2"/>
        <v>0</v>
      </c>
      <c r="N23" s="343">
        <f t="shared" si="2"/>
        <v>0</v>
      </c>
      <c r="O23" s="320" t="s">
        <v>109</v>
      </c>
    </row>
    <row r="24" spans="1:15" ht="30" customHeight="1" x14ac:dyDescent="0.25">
      <c r="A24" s="250">
        <v>6</v>
      </c>
      <c r="B24" s="318" t="s">
        <v>215</v>
      </c>
      <c r="C24" s="462">
        <v>4</v>
      </c>
      <c r="D24" s="330" t="s">
        <v>214</v>
      </c>
      <c r="E24" s="341" t="s">
        <v>208</v>
      </c>
      <c r="F24" s="330"/>
      <c r="G24" s="330"/>
      <c r="H24" s="330"/>
      <c r="I24" s="392" t="s">
        <v>209</v>
      </c>
      <c r="J24" s="771">
        <v>0</v>
      </c>
      <c r="K24" s="464">
        <v>8</v>
      </c>
      <c r="L24" s="345" t="s">
        <v>109</v>
      </c>
      <c r="M24" s="345" t="s">
        <v>109</v>
      </c>
      <c r="N24" s="345" t="s">
        <v>109</v>
      </c>
      <c r="O24" s="348">
        <f t="shared" si="2"/>
        <v>0</v>
      </c>
    </row>
    <row r="25" spans="1:15" ht="30" customHeight="1" x14ac:dyDescent="0.25">
      <c r="A25" s="250">
        <v>7</v>
      </c>
      <c r="B25" s="318" t="s">
        <v>216</v>
      </c>
      <c r="C25" s="462">
        <v>1</v>
      </c>
      <c r="D25" s="330" t="s">
        <v>214</v>
      </c>
      <c r="E25" s="341" t="s">
        <v>208</v>
      </c>
      <c r="F25" s="330"/>
      <c r="G25" s="330"/>
      <c r="H25" s="330"/>
      <c r="I25" s="392" t="s">
        <v>209</v>
      </c>
      <c r="J25" s="771">
        <v>0</v>
      </c>
      <c r="K25" s="464">
        <v>2</v>
      </c>
      <c r="L25" s="345" t="s">
        <v>109</v>
      </c>
      <c r="M25" s="345" t="s">
        <v>109</v>
      </c>
      <c r="N25" s="345" t="s">
        <v>109</v>
      </c>
      <c r="O25" s="348">
        <f t="shared" si="2"/>
        <v>0</v>
      </c>
    </row>
    <row r="26" spans="1:15" ht="30" customHeight="1" thickBot="1" x14ac:dyDescent="0.3">
      <c r="A26" s="251">
        <v>8</v>
      </c>
      <c r="B26" s="321" t="s">
        <v>217</v>
      </c>
      <c r="C26" s="463">
        <v>1</v>
      </c>
      <c r="D26" s="338" t="s">
        <v>201</v>
      </c>
      <c r="E26" s="352" t="s">
        <v>218</v>
      </c>
      <c r="F26" s="393" t="s">
        <v>209</v>
      </c>
      <c r="G26" s="393" t="s">
        <v>209</v>
      </c>
      <c r="H26" s="393" t="s">
        <v>209</v>
      </c>
      <c r="I26" s="393" t="s">
        <v>209</v>
      </c>
      <c r="J26" s="772">
        <v>0</v>
      </c>
      <c r="K26" s="465">
        <v>1</v>
      </c>
      <c r="L26" s="394">
        <f t="shared" si="0"/>
        <v>0</v>
      </c>
      <c r="M26" s="394">
        <f t="shared" si="0"/>
        <v>0</v>
      </c>
      <c r="N26" s="394">
        <f t="shared" si="2"/>
        <v>0</v>
      </c>
      <c r="O26" s="395">
        <f t="shared" si="2"/>
        <v>0</v>
      </c>
    </row>
    <row r="27" spans="1:15" ht="15.75" thickBot="1" x14ac:dyDescent="0.3">
      <c r="A27" s="252"/>
      <c r="B27" s="281"/>
      <c r="C27" s="281"/>
      <c r="D27" s="281"/>
      <c r="E27" s="281"/>
      <c r="F27" s="281"/>
      <c r="G27" s="281"/>
      <c r="H27" s="281"/>
      <c r="I27" s="544" t="s">
        <v>219</v>
      </c>
      <c r="J27" s="545"/>
      <c r="K27" s="546"/>
      <c r="L27" s="358">
        <f>SUM(L19:L26)</f>
        <v>0</v>
      </c>
      <c r="M27" s="358">
        <f>SUM(M19:M26)</f>
        <v>0</v>
      </c>
      <c r="N27" s="358">
        <f>SUM(N19:N26)</f>
        <v>0</v>
      </c>
      <c r="O27" s="358">
        <f>SUM(O19:O26)</f>
        <v>0</v>
      </c>
    </row>
    <row r="28" spans="1:15" ht="15.75" thickBot="1" x14ac:dyDescent="0.3">
      <c r="B28" s="61"/>
      <c r="C28" s="282"/>
      <c r="D28" s="282"/>
      <c r="E28" s="282"/>
      <c r="F28" s="282"/>
      <c r="G28" s="282"/>
      <c r="H28" s="282"/>
      <c r="I28" s="282"/>
      <c r="J28" s="282"/>
      <c r="K28" s="282"/>
      <c r="L28" s="282"/>
      <c r="M28" s="282"/>
      <c r="N28" s="282"/>
      <c r="O28" s="282"/>
    </row>
    <row r="29" spans="1:15" ht="15.75" thickBot="1" x14ac:dyDescent="0.3">
      <c r="A29" s="252"/>
      <c r="B29" s="281"/>
      <c r="C29" s="281"/>
      <c r="D29" s="281"/>
      <c r="E29" s="281"/>
      <c r="F29" s="281"/>
      <c r="G29" s="281"/>
      <c r="H29" s="281"/>
      <c r="I29" s="547" t="s">
        <v>220</v>
      </c>
      <c r="J29" s="548"/>
      <c r="K29" s="549"/>
      <c r="L29" s="283">
        <f>L27/12</f>
        <v>0</v>
      </c>
      <c r="M29" s="283">
        <f t="shared" ref="M29:O29" si="3">M27/12</f>
        <v>0</v>
      </c>
      <c r="N29" s="283">
        <f t="shared" si="3"/>
        <v>0</v>
      </c>
      <c r="O29" s="283">
        <f t="shared" si="3"/>
        <v>0</v>
      </c>
    </row>
    <row r="30" spans="1:15" x14ac:dyDescent="0.25">
      <c r="A30" s="252"/>
      <c r="B30" s="252"/>
      <c r="C30" s="252"/>
      <c r="D30" s="252"/>
      <c r="E30" s="252"/>
      <c r="F30" s="252"/>
      <c r="G30" s="252"/>
      <c r="H30" s="252"/>
      <c r="I30" s="252"/>
      <c r="J30" s="252"/>
      <c r="K30" s="252"/>
      <c r="L30" s="252"/>
      <c r="M30" s="284"/>
      <c r="N30" s="284"/>
      <c r="O30" s="284"/>
    </row>
    <row r="31" spans="1:15" x14ac:dyDescent="0.25">
      <c r="A31" s="176"/>
      <c r="C31" s="45"/>
      <c r="D31" s="45"/>
      <c r="E31" s="45"/>
      <c r="F31" s="45"/>
      <c r="G31" s="45"/>
      <c r="H31" s="45"/>
      <c r="I31" s="45"/>
      <c r="J31" s="45"/>
      <c r="K31" s="45"/>
      <c r="L31" s="45"/>
      <c r="M31" s="45"/>
      <c r="N31" s="45"/>
      <c r="O31" s="45"/>
    </row>
    <row r="32" spans="1:15" ht="15.75" thickBot="1" x14ac:dyDescent="0.3">
      <c r="A32" s="543" t="s">
        <v>221</v>
      </c>
      <c r="B32" s="543"/>
      <c r="C32" s="543"/>
      <c r="D32" s="543"/>
      <c r="E32" s="543"/>
      <c r="F32" s="543"/>
      <c r="G32" s="543"/>
      <c r="H32" s="45"/>
      <c r="I32" s="45"/>
      <c r="J32" s="45"/>
      <c r="K32" s="45"/>
      <c r="L32" s="45"/>
      <c r="M32" s="45"/>
      <c r="N32" s="45"/>
      <c r="O32" s="45"/>
    </row>
    <row r="33" spans="1:15" x14ac:dyDescent="0.25">
      <c r="A33" s="773"/>
      <c r="B33" s="774"/>
      <c r="C33" s="774"/>
      <c r="D33" s="774"/>
      <c r="E33" s="774"/>
      <c r="F33" s="774"/>
      <c r="G33" s="774"/>
      <c r="H33" s="774"/>
      <c r="I33" s="774"/>
      <c r="J33" s="774"/>
      <c r="K33" s="774"/>
      <c r="L33" s="774"/>
      <c r="M33" s="774"/>
      <c r="N33" s="774"/>
      <c r="O33" s="775"/>
    </row>
    <row r="34" spans="1:15" x14ac:dyDescent="0.25">
      <c r="A34" s="776"/>
      <c r="B34" s="777"/>
      <c r="C34" s="777"/>
      <c r="D34" s="777"/>
      <c r="E34" s="777"/>
      <c r="F34" s="777"/>
      <c r="G34" s="777"/>
      <c r="H34" s="777"/>
      <c r="I34" s="777"/>
      <c r="J34" s="777"/>
      <c r="K34" s="777"/>
      <c r="L34" s="777"/>
      <c r="M34" s="777"/>
      <c r="N34" s="777"/>
      <c r="O34" s="778"/>
    </row>
    <row r="35" spans="1:15" x14ac:dyDescent="0.25">
      <c r="A35" s="776"/>
      <c r="B35" s="777"/>
      <c r="C35" s="777"/>
      <c r="D35" s="777"/>
      <c r="E35" s="777"/>
      <c r="F35" s="777"/>
      <c r="G35" s="777"/>
      <c r="H35" s="777"/>
      <c r="I35" s="777"/>
      <c r="J35" s="777"/>
      <c r="K35" s="777"/>
      <c r="L35" s="777"/>
      <c r="M35" s="777"/>
      <c r="N35" s="777"/>
      <c r="O35" s="778"/>
    </row>
    <row r="36" spans="1:15" x14ac:dyDescent="0.25">
      <c r="A36" s="776"/>
      <c r="B36" s="777"/>
      <c r="C36" s="777"/>
      <c r="D36" s="777"/>
      <c r="E36" s="777"/>
      <c r="F36" s="777"/>
      <c r="G36" s="777"/>
      <c r="H36" s="777"/>
      <c r="I36" s="777"/>
      <c r="J36" s="777"/>
      <c r="K36" s="777"/>
      <c r="L36" s="777"/>
      <c r="M36" s="777"/>
      <c r="N36" s="777"/>
      <c r="O36" s="778"/>
    </row>
    <row r="37" spans="1:15" x14ac:dyDescent="0.25">
      <c r="A37" s="776"/>
      <c r="B37" s="777"/>
      <c r="C37" s="777"/>
      <c r="D37" s="777"/>
      <c r="E37" s="777"/>
      <c r="F37" s="777"/>
      <c r="G37" s="777"/>
      <c r="H37" s="777"/>
      <c r="I37" s="777"/>
      <c r="J37" s="777"/>
      <c r="K37" s="777"/>
      <c r="L37" s="777"/>
      <c r="M37" s="777"/>
      <c r="N37" s="777"/>
      <c r="O37" s="778"/>
    </row>
    <row r="38" spans="1:15" x14ac:dyDescent="0.25">
      <c r="A38" s="776"/>
      <c r="B38" s="777"/>
      <c r="C38" s="777"/>
      <c r="D38" s="777"/>
      <c r="E38" s="777"/>
      <c r="F38" s="777"/>
      <c r="G38" s="777"/>
      <c r="H38" s="777"/>
      <c r="I38" s="777"/>
      <c r="J38" s="777"/>
      <c r="K38" s="777"/>
      <c r="L38" s="777"/>
      <c r="M38" s="777"/>
      <c r="N38" s="777"/>
      <c r="O38" s="778"/>
    </row>
    <row r="39" spans="1:15" x14ac:dyDescent="0.25">
      <c r="A39" s="776"/>
      <c r="B39" s="777"/>
      <c r="C39" s="777"/>
      <c r="D39" s="777"/>
      <c r="E39" s="777"/>
      <c r="F39" s="777"/>
      <c r="G39" s="777"/>
      <c r="H39" s="777"/>
      <c r="I39" s="777"/>
      <c r="J39" s="777"/>
      <c r="K39" s="777"/>
      <c r="L39" s="777"/>
      <c r="M39" s="777"/>
      <c r="N39" s="777"/>
      <c r="O39" s="778"/>
    </row>
    <row r="40" spans="1:15" x14ac:dyDescent="0.25">
      <c r="A40" s="776"/>
      <c r="B40" s="777"/>
      <c r="C40" s="777"/>
      <c r="D40" s="777"/>
      <c r="E40" s="777"/>
      <c r="F40" s="777"/>
      <c r="G40" s="777"/>
      <c r="H40" s="777"/>
      <c r="I40" s="777"/>
      <c r="J40" s="777"/>
      <c r="K40" s="777"/>
      <c r="L40" s="777"/>
      <c r="M40" s="777"/>
      <c r="N40" s="777"/>
      <c r="O40" s="778"/>
    </row>
    <row r="41" spans="1:15" ht="15.75" thickBot="1" x14ac:dyDescent="0.3">
      <c r="A41" s="779"/>
      <c r="B41" s="780"/>
      <c r="C41" s="780"/>
      <c r="D41" s="780"/>
      <c r="E41" s="780"/>
      <c r="F41" s="780"/>
      <c r="G41" s="780"/>
      <c r="H41" s="780"/>
      <c r="I41" s="780"/>
      <c r="J41" s="780"/>
      <c r="K41" s="780"/>
      <c r="L41" s="780"/>
      <c r="M41" s="780"/>
      <c r="N41" s="780"/>
      <c r="O41" s="781"/>
    </row>
  </sheetData>
  <sheetProtection algorithmName="SHA-512" hashValue="iOgd57IzSwUKUdc88+Fgu6k2Dwz8GxoTsEyRFaOxLML27uiS9KBXENFM/uEiQP/YyhjWycMGPlz8Vo0qgbciyg==" saltValue="W7XqySMPsvKCfSYUp5aoNQ==" spinCount="100000" sheet="1" objects="1" scenarios="1"/>
  <mergeCells count="19">
    <mergeCell ref="A1:I1"/>
    <mergeCell ref="A2:I2"/>
    <mergeCell ref="A15:B15"/>
    <mergeCell ref="L17:O17"/>
    <mergeCell ref="A33:O41"/>
    <mergeCell ref="A32:G32"/>
    <mergeCell ref="I27:K27"/>
    <mergeCell ref="I29:K29"/>
    <mergeCell ref="C15:G15"/>
    <mergeCell ref="M15:O15"/>
    <mergeCell ref="K15:L15"/>
    <mergeCell ref="A13:O13"/>
    <mergeCell ref="A5:O5"/>
    <mergeCell ref="A6:O6"/>
    <mergeCell ref="A8:O8"/>
    <mergeCell ref="A10:O10"/>
    <mergeCell ref="A11:O11"/>
    <mergeCell ref="A7:I7"/>
    <mergeCell ref="A9:I9"/>
  </mergeCells>
  <printOptions horizontalCentered="1"/>
  <pageMargins left="0.51181102362204722" right="0.51181102362204722" top="0.78740157480314965" bottom="0.78740157480314965" header="0.31496062992125984" footer="0.31496062992125984"/>
  <pageSetup paperSize="9" scale="62" orientation="landscape" r:id="rId1"/>
  <headerFooter>
    <oddFooter>&amp;A</oddFooter>
  </headerFooter>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5">
    <tabColor rgb="FF00B050"/>
  </sheetPr>
  <dimension ref="A1:P91"/>
  <sheetViews>
    <sheetView showGridLines="0" zoomScaleNormal="100" workbookViewId="0">
      <selection activeCell="K1" sqref="K1"/>
    </sheetView>
  </sheetViews>
  <sheetFormatPr defaultRowHeight="15.75" x14ac:dyDescent="0.25"/>
  <cols>
    <col min="1" max="1" width="7" style="47" customWidth="1"/>
    <col min="2" max="2" width="31.28515625" style="47" customWidth="1"/>
    <col min="3" max="3" width="12.42578125" style="224" customWidth="1"/>
    <col min="4" max="5" width="14.7109375" style="47" customWidth="1"/>
    <col min="6" max="6" width="17.42578125" style="47" customWidth="1"/>
    <col min="7" max="8" width="21.28515625" style="47" customWidth="1"/>
    <col min="9" max="9" width="4.7109375" style="47" customWidth="1"/>
    <col min="10" max="10" width="15" style="47" bestFit="1" customWidth="1"/>
    <col min="11" max="16384" width="9.140625" style="47"/>
  </cols>
  <sheetData>
    <row r="1" spans="1:16" ht="15" customHeight="1" x14ac:dyDescent="0.35">
      <c r="A1" s="479"/>
      <c r="B1" s="479"/>
      <c r="C1" s="479"/>
      <c r="D1" s="479"/>
      <c r="E1" s="479"/>
      <c r="F1" s="479"/>
      <c r="G1" s="479"/>
      <c r="H1" s="479"/>
      <c r="I1" s="479"/>
    </row>
    <row r="2" spans="1:16" ht="15" customHeight="1" x14ac:dyDescent="0.25">
      <c r="A2" s="480"/>
      <c r="B2" s="480"/>
      <c r="C2" s="480"/>
      <c r="D2" s="480"/>
      <c r="E2" s="480"/>
      <c r="F2" s="480"/>
      <c r="G2" s="480"/>
      <c r="H2" s="480"/>
      <c r="I2" s="480"/>
    </row>
    <row r="3" spans="1:16" ht="15" customHeight="1" x14ac:dyDescent="0.25">
      <c r="A3" s="382"/>
      <c r="B3" s="382"/>
      <c r="C3" s="382"/>
      <c r="D3" s="382"/>
      <c r="E3" s="382"/>
      <c r="F3" s="382"/>
      <c r="G3" s="382"/>
      <c r="H3" s="382"/>
      <c r="I3"/>
    </row>
    <row r="4" spans="1:16" ht="15" customHeight="1" x14ac:dyDescent="0.3">
      <c r="A4" s="2"/>
      <c r="B4" s="2"/>
      <c r="C4" s="2"/>
      <c r="D4" s="2"/>
      <c r="E4" s="2"/>
      <c r="F4" s="2"/>
      <c r="G4" s="2"/>
      <c r="H4" s="2"/>
      <c r="I4"/>
    </row>
    <row r="5" spans="1:16" ht="15" customHeight="1" x14ac:dyDescent="0.25">
      <c r="A5" s="483" t="str">
        <f>ORIENTAÇÕES!A5</f>
        <v>MINISTÉRIO DA AGRICULTURA E PECUÁRIA</v>
      </c>
      <c r="B5" s="483"/>
      <c r="C5" s="483"/>
      <c r="D5" s="483"/>
      <c r="E5" s="483"/>
      <c r="F5" s="483"/>
      <c r="G5" s="483"/>
      <c r="H5" s="483"/>
      <c r="I5" s="384"/>
    </row>
    <row r="6" spans="1:16" ht="15" customHeight="1" x14ac:dyDescent="0.25">
      <c r="A6" s="483" t="str">
        <f>ORIENTAÇÕES!A6</f>
        <v>LABORATÓRIO FEDERAL DE DEFESA AGROPECUÁRIA NO PARÁ</v>
      </c>
      <c r="B6" s="483"/>
      <c r="C6" s="483"/>
      <c r="D6" s="483"/>
      <c r="E6" s="483"/>
      <c r="F6" s="483"/>
      <c r="G6" s="483"/>
      <c r="H6" s="483"/>
      <c r="I6" s="384"/>
    </row>
    <row r="7" spans="1:16" ht="15" customHeight="1" x14ac:dyDescent="0.25">
      <c r="A7" s="480"/>
      <c r="B7" s="480"/>
      <c r="C7" s="480"/>
      <c r="D7" s="480"/>
      <c r="E7" s="480"/>
      <c r="F7" s="480"/>
      <c r="G7" s="480"/>
      <c r="H7" s="480"/>
      <c r="I7" s="480"/>
    </row>
    <row r="8" spans="1:16" ht="19.5" customHeight="1" x14ac:dyDescent="0.25">
      <c r="A8" s="484" t="str">
        <f>ORIENTAÇÕES!A8</f>
        <v xml:space="preserve">PLANILHA REFERENCIAL DE CUSTO E FORMAÇÃO DE PREÇO </v>
      </c>
      <c r="B8" s="484"/>
      <c r="C8" s="484"/>
      <c r="D8" s="484"/>
      <c r="E8" s="484"/>
      <c r="F8" s="484"/>
      <c r="G8" s="484"/>
      <c r="H8" s="484"/>
      <c r="I8" s="389"/>
      <c r="J8" s="75"/>
      <c r="K8" s="75"/>
      <c r="L8" s="75"/>
      <c r="M8" s="75"/>
      <c r="N8" s="75"/>
      <c r="O8" s="75"/>
      <c r="P8" s="75"/>
    </row>
    <row r="9" spans="1:16" ht="15" customHeight="1" x14ac:dyDescent="0.25">
      <c r="A9" s="76"/>
      <c r="B9" s="76"/>
      <c r="C9" s="76"/>
      <c r="D9" s="76"/>
      <c r="E9" s="76"/>
      <c r="F9" s="76"/>
      <c r="G9" s="76"/>
      <c r="H9" s="76"/>
      <c r="I9" s="76"/>
      <c r="J9" s="75"/>
      <c r="K9" s="75"/>
      <c r="L9" s="75"/>
      <c r="M9" s="75"/>
      <c r="N9" s="75"/>
      <c r="O9" s="75"/>
      <c r="P9" s="75"/>
    </row>
    <row r="10" spans="1:16" ht="15" customHeight="1" x14ac:dyDescent="0.25">
      <c r="A10" s="481" t="str">
        <f>ORIENTAÇÕES!A10</f>
        <v>Pregão Eletrônico 12/2023</v>
      </c>
      <c r="B10" s="481"/>
      <c r="C10" s="481"/>
      <c r="D10" s="481"/>
      <c r="E10" s="481"/>
      <c r="F10" s="481"/>
      <c r="G10" s="481"/>
      <c r="H10" s="481"/>
      <c r="I10" s="390"/>
    </row>
    <row r="11" spans="1:16" ht="15" customHeight="1" x14ac:dyDescent="0.25">
      <c r="A11" s="481" t="str">
        <f>ORIENTAÇÕES!A11</f>
        <v>PROCESSO Nº. :  21000.001352/2023-57</v>
      </c>
      <c r="B11" s="481"/>
      <c r="C11" s="481"/>
      <c r="D11" s="481"/>
      <c r="E11" s="481"/>
      <c r="F11" s="481"/>
      <c r="G11" s="481"/>
      <c r="H11" s="481"/>
      <c r="I11" s="390"/>
    </row>
    <row r="12" spans="1:16" ht="15" customHeight="1" x14ac:dyDescent="0.3">
      <c r="A12" s="383"/>
      <c r="B12" s="383"/>
      <c r="C12" s="383"/>
      <c r="D12" s="383"/>
      <c r="E12" s="383"/>
      <c r="F12" s="383"/>
      <c r="G12" s="383"/>
      <c r="H12" s="383"/>
      <c r="I12"/>
    </row>
    <row r="13" spans="1:16" ht="19.5" customHeight="1" x14ac:dyDescent="0.25">
      <c r="A13" s="538" t="s">
        <v>222</v>
      </c>
      <c r="B13" s="538"/>
      <c r="C13" s="538"/>
      <c r="D13" s="538"/>
      <c r="E13" s="538"/>
      <c r="F13" s="538"/>
      <c r="G13" s="538"/>
      <c r="H13" s="538"/>
      <c r="I13" s="75"/>
      <c r="J13" s="295"/>
      <c r="K13" s="296"/>
    </row>
    <row r="14" spans="1:16" ht="30" customHeight="1" x14ac:dyDescent="0.25">
      <c r="A14" s="75"/>
      <c r="B14" s="75"/>
      <c r="C14" s="95"/>
      <c r="D14" s="95"/>
      <c r="E14" s="95"/>
      <c r="F14" s="95"/>
      <c r="G14" s="75"/>
      <c r="H14" s="75"/>
    </row>
    <row r="15" spans="1:16" ht="30" customHeight="1" x14ac:dyDescent="0.25">
      <c r="A15" s="539" t="s">
        <v>183</v>
      </c>
      <c r="B15" s="539"/>
      <c r="C15" s="550">
        <f>RESUMO!C16</f>
        <v>0</v>
      </c>
      <c r="D15" s="550"/>
      <c r="E15" s="550"/>
      <c r="F15" s="78" t="s">
        <v>223</v>
      </c>
      <c r="G15" s="529">
        <f>RESUMO!C18</f>
        <v>0</v>
      </c>
      <c r="H15" s="529"/>
      <c r="I15" s="99"/>
    </row>
    <row r="16" spans="1:16" ht="30" customHeight="1" x14ac:dyDescent="0.25">
      <c r="A16" s="46"/>
      <c r="B16" s="46"/>
      <c r="C16" s="247"/>
      <c r="D16" s="247"/>
      <c r="E16" s="247"/>
      <c r="F16" s="248"/>
      <c r="G16" s="249"/>
      <c r="H16" s="249"/>
    </row>
    <row r="17" spans="1:9" x14ac:dyDescent="0.25">
      <c r="A17" s="554" t="s">
        <v>224</v>
      </c>
      <c r="B17" s="554"/>
      <c r="C17" s="554"/>
      <c r="D17" s="554"/>
      <c r="E17" s="554"/>
      <c r="F17" s="554"/>
      <c r="G17" s="554"/>
      <c r="H17" s="554"/>
      <c r="I17" s="254"/>
    </row>
    <row r="18" spans="1:9" x14ac:dyDescent="0.25">
      <c r="A18" s="19"/>
      <c r="B18" s="19"/>
      <c r="C18" s="227"/>
      <c r="D18" s="19"/>
      <c r="E18" s="19"/>
      <c r="F18" s="19"/>
      <c r="G18" s="19"/>
      <c r="H18" s="19"/>
      <c r="I18" s="19"/>
    </row>
    <row r="19" spans="1:9" ht="16.5" thickBot="1" x14ac:dyDescent="0.3"/>
    <row r="20" spans="1:9" x14ac:dyDescent="0.25">
      <c r="A20" s="555" t="s">
        <v>57</v>
      </c>
      <c r="B20" s="557" t="s">
        <v>199</v>
      </c>
      <c r="C20" s="557" t="s">
        <v>225</v>
      </c>
      <c r="D20" s="559" t="s">
        <v>226</v>
      </c>
      <c r="E20" s="560"/>
      <c r="F20" s="561" t="s">
        <v>204</v>
      </c>
      <c r="G20" s="563" t="s">
        <v>227</v>
      </c>
      <c r="H20" s="564"/>
    </row>
    <row r="21" spans="1:9" x14ac:dyDescent="0.25">
      <c r="A21" s="556"/>
      <c r="B21" s="558" t="s">
        <v>199</v>
      </c>
      <c r="C21" s="558" t="s">
        <v>225</v>
      </c>
      <c r="D21" s="255" t="s">
        <v>228</v>
      </c>
      <c r="E21" s="256" t="s">
        <v>229</v>
      </c>
      <c r="F21" s="562" t="s">
        <v>204</v>
      </c>
      <c r="G21" s="257" t="s">
        <v>230</v>
      </c>
      <c r="H21" s="258" t="s">
        <v>231</v>
      </c>
    </row>
    <row r="22" spans="1:9" ht="180" x14ac:dyDescent="0.25">
      <c r="A22" s="250">
        <v>1</v>
      </c>
      <c r="B22" s="298" t="s">
        <v>232</v>
      </c>
      <c r="C22" s="462" t="s">
        <v>233</v>
      </c>
      <c r="D22" s="462"/>
      <c r="E22" s="469">
        <v>15</v>
      </c>
      <c r="F22" s="782">
        <v>0</v>
      </c>
      <c r="G22" s="300"/>
      <c r="H22" s="301">
        <f t="shared" ref="H22" si="0">E22*F22</f>
        <v>0</v>
      </c>
    </row>
    <row r="23" spans="1:9" ht="17.25" customHeight="1" x14ac:dyDescent="0.25">
      <c r="A23" s="250">
        <v>2</v>
      </c>
      <c r="B23" s="298" t="s">
        <v>234</v>
      </c>
      <c r="C23" s="299" t="s">
        <v>233</v>
      </c>
      <c r="D23" s="467">
        <v>10</v>
      </c>
      <c r="E23" s="470"/>
      <c r="F23" s="783">
        <v>0</v>
      </c>
      <c r="G23" s="302">
        <f>D23*F23</f>
        <v>0</v>
      </c>
      <c r="H23" s="303"/>
    </row>
    <row r="24" spans="1:9" ht="17.25" customHeight="1" x14ac:dyDescent="0.25">
      <c r="A24" s="250">
        <v>3</v>
      </c>
      <c r="B24" s="304" t="s">
        <v>235</v>
      </c>
      <c r="C24" s="299" t="s">
        <v>233</v>
      </c>
      <c r="D24" s="467">
        <v>50</v>
      </c>
      <c r="E24" s="470"/>
      <c r="F24" s="784">
        <v>0</v>
      </c>
      <c r="G24" s="302">
        <f>D24*F24</f>
        <v>0</v>
      </c>
      <c r="H24" s="303"/>
    </row>
    <row r="25" spans="1:9" ht="17.25" customHeight="1" x14ac:dyDescent="0.25">
      <c r="A25" s="250">
        <v>4</v>
      </c>
      <c r="B25" s="304" t="s">
        <v>236</v>
      </c>
      <c r="C25" s="299" t="s">
        <v>237</v>
      </c>
      <c r="D25" s="467">
        <v>5</v>
      </c>
      <c r="E25" s="470"/>
      <c r="F25" s="784">
        <v>0</v>
      </c>
      <c r="G25" s="302">
        <f>D25*F25</f>
        <v>0</v>
      </c>
      <c r="H25" s="303"/>
    </row>
    <row r="26" spans="1:9" ht="30" customHeight="1" x14ac:dyDescent="0.25">
      <c r="A26" s="250">
        <v>5</v>
      </c>
      <c r="B26" s="298" t="s">
        <v>238</v>
      </c>
      <c r="C26" s="299" t="s">
        <v>225</v>
      </c>
      <c r="D26" s="462"/>
      <c r="E26" s="469">
        <v>15</v>
      </c>
      <c r="F26" s="782">
        <v>0</v>
      </c>
      <c r="G26" s="305"/>
      <c r="H26" s="301">
        <f t="shared" ref="H26:H33" si="1">E26*F26</f>
        <v>0</v>
      </c>
    </row>
    <row r="27" spans="1:9" ht="30" customHeight="1" x14ac:dyDescent="0.25">
      <c r="A27" s="250">
        <v>6</v>
      </c>
      <c r="B27" s="298" t="s">
        <v>239</v>
      </c>
      <c r="C27" s="299" t="s">
        <v>225</v>
      </c>
      <c r="D27" s="462"/>
      <c r="E27" s="469">
        <v>5</v>
      </c>
      <c r="F27" s="782">
        <v>0</v>
      </c>
      <c r="G27" s="305"/>
      <c r="H27" s="301">
        <f t="shared" si="1"/>
        <v>0</v>
      </c>
    </row>
    <row r="28" spans="1:9" ht="17.25" customHeight="1" x14ac:dyDescent="0.25">
      <c r="A28" s="250">
        <v>7</v>
      </c>
      <c r="B28" s="298" t="s">
        <v>240</v>
      </c>
      <c r="C28" s="299" t="s">
        <v>225</v>
      </c>
      <c r="D28" s="462"/>
      <c r="E28" s="469">
        <v>15</v>
      </c>
      <c r="F28" s="782">
        <v>0</v>
      </c>
      <c r="G28" s="305"/>
      <c r="H28" s="301">
        <f t="shared" si="1"/>
        <v>0</v>
      </c>
    </row>
    <row r="29" spans="1:9" ht="30" customHeight="1" x14ac:dyDescent="0.25">
      <c r="A29" s="250">
        <v>8</v>
      </c>
      <c r="B29" s="298" t="s">
        <v>241</v>
      </c>
      <c r="C29" s="299" t="s">
        <v>225</v>
      </c>
      <c r="D29" s="462"/>
      <c r="E29" s="469">
        <v>5</v>
      </c>
      <c r="F29" s="782">
        <v>0</v>
      </c>
      <c r="G29" s="305"/>
      <c r="H29" s="301">
        <f t="shared" si="1"/>
        <v>0</v>
      </c>
    </row>
    <row r="30" spans="1:9" ht="30" customHeight="1" x14ac:dyDescent="0.25">
      <c r="A30" s="250">
        <v>9</v>
      </c>
      <c r="B30" s="298" t="s">
        <v>242</v>
      </c>
      <c r="C30" s="299" t="s">
        <v>225</v>
      </c>
      <c r="D30" s="462"/>
      <c r="E30" s="469">
        <v>2</v>
      </c>
      <c r="F30" s="782">
        <v>0</v>
      </c>
      <c r="G30" s="305"/>
      <c r="H30" s="301">
        <f t="shared" si="1"/>
        <v>0</v>
      </c>
    </row>
    <row r="31" spans="1:9" ht="30" customHeight="1" x14ac:dyDescent="0.25">
      <c r="A31" s="250">
        <v>10</v>
      </c>
      <c r="B31" s="298" t="s">
        <v>243</v>
      </c>
      <c r="C31" s="462" t="s">
        <v>244</v>
      </c>
      <c r="D31" s="462"/>
      <c r="E31" s="469">
        <v>4</v>
      </c>
      <c r="F31" s="782">
        <v>0</v>
      </c>
      <c r="G31" s="305"/>
      <c r="H31" s="301">
        <f t="shared" si="1"/>
        <v>0</v>
      </c>
    </row>
    <row r="32" spans="1:9" ht="17.25" customHeight="1" x14ac:dyDescent="0.25">
      <c r="A32" s="250">
        <v>11</v>
      </c>
      <c r="B32" s="298" t="s">
        <v>245</v>
      </c>
      <c r="C32" s="299" t="s">
        <v>225</v>
      </c>
      <c r="D32" s="462"/>
      <c r="E32" s="469">
        <v>1</v>
      </c>
      <c r="F32" s="782">
        <v>0</v>
      </c>
      <c r="G32" s="305"/>
      <c r="H32" s="301">
        <f t="shared" si="1"/>
        <v>0</v>
      </c>
    </row>
    <row r="33" spans="1:8" ht="30" customHeight="1" x14ac:dyDescent="0.25">
      <c r="A33" s="250">
        <v>12</v>
      </c>
      <c r="B33" s="298" t="s">
        <v>246</v>
      </c>
      <c r="C33" s="299" t="s">
        <v>225</v>
      </c>
      <c r="D33" s="462"/>
      <c r="E33" s="469">
        <v>1</v>
      </c>
      <c r="F33" s="782">
        <v>0</v>
      </c>
      <c r="G33" s="305"/>
      <c r="H33" s="301">
        <f t="shared" si="1"/>
        <v>0</v>
      </c>
    </row>
    <row r="34" spans="1:8" ht="17.25" customHeight="1" x14ac:dyDescent="0.25">
      <c r="A34" s="250">
        <v>13</v>
      </c>
      <c r="B34" s="298" t="s">
        <v>247</v>
      </c>
      <c r="C34" s="299" t="s">
        <v>237</v>
      </c>
      <c r="D34" s="467">
        <v>10</v>
      </c>
      <c r="E34" s="470"/>
      <c r="F34" s="782">
        <v>0</v>
      </c>
      <c r="G34" s="302">
        <f>D34*F34</f>
        <v>0</v>
      </c>
      <c r="H34" s="303"/>
    </row>
    <row r="35" spans="1:8" ht="31.5" customHeight="1" x14ac:dyDescent="0.25">
      <c r="A35" s="250">
        <v>14</v>
      </c>
      <c r="B35" s="298" t="s">
        <v>248</v>
      </c>
      <c r="C35" s="306" t="s">
        <v>249</v>
      </c>
      <c r="D35" s="467">
        <v>40</v>
      </c>
      <c r="E35" s="470"/>
      <c r="F35" s="782">
        <v>0</v>
      </c>
      <c r="G35" s="302">
        <f>D35*F35</f>
        <v>0</v>
      </c>
      <c r="H35" s="303"/>
    </row>
    <row r="36" spans="1:8" ht="49.5" customHeight="1" x14ac:dyDescent="0.25">
      <c r="A36" s="250">
        <v>15</v>
      </c>
      <c r="B36" s="298" t="s">
        <v>250</v>
      </c>
      <c r="C36" s="299" t="s">
        <v>251</v>
      </c>
      <c r="D36" s="467">
        <v>10</v>
      </c>
      <c r="E36" s="470"/>
      <c r="F36" s="782">
        <v>0</v>
      </c>
      <c r="G36" s="302">
        <f>D36*F36</f>
        <v>0</v>
      </c>
      <c r="H36" s="303"/>
    </row>
    <row r="37" spans="1:8" ht="47.25" customHeight="1" x14ac:dyDescent="0.25">
      <c r="A37" s="250">
        <v>16</v>
      </c>
      <c r="B37" s="298" t="s">
        <v>252</v>
      </c>
      <c r="C37" s="299" t="s">
        <v>251</v>
      </c>
      <c r="D37" s="467">
        <v>10</v>
      </c>
      <c r="E37" s="470"/>
      <c r="F37" s="782">
        <v>0</v>
      </c>
      <c r="G37" s="302">
        <f>D37*F37</f>
        <v>0</v>
      </c>
      <c r="H37" s="303"/>
    </row>
    <row r="38" spans="1:8" ht="17.25" customHeight="1" x14ac:dyDescent="0.25">
      <c r="A38" s="250">
        <v>17</v>
      </c>
      <c r="B38" s="298" t="s">
        <v>253</v>
      </c>
      <c r="C38" s="299" t="s">
        <v>225</v>
      </c>
      <c r="D38" s="462"/>
      <c r="E38" s="469">
        <v>1</v>
      </c>
      <c r="F38" s="782">
        <v>0</v>
      </c>
      <c r="G38" s="305"/>
      <c r="H38" s="301">
        <f t="shared" ref="H38:H39" si="2">E38*F38</f>
        <v>0</v>
      </c>
    </row>
    <row r="39" spans="1:8" ht="17.25" customHeight="1" x14ac:dyDescent="0.25">
      <c r="A39" s="250">
        <v>18</v>
      </c>
      <c r="B39" s="298" t="s">
        <v>254</v>
      </c>
      <c r="C39" s="299" t="s">
        <v>225</v>
      </c>
      <c r="D39" s="462"/>
      <c r="E39" s="469">
        <v>2</v>
      </c>
      <c r="F39" s="782">
        <v>0</v>
      </c>
      <c r="G39" s="305"/>
      <c r="H39" s="301">
        <f t="shared" si="2"/>
        <v>0</v>
      </c>
    </row>
    <row r="40" spans="1:8" ht="17.25" customHeight="1" x14ac:dyDescent="0.25">
      <c r="A40" s="250">
        <v>19</v>
      </c>
      <c r="B40" s="298" t="s">
        <v>255</v>
      </c>
      <c r="C40" s="299" t="s">
        <v>225</v>
      </c>
      <c r="D40" s="467">
        <v>50</v>
      </c>
      <c r="E40" s="470"/>
      <c r="F40" s="782">
        <v>0</v>
      </c>
      <c r="G40" s="302">
        <f>D40*F40</f>
        <v>0</v>
      </c>
      <c r="H40" s="303"/>
    </row>
    <row r="41" spans="1:8" ht="30" customHeight="1" x14ac:dyDescent="0.25">
      <c r="A41" s="250">
        <v>20</v>
      </c>
      <c r="B41" s="298" t="s">
        <v>256</v>
      </c>
      <c r="C41" s="299" t="s">
        <v>225</v>
      </c>
      <c r="D41" s="462"/>
      <c r="E41" s="469">
        <v>1</v>
      </c>
      <c r="F41" s="782">
        <v>0</v>
      </c>
      <c r="G41" s="305"/>
      <c r="H41" s="301">
        <f>E41*F41</f>
        <v>0</v>
      </c>
    </row>
    <row r="42" spans="1:8" ht="30" customHeight="1" x14ac:dyDescent="0.25">
      <c r="A42" s="250">
        <v>21</v>
      </c>
      <c r="B42" s="298" t="s">
        <v>257</v>
      </c>
      <c r="C42" s="299" t="s">
        <v>225</v>
      </c>
      <c r="D42" s="462"/>
      <c r="E42" s="469">
        <v>2</v>
      </c>
      <c r="F42" s="782">
        <v>0</v>
      </c>
      <c r="G42" s="305"/>
      <c r="H42" s="301">
        <f>E42*F42</f>
        <v>0</v>
      </c>
    </row>
    <row r="43" spans="1:8" ht="17.25" customHeight="1" x14ac:dyDescent="0.25">
      <c r="A43" s="250">
        <v>22</v>
      </c>
      <c r="B43" s="298" t="s">
        <v>258</v>
      </c>
      <c r="C43" s="299" t="s">
        <v>225</v>
      </c>
      <c r="D43" s="467">
        <v>30</v>
      </c>
      <c r="E43" s="470"/>
      <c r="F43" s="782">
        <v>0</v>
      </c>
      <c r="G43" s="302">
        <f>D43*F43</f>
        <v>0</v>
      </c>
      <c r="H43" s="308"/>
    </row>
    <row r="44" spans="1:8" ht="17.25" customHeight="1" x14ac:dyDescent="0.25">
      <c r="A44" s="250">
        <v>23</v>
      </c>
      <c r="B44" s="298" t="s">
        <v>259</v>
      </c>
      <c r="C44" s="299" t="s">
        <v>225</v>
      </c>
      <c r="D44" s="467">
        <v>30</v>
      </c>
      <c r="E44" s="470"/>
      <c r="F44" s="782">
        <v>0</v>
      </c>
      <c r="G44" s="302">
        <f>D44*F44</f>
        <v>0</v>
      </c>
      <c r="H44" s="308"/>
    </row>
    <row r="45" spans="1:8" ht="48" customHeight="1" x14ac:dyDescent="0.25">
      <c r="A45" s="250">
        <v>24</v>
      </c>
      <c r="B45" s="298" t="s">
        <v>260</v>
      </c>
      <c r="C45" s="299" t="s">
        <v>233</v>
      </c>
      <c r="D45" s="467">
        <v>10</v>
      </c>
      <c r="E45" s="470"/>
      <c r="F45" s="782">
        <v>0</v>
      </c>
      <c r="G45" s="302">
        <f>D45*F45</f>
        <v>0</v>
      </c>
      <c r="H45" s="303"/>
    </row>
    <row r="46" spans="1:8" ht="82.5" customHeight="1" x14ac:dyDescent="0.25">
      <c r="A46" s="250">
        <v>25</v>
      </c>
      <c r="B46" s="298" t="s">
        <v>261</v>
      </c>
      <c r="C46" s="299" t="s">
        <v>262</v>
      </c>
      <c r="D46" s="467">
        <v>15</v>
      </c>
      <c r="E46" s="470"/>
      <c r="F46" s="782">
        <v>0</v>
      </c>
      <c r="G46" s="302">
        <f>D46*F46</f>
        <v>0</v>
      </c>
      <c r="H46" s="303"/>
    </row>
    <row r="47" spans="1:8" ht="168.75" customHeight="1" x14ac:dyDescent="0.25">
      <c r="A47" s="250">
        <v>26</v>
      </c>
      <c r="B47" s="298" t="s">
        <v>263</v>
      </c>
      <c r="C47" s="299" t="s">
        <v>225</v>
      </c>
      <c r="D47" s="462"/>
      <c r="E47" s="469">
        <v>2</v>
      </c>
      <c r="F47" s="782">
        <v>0</v>
      </c>
      <c r="G47" s="305"/>
      <c r="H47" s="301">
        <f>E47*F47</f>
        <v>0</v>
      </c>
    </row>
    <row r="48" spans="1:8" ht="17.25" customHeight="1" x14ac:dyDescent="0.25">
      <c r="A48" s="250">
        <v>27</v>
      </c>
      <c r="B48" s="298" t="s">
        <v>264</v>
      </c>
      <c r="C48" s="299" t="s">
        <v>265</v>
      </c>
      <c r="D48" s="468">
        <v>3</v>
      </c>
      <c r="E48" s="470"/>
      <c r="F48" s="782">
        <v>0</v>
      </c>
      <c r="G48" s="302">
        <f>D48*F48</f>
        <v>0</v>
      </c>
      <c r="H48" s="303"/>
    </row>
    <row r="49" spans="1:8" ht="17.25" customHeight="1" x14ac:dyDescent="0.25">
      <c r="A49" s="250">
        <v>28</v>
      </c>
      <c r="B49" s="298" t="s">
        <v>266</v>
      </c>
      <c r="C49" s="299" t="s">
        <v>251</v>
      </c>
      <c r="D49" s="467">
        <v>4</v>
      </c>
      <c r="E49" s="470"/>
      <c r="F49" s="782">
        <v>0</v>
      </c>
      <c r="G49" s="302">
        <f>D49*F49</f>
        <v>0</v>
      </c>
      <c r="H49" s="303"/>
    </row>
    <row r="50" spans="1:8" ht="17.25" customHeight="1" x14ac:dyDescent="0.25">
      <c r="A50" s="250">
        <v>29</v>
      </c>
      <c r="B50" s="298" t="s">
        <v>267</v>
      </c>
      <c r="C50" s="299" t="s">
        <v>251</v>
      </c>
      <c r="D50" s="467">
        <v>25</v>
      </c>
      <c r="E50" s="470"/>
      <c r="F50" s="782">
        <v>0</v>
      </c>
      <c r="G50" s="302">
        <f>D50*F50</f>
        <v>0</v>
      </c>
      <c r="H50" s="303"/>
    </row>
    <row r="51" spans="1:8" ht="17.25" customHeight="1" x14ac:dyDescent="0.25">
      <c r="A51" s="250">
        <v>30</v>
      </c>
      <c r="B51" s="298" t="s">
        <v>268</v>
      </c>
      <c r="C51" s="299" t="s">
        <v>251</v>
      </c>
      <c r="D51" s="467">
        <v>25</v>
      </c>
      <c r="E51" s="470"/>
      <c r="F51" s="782">
        <v>0</v>
      </c>
      <c r="G51" s="302">
        <f>D51*F51</f>
        <v>0</v>
      </c>
      <c r="H51" s="303"/>
    </row>
    <row r="52" spans="1:8" ht="35.25" customHeight="1" x14ac:dyDescent="0.25">
      <c r="A52" s="250">
        <v>31</v>
      </c>
      <c r="B52" s="298" t="s">
        <v>269</v>
      </c>
      <c r="C52" s="299" t="s">
        <v>225</v>
      </c>
      <c r="D52" s="462"/>
      <c r="E52" s="469">
        <v>10</v>
      </c>
      <c r="F52" s="782">
        <v>0</v>
      </c>
      <c r="G52" s="305"/>
      <c r="H52" s="301">
        <f>E52*F52</f>
        <v>0</v>
      </c>
    </row>
    <row r="53" spans="1:8" ht="17.25" customHeight="1" x14ac:dyDescent="0.25">
      <c r="A53" s="250">
        <v>32</v>
      </c>
      <c r="B53" s="298" t="s">
        <v>270</v>
      </c>
      <c r="C53" s="299" t="s">
        <v>271</v>
      </c>
      <c r="D53" s="467">
        <v>10</v>
      </c>
      <c r="E53" s="470"/>
      <c r="F53" s="782">
        <v>0</v>
      </c>
      <c r="G53" s="302">
        <f>D53*F53</f>
        <v>0</v>
      </c>
      <c r="H53" s="303"/>
    </row>
    <row r="54" spans="1:8" ht="17.25" customHeight="1" x14ac:dyDescent="0.25">
      <c r="A54" s="250">
        <v>33</v>
      </c>
      <c r="B54" s="298" t="s">
        <v>272</v>
      </c>
      <c r="C54" s="299" t="s">
        <v>214</v>
      </c>
      <c r="D54" s="467">
        <v>15</v>
      </c>
      <c r="E54" s="470"/>
      <c r="F54" s="782">
        <v>0</v>
      </c>
      <c r="G54" s="302">
        <f>D54*F54</f>
        <v>0</v>
      </c>
      <c r="H54" s="303"/>
    </row>
    <row r="55" spans="1:8" ht="32.25" customHeight="1" x14ac:dyDescent="0.25">
      <c r="A55" s="250">
        <v>34</v>
      </c>
      <c r="B55" s="298" t="s">
        <v>273</v>
      </c>
      <c r="C55" s="299" t="s">
        <v>225</v>
      </c>
      <c r="D55" s="462"/>
      <c r="E55" s="469">
        <v>2</v>
      </c>
      <c r="F55" s="782">
        <v>0</v>
      </c>
      <c r="G55" s="305"/>
      <c r="H55" s="301">
        <f>E55*F55</f>
        <v>0</v>
      </c>
    </row>
    <row r="56" spans="1:8" ht="32.25" customHeight="1" x14ac:dyDescent="0.25">
      <c r="A56" s="250">
        <v>35</v>
      </c>
      <c r="B56" s="298" t="s">
        <v>274</v>
      </c>
      <c r="C56" s="299" t="s">
        <v>225</v>
      </c>
      <c r="D56" s="462"/>
      <c r="E56" s="469">
        <v>1</v>
      </c>
      <c r="F56" s="782">
        <v>0</v>
      </c>
      <c r="G56" s="305"/>
      <c r="H56" s="301">
        <f>E56*F56</f>
        <v>0</v>
      </c>
    </row>
    <row r="57" spans="1:8" ht="30" customHeight="1" x14ac:dyDescent="0.25">
      <c r="A57" s="250">
        <v>36</v>
      </c>
      <c r="B57" s="298" t="s">
        <v>275</v>
      </c>
      <c r="C57" s="299" t="s">
        <v>276</v>
      </c>
      <c r="D57" s="467">
        <v>2</v>
      </c>
      <c r="E57" s="470"/>
      <c r="F57" s="782">
        <v>0</v>
      </c>
      <c r="G57" s="302">
        <f>D57*F57</f>
        <v>0</v>
      </c>
      <c r="H57" s="303"/>
    </row>
    <row r="58" spans="1:8" ht="34.5" customHeight="1" x14ac:dyDescent="0.25">
      <c r="A58" s="250">
        <v>37</v>
      </c>
      <c r="B58" s="298" t="s">
        <v>277</v>
      </c>
      <c r="C58" s="299" t="s">
        <v>225</v>
      </c>
      <c r="D58" s="462"/>
      <c r="E58" s="469">
        <v>12</v>
      </c>
      <c r="F58" s="782">
        <v>0</v>
      </c>
      <c r="G58" s="305"/>
      <c r="H58" s="301">
        <f>E58*F58</f>
        <v>0</v>
      </c>
    </row>
    <row r="59" spans="1:8" ht="17.25" customHeight="1" x14ac:dyDescent="0.25">
      <c r="A59" s="250">
        <v>38</v>
      </c>
      <c r="B59" s="298" t="s">
        <v>278</v>
      </c>
      <c r="C59" s="299" t="s">
        <v>225</v>
      </c>
      <c r="D59" s="467">
        <v>30</v>
      </c>
      <c r="E59" s="470"/>
      <c r="F59" s="782">
        <v>0</v>
      </c>
      <c r="G59" s="302">
        <f>D59*F59</f>
        <v>0</v>
      </c>
      <c r="H59" s="303"/>
    </row>
    <row r="60" spans="1:8" ht="17.25" customHeight="1" x14ac:dyDescent="0.25">
      <c r="A60" s="250">
        <v>39</v>
      </c>
      <c r="B60" s="298" t="s">
        <v>279</v>
      </c>
      <c r="C60" s="299" t="s">
        <v>225</v>
      </c>
      <c r="D60" s="467">
        <v>10</v>
      </c>
      <c r="E60" s="470"/>
      <c r="F60" s="782">
        <v>0</v>
      </c>
      <c r="G60" s="302">
        <f>D60*F60</f>
        <v>0</v>
      </c>
      <c r="H60" s="303"/>
    </row>
    <row r="61" spans="1:8" ht="17.25" customHeight="1" x14ac:dyDescent="0.25">
      <c r="A61" s="250">
        <v>40</v>
      </c>
      <c r="B61" s="298" t="s">
        <v>280</v>
      </c>
      <c r="C61" s="306" t="s">
        <v>225</v>
      </c>
      <c r="D61" s="467">
        <v>60</v>
      </c>
      <c r="E61" s="470"/>
      <c r="F61" s="782">
        <v>0</v>
      </c>
      <c r="G61" s="302">
        <f>D61*F61</f>
        <v>0</v>
      </c>
      <c r="H61" s="303"/>
    </row>
    <row r="62" spans="1:8" ht="30" customHeight="1" x14ac:dyDescent="0.25">
      <c r="A62" s="250">
        <v>41</v>
      </c>
      <c r="B62" s="298" t="s">
        <v>281</v>
      </c>
      <c r="C62" s="299" t="s">
        <v>225</v>
      </c>
      <c r="D62" s="462"/>
      <c r="E62" s="469">
        <v>2</v>
      </c>
      <c r="F62" s="782">
        <v>0</v>
      </c>
      <c r="G62" s="305"/>
      <c r="H62" s="301">
        <f>E62*F62</f>
        <v>0</v>
      </c>
    </row>
    <row r="63" spans="1:8" ht="30" customHeight="1" x14ac:dyDescent="0.25">
      <c r="A63" s="250">
        <v>42</v>
      </c>
      <c r="B63" s="304" t="s">
        <v>282</v>
      </c>
      <c r="C63" s="299" t="s">
        <v>225</v>
      </c>
      <c r="D63" s="462"/>
      <c r="E63" s="469">
        <v>10</v>
      </c>
      <c r="F63" s="784">
        <v>0</v>
      </c>
      <c r="G63" s="305"/>
      <c r="H63" s="301">
        <f>E63*F63</f>
        <v>0</v>
      </c>
    </row>
    <row r="64" spans="1:8" ht="30" customHeight="1" x14ac:dyDescent="0.25">
      <c r="A64" s="250">
        <v>43</v>
      </c>
      <c r="B64" s="298" t="s">
        <v>283</v>
      </c>
      <c r="C64" s="299" t="s">
        <v>225</v>
      </c>
      <c r="D64" s="462"/>
      <c r="E64" s="469">
        <v>6</v>
      </c>
      <c r="F64" s="782">
        <v>0</v>
      </c>
      <c r="G64" s="305"/>
      <c r="H64" s="301">
        <f>E64*F64</f>
        <v>0</v>
      </c>
    </row>
    <row r="65" spans="1:10" ht="17.25" customHeight="1" x14ac:dyDescent="0.25">
      <c r="A65" s="250">
        <v>44</v>
      </c>
      <c r="B65" s="298" t="s">
        <v>284</v>
      </c>
      <c r="C65" s="299" t="s">
        <v>285</v>
      </c>
      <c r="D65" s="467">
        <v>20</v>
      </c>
      <c r="E65" s="470"/>
      <c r="F65" s="782">
        <v>0</v>
      </c>
      <c r="G65" s="302">
        <f t="shared" ref="G65:G72" si="3">D65*F65</f>
        <v>0</v>
      </c>
      <c r="H65" s="303"/>
    </row>
    <row r="66" spans="1:10" ht="17.25" customHeight="1" x14ac:dyDescent="0.25">
      <c r="A66" s="250">
        <v>45</v>
      </c>
      <c r="B66" s="298" t="s">
        <v>286</v>
      </c>
      <c r="C66" s="462" t="s">
        <v>287</v>
      </c>
      <c r="D66" s="467">
        <v>8</v>
      </c>
      <c r="E66" s="470"/>
      <c r="F66" s="782">
        <v>0</v>
      </c>
      <c r="G66" s="302">
        <f t="shared" si="3"/>
        <v>0</v>
      </c>
      <c r="H66" s="303"/>
    </row>
    <row r="67" spans="1:10" ht="17.25" customHeight="1" x14ac:dyDescent="0.25">
      <c r="A67" s="250">
        <v>46</v>
      </c>
      <c r="B67" s="298" t="s">
        <v>288</v>
      </c>
      <c r="C67" s="299" t="s">
        <v>289</v>
      </c>
      <c r="D67" s="467">
        <v>1</v>
      </c>
      <c r="E67" s="470"/>
      <c r="F67" s="782">
        <v>0</v>
      </c>
      <c r="G67" s="302">
        <f t="shared" si="3"/>
        <v>0</v>
      </c>
      <c r="H67" s="303"/>
    </row>
    <row r="68" spans="1:10" ht="17.25" customHeight="1" x14ac:dyDescent="0.25">
      <c r="A68" s="250">
        <v>47</v>
      </c>
      <c r="B68" s="298" t="s">
        <v>290</v>
      </c>
      <c r="C68" s="299" t="s">
        <v>289</v>
      </c>
      <c r="D68" s="467">
        <v>1</v>
      </c>
      <c r="E68" s="470"/>
      <c r="F68" s="782">
        <v>0</v>
      </c>
      <c r="G68" s="302">
        <f t="shared" si="3"/>
        <v>0</v>
      </c>
      <c r="H68" s="303"/>
    </row>
    <row r="69" spans="1:10" ht="17.25" customHeight="1" x14ac:dyDescent="0.25">
      <c r="A69" s="250">
        <v>48</v>
      </c>
      <c r="B69" s="298" t="s">
        <v>291</v>
      </c>
      <c r="C69" s="299" t="s">
        <v>292</v>
      </c>
      <c r="D69" s="467">
        <v>1</v>
      </c>
      <c r="E69" s="470"/>
      <c r="F69" s="782">
        <v>0</v>
      </c>
      <c r="G69" s="302">
        <f t="shared" si="3"/>
        <v>0</v>
      </c>
      <c r="H69" s="303"/>
    </row>
    <row r="70" spans="1:10" ht="17.25" customHeight="1" x14ac:dyDescent="0.25">
      <c r="A70" s="250">
        <v>49</v>
      </c>
      <c r="B70" s="298" t="s">
        <v>293</v>
      </c>
      <c r="C70" s="299" t="s">
        <v>292</v>
      </c>
      <c r="D70" s="467">
        <v>2</v>
      </c>
      <c r="E70" s="470"/>
      <c r="F70" s="782">
        <v>0</v>
      </c>
      <c r="G70" s="302">
        <f t="shared" si="3"/>
        <v>0</v>
      </c>
      <c r="H70" s="303"/>
    </row>
    <row r="71" spans="1:10" ht="17.25" customHeight="1" x14ac:dyDescent="0.25">
      <c r="A71" s="250">
        <v>50</v>
      </c>
      <c r="B71" s="460" t="s">
        <v>294</v>
      </c>
      <c r="C71" s="299" t="s">
        <v>289</v>
      </c>
      <c r="D71" s="462"/>
      <c r="E71" s="469">
        <v>35</v>
      </c>
      <c r="F71" s="782">
        <v>0</v>
      </c>
      <c r="G71" s="305"/>
      <c r="H71" s="301">
        <f>E71*F71</f>
        <v>0</v>
      </c>
    </row>
    <row r="72" spans="1:10" ht="17.25" customHeight="1" x14ac:dyDescent="0.25">
      <c r="A72" s="250">
        <v>51</v>
      </c>
      <c r="B72" s="298" t="s">
        <v>295</v>
      </c>
      <c r="C72" s="299" t="s">
        <v>296</v>
      </c>
      <c r="D72" s="467">
        <v>10</v>
      </c>
      <c r="E72" s="470"/>
      <c r="F72" s="782">
        <v>0</v>
      </c>
      <c r="G72" s="302">
        <f t="shared" si="3"/>
        <v>0</v>
      </c>
      <c r="H72" s="303"/>
    </row>
    <row r="73" spans="1:10" ht="17.25" customHeight="1" x14ac:dyDescent="0.25">
      <c r="A73" s="250">
        <v>52</v>
      </c>
      <c r="B73" s="298" t="s">
        <v>297</v>
      </c>
      <c r="C73" s="299" t="s">
        <v>298</v>
      </c>
      <c r="D73" s="467">
        <v>1</v>
      </c>
      <c r="E73" s="470"/>
      <c r="F73" s="782">
        <v>0</v>
      </c>
      <c r="G73" s="302">
        <f>D73*F73</f>
        <v>0</v>
      </c>
      <c r="H73" s="303"/>
    </row>
    <row r="74" spans="1:10" ht="17.25" customHeight="1" x14ac:dyDescent="0.25">
      <c r="A74" s="250">
        <v>53</v>
      </c>
      <c r="B74" s="298" t="s">
        <v>299</v>
      </c>
      <c r="C74" s="299" t="s">
        <v>225</v>
      </c>
      <c r="D74" s="462"/>
      <c r="E74" s="471">
        <v>3</v>
      </c>
      <c r="F74" s="782">
        <v>0</v>
      </c>
      <c r="G74" s="305"/>
      <c r="H74" s="310">
        <f>E74*F74</f>
        <v>0</v>
      </c>
    </row>
    <row r="75" spans="1:10" ht="17.25" customHeight="1" x14ac:dyDescent="0.25">
      <c r="A75" s="250">
        <v>54</v>
      </c>
      <c r="B75" s="304" t="s">
        <v>300</v>
      </c>
      <c r="C75" s="311" t="s">
        <v>225</v>
      </c>
      <c r="D75" s="457"/>
      <c r="E75" s="471">
        <v>3</v>
      </c>
      <c r="F75" s="784">
        <v>0</v>
      </c>
      <c r="G75" s="312"/>
      <c r="H75" s="310">
        <f>E75*F75</f>
        <v>0</v>
      </c>
    </row>
    <row r="76" spans="1:10" ht="17.25" customHeight="1" thickBot="1" x14ac:dyDescent="0.3">
      <c r="A76" s="251">
        <v>55</v>
      </c>
      <c r="B76" s="313" t="s">
        <v>301</v>
      </c>
      <c r="C76" s="314" t="s">
        <v>225</v>
      </c>
      <c r="D76" s="466">
        <v>10</v>
      </c>
      <c r="E76" s="472"/>
      <c r="F76" s="785">
        <v>0</v>
      </c>
      <c r="G76" s="316">
        <f>D76*F76</f>
        <v>0</v>
      </c>
      <c r="H76" s="317"/>
    </row>
    <row r="77" spans="1:10" ht="16.5" thickBot="1" x14ac:dyDescent="0.3">
      <c r="A77" s="259"/>
      <c r="B77" s="259"/>
      <c r="C77" s="259"/>
      <c r="D77" s="259"/>
      <c r="E77" s="260" t="s">
        <v>195</v>
      </c>
      <c r="F77" s="261"/>
      <c r="G77" s="262">
        <f>SUM(G22:G76)</f>
        <v>0</v>
      </c>
      <c r="H77" s="262">
        <f>SUM(H22:H76)</f>
        <v>0</v>
      </c>
    </row>
    <row r="78" spans="1:10" ht="16.5" thickBot="1" x14ac:dyDescent="0.3">
      <c r="E78" s="263"/>
      <c r="F78" s="263"/>
      <c r="G78" s="264"/>
      <c r="H78" s="263"/>
    </row>
    <row r="79" spans="1:10" ht="16.5" thickBot="1" x14ac:dyDescent="0.3">
      <c r="E79" s="265" t="s">
        <v>302</v>
      </c>
      <c r="F79" s="266"/>
      <c r="G79" s="267">
        <f>G77*12</f>
        <v>0</v>
      </c>
      <c r="H79" s="267">
        <f>H77</f>
        <v>0</v>
      </c>
      <c r="J79" s="297"/>
    </row>
    <row r="80" spans="1:10" ht="16.5" thickBot="1" x14ac:dyDescent="0.3">
      <c r="E80" s="263"/>
      <c r="F80" s="263"/>
      <c r="G80" s="263"/>
      <c r="H80" s="263"/>
    </row>
    <row r="81" spans="1:9" ht="16.5" thickBot="1" x14ac:dyDescent="0.3">
      <c r="E81" s="265" t="s">
        <v>303</v>
      </c>
      <c r="F81" s="268"/>
      <c r="G81" s="268"/>
      <c r="H81" s="269">
        <f>(G79+H79)/12</f>
        <v>0</v>
      </c>
    </row>
    <row r="82" spans="1:9" ht="16.5" thickBot="1" x14ac:dyDescent="0.3">
      <c r="E82" s="263"/>
      <c r="F82" s="263"/>
      <c r="G82" s="263"/>
      <c r="H82" s="263"/>
    </row>
    <row r="83" spans="1:9" ht="16.5" thickBot="1" x14ac:dyDescent="0.3">
      <c r="E83" s="265" t="s">
        <v>304</v>
      </c>
      <c r="F83" s="268"/>
      <c r="G83" s="268"/>
      <c r="H83" s="270" t="e">
        <f>Produtividade!J31</f>
        <v>#DIV/0!</v>
      </c>
    </row>
    <row r="84" spans="1:9" ht="16.5" thickBot="1" x14ac:dyDescent="0.3">
      <c r="E84" s="263"/>
      <c r="F84" s="263"/>
      <c r="G84" s="263"/>
      <c r="H84" s="263"/>
    </row>
    <row r="85" spans="1:9" ht="16.5" thickBot="1" x14ac:dyDescent="0.3">
      <c r="E85" s="271" t="s">
        <v>305</v>
      </c>
      <c r="F85" s="272"/>
      <c r="G85" s="272"/>
      <c r="H85" s="253" t="e">
        <f>H81/H83</f>
        <v>#DIV/0!</v>
      </c>
    </row>
    <row r="87" spans="1:9" ht="31.5" customHeight="1" x14ac:dyDescent="0.25">
      <c r="A87" s="477" t="s">
        <v>306</v>
      </c>
      <c r="B87" s="477"/>
      <c r="C87" s="477"/>
      <c r="D87" s="477"/>
      <c r="E87" s="477"/>
      <c r="F87" s="477"/>
      <c r="G87" s="477"/>
      <c r="H87" s="477"/>
      <c r="I87" s="296"/>
    </row>
    <row r="88" spans="1:9" ht="33.75" customHeight="1" x14ac:dyDescent="0.25">
      <c r="A88" s="553" t="s">
        <v>307</v>
      </c>
      <c r="B88" s="553"/>
      <c r="C88" s="553"/>
      <c r="D88" s="553"/>
      <c r="E88" s="553"/>
      <c r="F88" s="553"/>
      <c r="G88" s="553"/>
      <c r="H88" s="553"/>
      <c r="I88" s="296"/>
    </row>
    <row r="90" spans="1:9" ht="16.5" thickBot="1" x14ac:dyDescent="0.3">
      <c r="A90" s="273" t="s">
        <v>221</v>
      </c>
      <c r="C90" s="47"/>
      <c r="D90" s="224"/>
      <c r="E90" s="224"/>
      <c r="F90" s="224"/>
    </row>
    <row r="91" spans="1:9" ht="81" customHeight="1" thickBot="1" x14ac:dyDescent="0.3">
      <c r="A91" s="786"/>
      <c r="B91" s="787"/>
      <c r="C91" s="787"/>
      <c r="D91" s="787"/>
      <c r="E91" s="787"/>
      <c r="F91" s="787"/>
      <c r="G91" s="787"/>
      <c r="H91" s="788"/>
    </row>
  </sheetData>
  <sheetProtection algorithmName="SHA-512" hashValue="ZMyh9ZReUo79f/blrwHIPnnbRgAkpobrY6uyX7HolU6ZRwg1dq3Ywgqvveu2NFVZq3WfdaZN7YIGvNiNA7q4WA==" saltValue="5qZG3CV/9ksqBdE2M0CVdw==" spinCount="100000" sheet="1" objects="1" scenarios="1"/>
  <sortState ref="B16:H82">
    <sortCondition ref="B16"/>
  </sortState>
  <mergeCells count="22">
    <mergeCell ref="A13:H13"/>
    <mergeCell ref="A8:H8"/>
    <mergeCell ref="A10:H10"/>
    <mergeCell ref="A11:H11"/>
    <mergeCell ref="A1:I1"/>
    <mergeCell ref="A2:I2"/>
    <mergeCell ref="A7:I7"/>
    <mergeCell ref="A5:H5"/>
    <mergeCell ref="A6:H6"/>
    <mergeCell ref="A91:H91"/>
    <mergeCell ref="A88:H88"/>
    <mergeCell ref="G15:H15"/>
    <mergeCell ref="A17:H17"/>
    <mergeCell ref="A20:A21"/>
    <mergeCell ref="B20:B21"/>
    <mergeCell ref="C20:C21"/>
    <mergeCell ref="D20:E20"/>
    <mergeCell ref="F20:F21"/>
    <mergeCell ref="G20:H20"/>
    <mergeCell ref="A87:H87"/>
    <mergeCell ref="A15:B15"/>
    <mergeCell ref="C15:E15"/>
  </mergeCells>
  <printOptions horizontalCentered="1" verticalCentered="1"/>
  <pageMargins left="0.51181102362204722" right="0.51181102362204722" top="0.59055118110236227" bottom="0.39370078740157483" header="0.31496062992125984" footer="0.31496062992125984"/>
  <pageSetup paperSize="9" scale="47" orientation="portrait" r:id="rId1"/>
  <headerFooter>
    <oddFooter>&amp;A</oddFooter>
  </headerFooter>
  <rowBreaks count="1" manualBreakCount="1">
    <brk id="54" max="8" man="1"/>
  </rowBreaks>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44"/>
  <sheetViews>
    <sheetView showGridLines="0" zoomScale="90" zoomScaleNormal="90" workbookViewId="0">
      <selection activeCell="J1" sqref="J1"/>
    </sheetView>
  </sheetViews>
  <sheetFormatPr defaultRowHeight="15.75" x14ac:dyDescent="0.25"/>
  <cols>
    <col min="1" max="1" width="9.140625" style="47"/>
    <col min="2" max="2" width="26.85546875" style="47" customWidth="1"/>
    <col min="3" max="3" width="11.42578125" style="47" customWidth="1"/>
    <col min="4" max="5" width="10.7109375" style="47" customWidth="1"/>
    <col min="6" max="6" width="15.42578125" style="47" customWidth="1"/>
    <col min="7" max="8" width="14.7109375" style="47" customWidth="1"/>
    <col min="9" max="16384" width="9.140625" style="47"/>
  </cols>
  <sheetData>
    <row r="1" spans="1:9" ht="15" customHeight="1" x14ac:dyDescent="0.35">
      <c r="A1" s="479"/>
      <c r="B1" s="479"/>
      <c r="C1" s="479"/>
      <c r="D1" s="479"/>
      <c r="E1" s="479"/>
      <c r="F1" s="479"/>
      <c r="G1" s="479"/>
      <c r="H1" s="479"/>
      <c r="I1" s="479"/>
    </row>
    <row r="2" spans="1:9" ht="15" customHeight="1" x14ac:dyDescent="0.25">
      <c r="A2" s="480"/>
      <c r="B2" s="480"/>
      <c r="C2" s="480"/>
      <c r="D2" s="480"/>
      <c r="E2" s="480"/>
      <c r="F2" s="480"/>
      <c r="G2" s="480"/>
      <c r="H2" s="480"/>
      <c r="I2" s="480"/>
    </row>
    <row r="3" spans="1:9" ht="15" customHeight="1" x14ac:dyDescent="0.25">
      <c r="A3" s="382"/>
      <c r="B3" s="382"/>
      <c r="C3" s="382"/>
      <c r="D3" s="382"/>
      <c r="E3" s="382"/>
      <c r="F3" s="382"/>
      <c r="G3" s="382"/>
      <c r="H3" s="382"/>
      <c r="I3"/>
    </row>
    <row r="4" spans="1:9" ht="15" customHeight="1" x14ac:dyDescent="0.3">
      <c r="A4" s="2"/>
      <c r="B4" s="2"/>
      <c r="C4" s="2"/>
      <c r="D4" s="2"/>
      <c r="E4" s="2"/>
      <c r="F4" s="2"/>
      <c r="G4" s="2"/>
      <c r="H4" s="2"/>
      <c r="I4"/>
    </row>
    <row r="5" spans="1:9" ht="15" customHeight="1" x14ac:dyDescent="0.25">
      <c r="A5" s="483" t="str">
        <f>ORIENTAÇÕES!A5</f>
        <v>MINISTÉRIO DA AGRICULTURA E PECUÁRIA</v>
      </c>
      <c r="B5" s="483"/>
      <c r="C5" s="483"/>
      <c r="D5" s="483"/>
      <c r="E5" s="483"/>
      <c r="F5" s="483"/>
      <c r="G5" s="483"/>
      <c r="H5" s="483"/>
      <c r="I5" s="384"/>
    </row>
    <row r="6" spans="1:9" ht="15" customHeight="1" x14ac:dyDescent="0.25">
      <c r="A6" s="483" t="str">
        <f>ORIENTAÇÕES!A6</f>
        <v>LABORATÓRIO FEDERAL DE DEFESA AGROPECUÁRIA NO PARÁ</v>
      </c>
      <c r="B6" s="483"/>
      <c r="C6" s="483"/>
      <c r="D6" s="483"/>
      <c r="E6" s="483"/>
      <c r="F6" s="483"/>
      <c r="G6" s="483"/>
      <c r="H6" s="483"/>
      <c r="I6" s="384"/>
    </row>
    <row r="7" spans="1:9" ht="15" customHeight="1" x14ac:dyDescent="0.25">
      <c r="A7" s="480"/>
      <c r="B7" s="480"/>
      <c r="C7" s="480"/>
      <c r="D7" s="480"/>
      <c r="E7" s="480"/>
      <c r="F7" s="480"/>
      <c r="G7" s="480"/>
      <c r="H7" s="480"/>
      <c r="I7" s="480"/>
    </row>
    <row r="8" spans="1:9" ht="19.5" customHeight="1" x14ac:dyDescent="0.25">
      <c r="A8" s="484" t="str">
        <f>ORIENTAÇÕES!A8</f>
        <v xml:space="preserve">PLANILHA REFERENCIAL DE CUSTO E FORMAÇÃO DE PREÇO </v>
      </c>
      <c r="B8" s="484"/>
      <c r="C8" s="484"/>
      <c r="D8" s="484"/>
      <c r="E8" s="484"/>
      <c r="F8" s="484"/>
      <c r="G8" s="484"/>
      <c r="H8" s="484"/>
      <c r="I8" s="389"/>
    </row>
    <row r="9" spans="1:9" ht="15" customHeight="1" x14ac:dyDescent="0.25">
      <c r="A9" s="482"/>
      <c r="B9" s="482"/>
      <c r="C9" s="482"/>
      <c r="D9" s="482"/>
      <c r="E9" s="482"/>
      <c r="F9" s="482"/>
      <c r="G9" s="482"/>
      <c r="H9" s="482"/>
      <c r="I9" s="482"/>
    </row>
    <row r="10" spans="1:9" ht="15" customHeight="1" x14ac:dyDescent="0.25">
      <c r="A10" s="481" t="str">
        <f>ORIENTAÇÕES!A10</f>
        <v>Pregão Eletrônico 12/2023</v>
      </c>
      <c r="B10" s="481"/>
      <c r="C10" s="481"/>
      <c r="D10" s="481"/>
      <c r="E10" s="481"/>
      <c r="F10" s="481"/>
      <c r="G10" s="481"/>
      <c r="H10" s="481"/>
      <c r="I10" s="390"/>
    </row>
    <row r="11" spans="1:9" ht="15" customHeight="1" x14ac:dyDescent="0.25">
      <c r="A11" s="481" t="str">
        <f>ORIENTAÇÕES!A11</f>
        <v>PROCESSO Nº. :  21000.001352/2023-57</v>
      </c>
      <c r="B11" s="481"/>
      <c r="C11" s="481"/>
      <c r="D11" s="481"/>
      <c r="E11" s="481"/>
      <c r="F11" s="481"/>
      <c r="G11" s="481"/>
      <c r="H11" s="481"/>
      <c r="I11" s="390"/>
    </row>
    <row r="12" spans="1:9" ht="15" customHeight="1" x14ac:dyDescent="0.3">
      <c r="A12" s="383"/>
      <c r="B12" s="383"/>
      <c r="C12" s="383"/>
      <c r="D12" s="383"/>
      <c r="E12" s="383"/>
      <c r="F12" s="383"/>
      <c r="G12" s="383"/>
      <c r="H12" s="383"/>
      <c r="I12"/>
    </row>
    <row r="13" spans="1:9" ht="19.5" customHeight="1" x14ac:dyDescent="0.3">
      <c r="A13" s="569" t="s">
        <v>308</v>
      </c>
      <c r="B13" s="569"/>
      <c r="C13" s="569"/>
      <c r="D13" s="569"/>
      <c r="E13" s="569"/>
      <c r="F13" s="569"/>
      <c r="G13" s="569"/>
      <c r="H13" s="569"/>
    </row>
    <row r="14" spans="1:9" ht="30" customHeight="1" x14ac:dyDescent="0.25">
      <c r="A14" s="75"/>
      <c r="B14" s="75"/>
      <c r="C14" s="95"/>
      <c r="D14" s="95"/>
      <c r="E14" s="95"/>
      <c r="F14" s="95"/>
      <c r="G14" s="75"/>
      <c r="H14" s="75"/>
    </row>
    <row r="15" spans="1:9" ht="30" customHeight="1" x14ac:dyDescent="0.25">
      <c r="A15" s="539" t="s">
        <v>183</v>
      </c>
      <c r="B15" s="539"/>
      <c r="C15" s="550">
        <f>RESUMO!C16</f>
        <v>0</v>
      </c>
      <c r="D15" s="550"/>
      <c r="E15" s="550"/>
      <c r="F15" s="78" t="s">
        <v>223</v>
      </c>
      <c r="G15" s="529">
        <f>RESUMO!C18</f>
        <v>0</v>
      </c>
      <c r="H15" s="529"/>
      <c r="I15" s="99"/>
    </row>
    <row r="16" spans="1:9" ht="30" customHeight="1" x14ac:dyDescent="0.25">
      <c r="A16" s="46"/>
      <c r="B16" s="46"/>
      <c r="C16" s="247"/>
      <c r="D16" s="247"/>
      <c r="E16" s="247"/>
      <c r="F16" s="248"/>
      <c r="G16" s="249"/>
      <c r="H16" s="249"/>
    </row>
    <row r="17" spans="1:9" x14ac:dyDescent="0.25">
      <c r="A17" s="565" t="s">
        <v>309</v>
      </c>
      <c r="B17" s="565"/>
      <c r="C17" s="565"/>
      <c r="D17" s="565"/>
      <c r="E17" s="565"/>
      <c r="F17" s="565"/>
      <c r="G17" s="565"/>
      <c r="H17" s="565"/>
      <c r="I17" s="254"/>
    </row>
    <row r="18" spans="1:9" ht="16.5" thickBot="1" x14ac:dyDescent="0.3"/>
    <row r="19" spans="1:9" x14ac:dyDescent="0.25">
      <c r="A19" s="555" t="s">
        <v>57</v>
      </c>
      <c r="B19" s="557" t="s">
        <v>199</v>
      </c>
      <c r="C19" s="557" t="s">
        <v>225</v>
      </c>
      <c r="D19" s="559" t="s">
        <v>226</v>
      </c>
      <c r="E19" s="560"/>
      <c r="F19" s="561" t="s">
        <v>204</v>
      </c>
      <c r="G19" s="566" t="s">
        <v>227</v>
      </c>
      <c r="H19" s="567"/>
    </row>
    <row r="20" spans="1:9" ht="31.5" x14ac:dyDescent="0.25">
      <c r="A20" s="556"/>
      <c r="B20" s="558" t="s">
        <v>199</v>
      </c>
      <c r="C20" s="558" t="s">
        <v>225</v>
      </c>
      <c r="D20" s="255" t="s">
        <v>228</v>
      </c>
      <c r="E20" s="256" t="s">
        <v>229</v>
      </c>
      <c r="F20" s="562" t="s">
        <v>204</v>
      </c>
      <c r="G20" s="257" t="s">
        <v>230</v>
      </c>
      <c r="H20" s="258" t="s">
        <v>231</v>
      </c>
    </row>
    <row r="21" spans="1:9" ht="30" customHeight="1" x14ac:dyDescent="0.25">
      <c r="A21" s="250">
        <v>1</v>
      </c>
      <c r="B21" s="318" t="s">
        <v>310</v>
      </c>
      <c r="C21" s="299" t="s">
        <v>311</v>
      </c>
      <c r="D21" s="467">
        <v>20</v>
      </c>
      <c r="E21" s="307"/>
      <c r="F21" s="789">
        <v>0</v>
      </c>
      <c r="G21" s="319">
        <f>D21*F21</f>
        <v>0</v>
      </c>
      <c r="H21" s="320"/>
    </row>
    <row r="22" spans="1:9" ht="30" customHeight="1" x14ac:dyDescent="0.25">
      <c r="A22" s="250">
        <v>2</v>
      </c>
      <c r="B22" s="318" t="s">
        <v>286</v>
      </c>
      <c r="C22" s="462" t="s">
        <v>312</v>
      </c>
      <c r="D22" s="467">
        <v>5</v>
      </c>
      <c r="E22" s="307"/>
      <c r="F22" s="789">
        <v>0</v>
      </c>
      <c r="G22" s="319">
        <f t="shared" ref="G22:G27" si="0">D22*F22</f>
        <v>0</v>
      </c>
      <c r="H22" s="320"/>
    </row>
    <row r="23" spans="1:9" ht="30" customHeight="1" x14ac:dyDescent="0.25">
      <c r="A23" s="250">
        <v>3</v>
      </c>
      <c r="B23" s="318" t="s">
        <v>313</v>
      </c>
      <c r="C23" s="299" t="s">
        <v>285</v>
      </c>
      <c r="D23" s="467">
        <v>15</v>
      </c>
      <c r="E23" s="307"/>
      <c r="F23" s="789">
        <v>0</v>
      </c>
      <c r="G23" s="319">
        <f t="shared" si="0"/>
        <v>0</v>
      </c>
      <c r="H23" s="320"/>
    </row>
    <row r="24" spans="1:9" ht="30" customHeight="1" x14ac:dyDescent="0.25">
      <c r="A24" s="250">
        <v>4</v>
      </c>
      <c r="B24" s="318" t="s">
        <v>314</v>
      </c>
      <c r="C24" s="299" t="s">
        <v>233</v>
      </c>
      <c r="D24" s="467">
        <v>4</v>
      </c>
      <c r="E24" s="307"/>
      <c r="F24" s="789">
        <v>0</v>
      </c>
      <c r="G24" s="319">
        <f t="shared" si="0"/>
        <v>0</v>
      </c>
      <c r="H24" s="320"/>
    </row>
    <row r="25" spans="1:9" ht="30" customHeight="1" x14ac:dyDescent="0.25">
      <c r="A25" s="250">
        <v>5</v>
      </c>
      <c r="B25" s="318" t="s">
        <v>315</v>
      </c>
      <c r="C25" s="462" t="s">
        <v>233</v>
      </c>
      <c r="D25" s="467">
        <v>20</v>
      </c>
      <c r="E25" s="307"/>
      <c r="F25" s="789">
        <v>0</v>
      </c>
      <c r="G25" s="319">
        <f t="shared" si="0"/>
        <v>0</v>
      </c>
      <c r="H25" s="320"/>
    </row>
    <row r="26" spans="1:9" ht="30" customHeight="1" x14ac:dyDescent="0.25">
      <c r="A26" s="250">
        <v>6</v>
      </c>
      <c r="B26" s="318" t="s">
        <v>316</v>
      </c>
      <c r="C26" s="306" t="s">
        <v>317</v>
      </c>
      <c r="D26" s="467">
        <v>10</v>
      </c>
      <c r="E26" s="307"/>
      <c r="F26" s="789">
        <v>0</v>
      </c>
      <c r="G26" s="319">
        <f t="shared" si="0"/>
        <v>0</v>
      </c>
      <c r="H26" s="320"/>
    </row>
    <row r="27" spans="1:9" ht="30" customHeight="1" thickBot="1" x14ac:dyDescent="0.3">
      <c r="A27" s="251">
        <v>7</v>
      </c>
      <c r="B27" s="321" t="s">
        <v>318</v>
      </c>
      <c r="C27" s="322" t="s">
        <v>319</v>
      </c>
      <c r="D27" s="466">
        <v>2</v>
      </c>
      <c r="E27" s="323"/>
      <c r="F27" s="790">
        <v>0</v>
      </c>
      <c r="G27" s="324">
        <f t="shared" si="0"/>
        <v>0</v>
      </c>
      <c r="H27" s="325"/>
    </row>
    <row r="28" spans="1:9" ht="16.5" thickBot="1" x14ac:dyDescent="0.3">
      <c r="A28" s="259"/>
      <c r="E28" s="260" t="s">
        <v>195</v>
      </c>
      <c r="F28" s="261"/>
      <c r="G28" s="262">
        <f>SUM(G21:G27)</f>
        <v>0</v>
      </c>
      <c r="H28" s="262">
        <f>SUM(H21:H27)</f>
        <v>0</v>
      </c>
    </row>
    <row r="29" spans="1:9" ht="16.5" thickBot="1" x14ac:dyDescent="0.3">
      <c r="E29" s="263"/>
      <c r="F29" s="263"/>
      <c r="G29" s="264"/>
      <c r="H29" s="263"/>
    </row>
    <row r="30" spans="1:9" ht="16.5" thickBot="1" x14ac:dyDescent="0.3">
      <c r="E30" s="265" t="s">
        <v>302</v>
      </c>
      <c r="F30" s="266"/>
      <c r="G30" s="267">
        <f>G28*12</f>
        <v>0</v>
      </c>
      <c r="H30" s="267">
        <f>H28</f>
        <v>0</v>
      </c>
    </row>
    <row r="31" spans="1:9" ht="16.5" thickBot="1" x14ac:dyDescent="0.3">
      <c r="E31" s="263"/>
      <c r="F31" s="263"/>
      <c r="G31" s="263"/>
      <c r="H31" s="263"/>
    </row>
    <row r="32" spans="1:9" ht="16.5" thickBot="1" x14ac:dyDescent="0.3">
      <c r="E32" s="265" t="s">
        <v>303</v>
      </c>
      <c r="F32" s="268"/>
      <c r="G32" s="268"/>
      <c r="H32" s="269">
        <f>(G30+H30)/12</f>
        <v>0</v>
      </c>
    </row>
    <row r="33" spans="1:9" ht="16.5" thickBot="1" x14ac:dyDescent="0.3">
      <c r="E33" s="263"/>
      <c r="F33" s="263"/>
      <c r="G33" s="263"/>
      <c r="H33" s="263"/>
      <c r="I33" s="263"/>
    </row>
    <row r="34" spans="1:9" ht="16.5" thickBot="1" x14ac:dyDescent="0.3">
      <c r="E34" s="265" t="s">
        <v>304</v>
      </c>
      <c r="F34" s="268"/>
      <c r="G34" s="268"/>
      <c r="H34" s="270">
        <v>1</v>
      </c>
      <c r="I34" s="263"/>
    </row>
    <row r="35" spans="1:9" ht="16.5" thickBot="1" x14ac:dyDescent="0.3">
      <c r="E35" s="263"/>
      <c r="F35" s="263"/>
      <c r="G35" s="263"/>
      <c r="H35" s="263"/>
      <c r="I35" s="263"/>
    </row>
    <row r="36" spans="1:9" ht="16.5" thickBot="1" x14ac:dyDescent="0.3">
      <c r="E36" s="271" t="s">
        <v>305</v>
      </c>
      <c r="F36" s="272"/>
      <c r="G36" s="272"/>
      <c r="H36" s="253">
        <f>H32/H34</f>
        <v>0</v>
      </c>
      <c r="I36" s="263"/>
    </row>
    <row r="39" spans="1:9" x14ac:dyDescent="0.25">
      <c r="C39" s="224"/>
    </row>
    <row r="40" spans="1:9" x14ac:dyDescent="0.25">
      <c r="A40" s="47" t="s">
        <v>320</v>
      </c>
      <c r="C40" s="224"/>
    </row>
    <row r="41" spans="1:9" ht="50.25" customHeight="1" x14ac:dyDescent="0.25">
      <c r="A41" s="477" t="s">
        <v>307</v>
      </c>
      <c r="B41" s="477"/>
      <c r="C41" s="477"/>
      <c r="D41" s="477"/>
      <c r="E41" s="477"/>
      <c r="F41" s="477"/>
      <c r="G41" s="477"/>
      <c r="H41" s="477"/>
      <c r="I41" s="296"/>
    </row>
    <row r="42" spans="1:9" x14ac:dyDescent="0.25">
      <c r="C42" s="224"/>
    </row>
    <row r="43" spans="1:9" ht="43.5" customHeight="1" thickBot="1" x14ac:dyDescent="0.3">
      <c r="A43" s="568" t="s">
        <v>221</v>
      </c>
      <c r="B43" s="568"/>
      <c r="C43" s="568"/>
      <c r="D43" s="568"/>
      <c r="E43" s="568"/>
      <c r="F43" s="568"/>
      <c r="G43" s="568"/>
      <c r="H43" s="568"/>
    </row>
    <row r="44" spans="1:9" ht="81" customHeight="1" thickBot="1" x14ac:dyDescent="0.3">
      <c r="A44" s="786"/>
      <c r="B44" s="787"/>
      <c r="C44" s="787"/>
      <c r="D44" s="787"/>
      <c r="E44" s="787"/>
      <c r="F44" s="787"/>
      <c r="G44" s="787"/>
      <c r="H44" s="788"/>
    </row>
  </sheetData>
  <sheetProtection algorithmName="SHA-512" hashValue="yb34gX0Xg0xiRl63PuP9bY+NZ4cuPN8ie3pohGrUfG+6wMfvPkn5M+gi3h4FePOuWch7RR4MHwkUQZ86lABzFg==" saltValue="4UYo385d0zUoL8wEqe94hw==" spinCount="100000" sheet="1" objects="1" scenarios="1"/>
  <mergeCells count="23">
    <mergeCell ref="A1:I1"/>
    <mergeCell ref="A2:I2"/>
    <mergeCell ref="A15:B15"/>
    <mergeCell ref="C15:E15"/>
    <mergeCell ref="G15:H15"/>
    <mergeCell ref="A13:H13"/>
    <mergeCell ref="A7:I7"/>
    <mergeCell ref="A9:I9"/>
    <mergeCell ref="A5:H5"/>
    <mergeCell ref="A6:H6"/>
    <mergeCell ref="A8:H8"/>
    <mergeCell ref="A10:H10"/>
    <mergeCell ref="A11:H11"/>
    <mergeCell ref="A44:H44"/>
    <mergeCell ref="A17:H17"/>
    <mergeCell ref="A19:A20"/>
    <mergeCell ref="B19:B20"/>
    <mergeCell ref="C19:C20"/>
    <mergeCell ref="D19:E19"/>
    <mergeCell ref="F19:F20"/>
    <mergeCell ref="G19:H19"/>
    <mergeCell ref="A43:H43"/>
    <mergeCell ref="A41:H41"/>
  </mergeCells>
  <pageMargins left="0.511811024" right="0.511811024" top="0.78740157499999996" bottom="0.78740157499999996" header="0.31496062000000002" footer="0.31496062000000002"/>
  <pageSetup paperSize="9" scale="75" orientation="portrait" horizontalDpi="0"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7">
    <tabColor rgb="FF00B050"/>
  </sheetPr>
  <dimension ref="A1:J39"/>
  <sheetViews>
    <sheetView showGridLines="0" zoomScale="90" zoomScaleNormal="90" workbookViewId="0">
      <selection activeCell="J1" sqref="J1"/>
    </sheetView>
  </sheetViews>
  <sheetFormatPr defaultRowHeight="15.75" x14ac:dyDescent="0.25"/>
  <cols>
    <col min="1" max="1" width="7" style="224" customWidth="1"/>
    <col min="2" max="2" width="30.140625" style="224" customWidth="1"/>
    <col min="3" max="3" width="12" style="224" customWidth="1"/>
    <col min="4" max="4" width="9.28515625" style="224" customWidth="1"/>
    <col min="5" max="5" width="17.42578125" style="224" customWidth="1"/>
    <col min="6" max="6" width="22" style="224" customWidth="1"/>
    <col min="7" max="7" width="13" style="224" customWidth="1"/>
    <col min="8" max="8" width="13.7109375" style="224" customWidth="1"/>
    <col min="9" max="9" width="15" style="224" bestFit="1" customWidth="1"/>
    <col min="10" max="10" width="7" style="224" customWidth="1"/>
    <col min="11" max="16384" width="9.140625" style="224"/>
  </cols>
  <sheetData>
    <row r="1" spans="1:9" ht="15" customHeight="1" x14ac:dyDescent="0.35">
      <c r="A1" s="479"/>
      <c r="B1" s="479"/>
      <c r="C1" s="479"/>
      <c r="D1" s="479"/>
      <c r="E1" s="479"/>
      <c r="F1" s="479"/>
      <c r="G1" s="479"/>
      <c r="H1" s="479"/>
      <c r="I1" s="479"/>
    </row>
    <row r="2" spans="1:9" ht="15" customHeight="1" x14ac:dyDescent="0.2">
      <c r="A2" s="480"/>
      <c r="B2" s="480"/>
      <c r="C2" s="480"/>
      <c r="D2" s="480"/>
      <c r="E2" s="480"/>
      <c r="F2" s="480"/>
      <c r="G2" s="480"/>
      <c r="H2" s="480"/>
      <c r="I2" s="480"/>
    </row>
    <row r="3" spans="1:9" ht="15" customHeight="1" x14ac:dyDescent="0.25">
      <c r="A3" s="382"/>
      <c r="B3" s="382"/>
      <c r="C3" s="382"/>
      <c r="D3" s="382"/>
      <c r="E3" s="382"/>
      <c r="F3" s="382"/>
      <c r="G3" s="382"/>
      <c r="H3" s="382"/>
      <c r="I3"/>
    </row>
    <row r="4" spans="1:9" ht="15" customHeight="1" x14ac:dyDescent="0.3">
      <c r="A4" s="2"/>
      <c r="B4" s="2"/>
      <c r="C4" s="2"/>
      <c r="D4" s="2"/>
      <c r="E4" s="2"/>
      <c r="F4" s="2"/>
      <c r="G4" s="2"/>
      <c r="H4" s="2"/>
      <c r="I4"/>
    </row>
    <row r="5" spans="1:9" ht="15" customHeight="1" x14ac:dyDescent="0.25">
      <c r="A5" s="483" t="str">
        <f>ORIENTAÇÕES!A5</f>
        <v>MINISTÉRIO DA AGRICULTURA E PECUÁRIA</v>
      </c>
      <c r="B5" s="483"/>
      <c r="C5" s="483"/>
      <c r="D5" s="483"/>
      <c r="E5" s="483"/>
      <c r="F5" s="483"/>
      <c r="G5" s="483"/>
      <c r="H5" s="483"/>
      <c r="I5" s="483"/>
    </row>
    <row r="6" spans="1:9" ht="15" customHeight="1" x14ac:dyDescent="0.25">
      <c r="A6" s="483" t="str">
        <f>ORIENTAÇÕES!A6</f>
        <v>LABORATÓRIO FEDERAL DE DEFESA AGROPECUÁRIA NO PARÁ</v>
      </c>
      <c r="B6" s="483"/>
      <c r="C6" s="483"/>
      <c r="D6" s="483"/>
      <c r="E6" s="483"/>
      <c r="F6" s="483"/>
      <c r="G6" s="483"/>
      <c r="H6" s="483"/>
      <c r="I6" s="483"/>
    </row>
    <row r="7" spans="1:9" ht="15" customHeight="1" x14ac:dyDescent="0.2">
      <c r="A7" s="480"/>
      <c r="B7" s="480"/>
      <c r="C7" s="480"/>
      <c r="D7" s="480"/>
      <c r="E7" s="480"/>
      <c r="F7" s="480"/>
      <c r="G7" s="480"/>
      <c r="H7" s="480"/>
      <c r="I7" s="480"/>
    </row>
    <row r="8" spans="1:9" ht="19.5" customHeight="1" x14ac:dyDescent="0.25">
      <c r="A8" s="484" t="str">
        <f>ORIENTAÇÕES!A8</f>
        <v xml:space="preserve">PLANILHA REFERENCIAL DE CUSTO E FORMAÇÃO DE PREÇO </v>
      </c>
      <c r="B8" s="484"/>
      <c r="C8" s="484"/>
      <c r="D8" s="484"/>
      <c r="E8" s="484"/>
      <c r="F8" s="484"/>
      <c r="G8" s="484"/>
      <c r="H8" s="484"/>
      <c r="I8" s="484"/>
    </row>
    <row r="9" spans="1:9" ht="15" customHeight="1" x14ac:dyDescent="0.25">
      <c r="A9" s="482"/>
      <c r="B9" s="482"/>
      <c r="C9" s="482"/>
      <c r="D9" s="482"/>
      <c r="E9" s="482"/>
      <c r="F9" s="482"/>
      <c r="G9" s="482"/>
      <c r="H9" s="482"/>
      <c r="I9" s="482"/>
    </row>
    <row r="10" spans="1:9" ht="15" customHeight="1" x14ac:dyDescent="0.25">
      <c r="A10" s="481" t="str">
        <f>ORIENTAÇÕES!A10</f>
        <v>Pregão Eletrônico 12/2023</v>
      </c>
      <c r="B10" s="481"/>
      <c r="C10" s="481"/>
      <c r="D10" s="481"/>
      <c r="E10" s="481"/>
      <c r="F10" s="481"/>
      <c r="G10" s="481"/>
      <c r="H10" s="481"/>
      <c r="I10" s="481"/>
    </row>
    <row r="11" spans="1:9" ht="15" customHeight="1" x14ac:dyDescent="0.25">
      <c r="A11" s="481" t="str">
        <f>ORIENTAÇÕES!A11</f>
        <v>PROCESSO Nº. :  21000.001352/2023-57</v>
      </c>
      <c r="B11" s="481"/>
      <c r="C11" s="481"/>
      <c r="D11" s="481"/>
      <c r="E11" s="481"/>
      <c r="F11" s="481"/>
      <c r="G11" s="481"/>
      <c r="H11" s="481"/>
      <c r="I11" s="481"/>
    </row>
    <row r="12" spans="1:9" ht="15" customHeight="1" x14ac:dyDescent="0.3">
      <c r="A12" s="383"/>
      <c r="B12" s="383"/>
      <c r="C12" s="383"/>
      <c r="D12" s="383"/>
      <c r="E12" s="383"/>
      <c r="F12" s="383"/>
      <c r="G12" s="383"/>
      <c r="H12" s="383"/>
      <c r="I12"/>
    </row>
    <row r="13" spans="1:9" ht="19.5" customHeight="1" x14ac:dyDescent="0.25">
      <c r="A13" s="538" t="s">
        <v>321</v>
      </c>
      <c r="B13" s="538"/>
      <c r="C13" s="538"/>
      <c r="D13" s="538"/>
      <c r="E13" s="538"/>
      <c r="F13" s="538"/>
      <c r="G13" s="538"/>
      <c r="H13" s="538"/>
      <c r="I13" s="538"/>
    </row>
    <row r="14" spans="1:9" ht="30" customHeight="1" x14ac:dyDescent="0.25">
      <c r="A14" s="78"/>
      <c r="B14" s="78"/>
      <c r="F14" s="78"/>
      <c r="G14" s="78"/>
      <c r="H14" s="78"/>
    </row>
    <row r="15" spans="1:9" ht="30" customHeight="1" x14ac:dyDescent="0.25">
      <c r="A15" s="580" t="s">
        <v>183</v>
      </c>
      <c r="B15" s="580"/>
      <c r="C15" s="514">
        <f>RESUMO!C16</f>
        <v>0</v>
      </c>
      <c r="D15" s="515"/>
      <c r="E15" s="516"/>
      <c r="F15" s="78" t="s">
        <v>223</v>
      </c>
      <c r="G15" s="517">
        <f>RESUMO!C18</f>
        <v>0</v>
      </c>
      <c r="H15" s="570"/>
      <c r="I15" s="518"/>
    </row>
    <row r="16" spans="1:9" ht="30" customHeight="1" thickBot="1" x14ac:dyDescent="0.3">
      <c r="A16" s="227"/>
      <c r="B16" s="227"/>
      <c r="C16" s="227"/>
      <c r="D16" s="227"/>
      <c r="E16" s="227"/>
      <c r="F16" s="227"/>
      <c r="G16" s="227"/>
      <c r="H16" s="227"/>
      <c r="I16" s="227"/>
    </row>
    <row r="17" spans="1:10" ht="81" customHeight="1" x14ac:dyDescent="0.25">
      <c r="A17" s="228" t="s">
        <v>57</v>
      </c>
      <c r="B17" s="229" t="s">
        <v>199</v>
      </c>
      <c r="C17" s="229" t="s">
        <v>225</v>
      </c>
      <c r="D17" s="230" t="s">
        <v>322</v>
      </c>
      <c r="E17" s="231" t="s">
        <v>204</v>
      </c>
      <c r="F17" s="232" t="s">
        <v>323</v>
      </c>
      <c r="G17" s="229" t="s">
        <v>324</v>
      </c>
      <c r="H17" s="234" t="s">
        <v>72</v>
      </c>
      <c r="I17" s="235" t="s">
        <v>69</v>
      </c>
    </row>
    <row r="18" spans="1:10" ht="62.25" customHeight="1" x14ac:dyDescent="0.25">
      <c r="A18" s="225">
        <v>1</v>
      </c>
      <c r="B18" s="326" t="s">
        <v>325</v>
      </c>
      <c r="C18" s="327" t="s">
        <v>225</v>
      </c>
      <c r="D18" s="328">
        <v>1</v>
      </c>
      <c r="E18" s="791">
        <v>0</v>
      </c>
      <c r="F18" s="329">
        <f t="shared" ref="F18:F25" si="0">D18*E18</f>
        <v>0</v>
      </c>
      <c r="G18" s="330">
        <v>60</v>
      </c>
      <c r="H18" s="330"/>
      <c r="I18" s="331">
        <f>($F18*(1-0.2))/$G18</f>
        <v>0</v>
      </c>
      <c r="J18" s="233"/>
    </row>
    <row r="19" spans="1:10" ht="76.5" customHeight="1" x14ac:dyDescent="0.25">
      <c r="A19" s="225">
        <v>2</v>
      </c>
      <c r="B19" s="318" t="s">
        <v>326</v>
      </c>
      <c r="C19" s="327" t="s">
        <v>225</v>
      </c>
      <c r="D19" s="328">
        <v>1</v>
      </c>
      <c r="E19" s="791">
        <v>0</v>
      </c>
      <c r="F19" s="329">
        <f t="shared" si="0"/>
        <v>0</v>
      </c>
      <c r="G19" s="330">
        <v>60</v>
      </c>
      <c r="H19" s="330"/>
      <c r="I19" s="331">
        <f>($F19*(1-0.2))/$G19</f>
        <v>0</v>
      </c>
      <c r="J19" s="233"/>
    </row>
    <row r="20" spans="1:10" ht="48" customHeight="1" x14ac:dyDescent="0.25">
      <c r="A20" s="225">
        <v>3</v>
      </c>
      <c r="B20" s="318" t="s">
        <v>327</v>
      </c>
      <c r="C20" s="299" t="s">
        <v>225</v>
      </c>
      <c r="D20" s="328">
        <v>1</v>
      </c>
      <c r="E20" s="791">
        <v>0</v>
      </c>
      <c r="F20" s="329">
        <f t="shared" si="0"/>
        <v>0</v>
      </c>
      <c r="G20" s="330">
        <v>60</v>
      </c>
      <c r="H20" s="332"/>
      <c r="I20" s="333">
        <f>($F20*(1-0.2))/$G20</f>
        <v>0</v>
      </c>
      <c r="J20" s="233"/>
    </row>
    <row r="21" spans="1:10" ht="36" customHeight="1" x14ac:dyDescent="0.25">
      <c r="A21" s="225">
        <v>4</v>
      </c>
      <c r="B21" s="318" t="s">
        <v>328</v>
      </c>
      <c r="C21" s="299" t="s">
        <v>225</v>
      </c>
      <c r="D21" s="328">
        <v>2</v>
      </c>
      <c r="E21" s="791">
        <v>0</v>
      </c>
      <c r="F21" s="329">
        <f t="shared" si="0"/>
        <v>0</v>
      </c>
      <c r="G21" s="330">
        <v>60</v>
      </c>
      <c r="H21" s="332"/>
      <c r="I21" s="333">
        <f>($F21*(1-0.2))/$G21</f>
        <v>0</v>
      </c>
      <c r="J21" s="233"/>
    </row>
    <row r="22" spans="1:10" ht="73.5" customHeight="1" x14ac:dyDescent="0.25">
      <c r="A22" s="225">
        <v>5</v>
      </c>
      <c r="B22" s="318" t="s">
        <v>329</v>
      </c>
      <c r="C22" s="306" t="s">
        <v>225</v>
      </c>
      <c r="D22" s="328">
        <v>1</v>
      </c>
      <c r="E22" s="791">
        <v>0</v>
      </c>
      <c r="F22" s="329">
        <f t="shared" si="0"/>
        <v>0</v>
      </c>
      <c r="G22" s="330">
        <v>60</v>
      </c>
      <c r="H22" s="334">
        <f>($F22*(1-0.2))/$G22</f>
        <v>0</v>
      </c>
      <c r="I22" s="335"/>
      <c r="J22" s="233"/>
    </row>
    <row r="23" spans="1:10" ht="65.25" customHeight="1" x14ac:dyDescent="0.25">
      <c r="A23" s="225">
        <v>6</v>
      </c>
      <c r="B23" s="318" t="s">
        <v>330</v>
      </c>
      <c r="C23" s="306" t="s">
        <v>225</v>
      </c>
      <c r="D23" s="328">
        <v>2</v>
      </c>
      <c r="E23" s="791">
        <v>0</v>
      </c>
      <c r="F23" s="329">
        <f t="shared" si="0"/>
        <v>0</v>
      </c>
      <c r="G23" s="330">
        <v>60</v>
      </c>
      <c r="H23" s="334">
        <f>(F23*(1-0.2))/G23</f>
        <v>0</v>
      </c>
      <c r="I23" s="335"/>
      <c r="J23" s="233"/>
    </row>
    <row r="24" spans="1:10" ht="45" x14ac:dyDescent="0.25">
      <c r="A24" s="225">
        <v>7</v>
      </c>
      <c r="B24" s="318" t="s">
        <v>331</v>
      </c>
      <c r="C24" s="299" t="s">
        <v>225</v>
      </c>
      <c r="D24" s="328">
        <v>2</v>
      </c>
      <c r="E24" s="791">
        <v>0</v>
      </c>
      <c r="F24" s="329">
        <f t="shared" si="0"/>
        <v>0</v>
      </c>
      <c r="G24" s="330">
        <v>60</v>
      </c>
      <c r="H24" s="332"/>
      <c r="I24" s="333">
        <f>($F24*(1-0.2))/$G24</f>
        <v>0</v>
      </c>
      <c r="J24" s="233"/>
    </row>
    <row r="25" spans="1:10" ht="64.5" customHeight="1" thickBot="1" x14ac:dyDescent="0.3">
      <c r="A25" s="226">
        <v>8</v>
      </c>
      <c r="B25" s="321" t="s">
        <v>332</v>
      </c>
      <c r="C25" s="314" t="s">
        <v>225</v>
      </c>
      <c r="D25" s="336">
        <v>1</v>
      </c>
      <c r="E25" s="792">
        <v>0</v>
      </c>
      <c r="F25" s="337">
        <f t="shared" si="0"/>
        <v>0</v>
      </c>
      <c r="G25" s="338">
        <v>60</v>
      </c>
      <c r="H25" s="339"/>
      <c r="I25" s="340">
        <f>($F25*(1-0.2))/$G25</f>
        <v>0</v>
      </c>
      <c r="J25" s="233"/>
    </row>
    <row r="26" spans="1:10" ht="21" customHeight="1" thickBot="1" x14ac:dyDescent="0.3">
      <c r="A26" s="227"/>
      <c r="B26" s="227"/>
      <c r="C26" s="227"/>
      <c r="D26" s="571" t="s">
        <v>333</v>
      </c>
      <c r="E26" s="572"/>
      <c r="F26" s="572"/>
      <c r="G26" s="573"/>
      <c r="H26" s="236">
        <f>SUM(H18:H25)</f>
        <v>0</v>
      </c>
      <c r="I26" s="236">
        <f>SUM(I18:I25)</f>
        <v>0</v>
      </c>
    </row>
    <row r="27" spans="1:10" ht="9" customHeight="1" thickBot="1" x14ac:dyDescent="0.3">
      <c r="D27" s="237"/>
      <c r="E27" s="237"/>
      <c r="F27" s="237"/>
      <c r="G27" s="237"/>
      <c r="H27" s="238"/>
      <c r="I27" s="238"/>
    </row>
    <row r="28" spans="1:10" ht="16.5" customHeight="1" thickBot="1" x14ac:dyDescent="0.3">
      <c r="D28" s="574" t="s">
        <v>334</v>
      </c>
      <c r="E28" s="575"/>
      <c r="F28" s="575"/>
      <c r="G28" s="576"/>
      <c r="H28" s="239">
        <v>1</v>
      </c>
      <c r="I28" s="240" t="e">
        <f>Produtividade!J31</f>
        <v>#DIV/0!</v>
      </c>
    </row>
    <row r="29" spans="1:10" ht="8.25" customHeight="1" thickBot="1" x14ac:dyDescent="0.3">
      <c r="D29" s="237"/>
      <c r="E29" s="237"/>
      <c r="F29" s="237"/>
      <c r="G29" s="237"/>
      <c r="H29" s="238"/>
      <c r="I29" s="238"/>
    </row>
    <row r="30" spans="1:10" ht="16.5" thickBot="1" x14ac:dyDescent="0.3">
      <c r="D30" s="577" t="s">
        <v>220</v>
      </c>
      <c r="E30" s="578"/>
      <c r="F30" s="578"/>
      <c r="G30" s="579"/>
      <c r="H30" s="244">
        <f>H26/H28</f>
        <v>0</v>
      </c>
      <c r="I30" s="245" t="e">
        <f>I26/I28</f>
        <v>#DIV/0!</v>
      </c>
    </row>
    <row r="31" spans="1:10" ht="16.5" thickBot="1" x14ac:dyDescent="0.3">
      <c r="D31" s="241"/>
      <c r="E31" s="238"/>
      <c r="F31" s="238"/>
      <c r="G31" s="238"/>
      <c r="H31" s="238"/>
      <c r="I31" s="238"/>
    </row>
    <row r="32" spans="1:10" ht="16.5" thickBot="1" x14ac:dyDescent="0.3">
      <c r="D32" s="246" t="s">
        <v>335</v>
      </c>
      <c r="E32" s="242"/>
      <c r="F32" s="242"/>
      <c r="G32" s="242"/>
      <c r="H32" s="242"/>
      <c r="I32" s="243">
        <f>SUM(F18:F25)</f>
        <v>0</v>
      </c>
    </row>
    <row r="35" spans="1:9" ht="30" customHeight="1" x14ac:dyDescent="0.25">
      <c r="A35" s="477" t="s">
        <v>336</v>
      </c>
      <c r="B35" s="477"/>
      <c r="C35" s="477"/>
      <c r="D35" s="477"/>
      <c r="E35" s="477"/>
      <c r="F35" s="477"/>
      <c r="G35" s="477"/>
      <c r="H35" s="477"/>
      <c r="I35" s="477"/>
    </row>
    <row r="36" spans="1:9" ht="34.5" customHeight="1" x14ac:dyDescent="0.25">
      <c r="A36" s="477" t="s">
        <v>337</v>
      </c>
      <c r="B36" s="477"/>
      <c r="C36" s="477"/>
      <c r="D36" s="477"/>
      <c r="E36" s="477"/>
      <c r="F36" s="477"/>
      <c r="G36" s="477"/>
      <c r="H36" s="477"/>
      <c r="I36" s="477"/>
    </row>
    <row r="37" spans="1:9" ht="29.25" customHeight="1" x14ac:dyDescent="0.25"/>
    <row r="38" spans="1:9" ht="16.5" thickBot="1" x14ac:dyDescent="0.3">
      <c r="A38" s="223" t="s">
        <v>221</v>
      </c>
    </row>
    <row r="39" spans="1:9" ht="81" customHeight="1" thickBot="1" x14ac:dyDescent="0.3">
      <c r="A39" s="793"/>
      <c r="B39" s="794"/>
      <c r="C39" s="794"/>
      <c r="D39" s="794"/>
      <c r="E39" s="794"/>
      <c r="F39" s="794"/>
      <c r="G39" s="794"/>
      <c r="H39" s="794"/>
      <c r="I39" s="795"/>
    </row>
  </sheetData>
  <sheetProtection algorithmName="SHA-512" hashValue="YrHRL7Al/OCzEG5GAow+2MPfiyMEJJUzGUURvsUWvpSfILi8whpETrxg89wSnw7u+1TlDiuFlwU8QafBgsQEhg==" saltValue="8/GTHQ3fppnU5KAKu+/4rg==" spinCount="100000" sheet="1" objects="1" scenarios="1"/>
  <sortState ref="B14:N21">
    <sortCondition ref="B14"/>
  </sortState>
  <mergeCells count="19">
    <mergeCell ref="A1:I1"/>
    <mergeCell ref="A8:I8"/>
    <mergeCell ref="A15:B15"/>
    <mergeCell ref="A13:I13"/>
    <mergeCell ref="A2:I2"/>
    <mergeCell ref="A5:I5"/>
    <mergeCell ref="A7:I7"/>
    <mergeCell ref="A9:I9"/>
    <mergeCell ref="A10:I10"/>
    <mergeCell ref="A11:I11"/>
    <mergeCell ref="A39:I39"/>
    <mergeCell ref="A6:I6"/>
    <mergeCell ref="G15:I15"/>
    <mergeCell ref="C15:E15"/>
    <mergeCell ref="A35:I35"/>
    <mergeCell ref="A36:I36"/>
    <mergeCell ref="D26:G26"/>
    <mergeCell ref="D28:G28"/>
    <mergeCell ref="D30:G30"/>
  </mergeCells>
  <printOptions horizontalCentered="1" verticalCentered="1"/>
  <pageMargins left="0.51181102362204722" right="0.51181102362204722" top="0.59055118110236227" bottom="0.39370078740157483" header="0.31496062992125984" footer="0.31496062992125984"/>
  <pageSetup paperSize="9" scale="47" orientation="portrait" r:id="rId1"/>
  <headerFooter>
    <oddFooter>&amp;A</oddFoot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16</vt:i4>
      </vt:variant>
      <vt:variant>
        <vt:lpstr>Intervalos nomeados</vt:lpstr>
      </vt:variant>
      <vt:variant>
        <vt:i4>16</vt:i4>
      </vt:variant>
    </vt:vector>
  </HeadingPairs>
  <TitlesOfParts>
    <vt:vector size="32" baseType="lpstr">
      <vt:lpstr>ORIENTAÇÕES</vt:lpstr>
      <vt:lpstr>RESUMO</vt:lpstr>
      <vt:lpstr>Áreas</vt:lpstr>
      <vt:lpstr>Produtividade</vt:lpstr>
      <vt:lpstr>Custo por m2</vt:lpstr>
      <vt:lpstr>Uniforme</vt:lpstr>
      <vt:lpstr>Mat Limpeza</vt:lpstr>
      <vt:lpstr>Mat Lavanderia</vt:lpstr>
      <vt:lpstr>Equipamentos</vt:lpstr>
      <vt:lpstr>EPI's e EPC's</vt:lpstr>
      <vt:lpstr>Servente</vt:lpstr>
      <vt:lpstr>Servente + I</vt:lpstr>
      <vt:lpstr>Lavandeira</vt:lpstr>
      <vt:lpstr>Motorista B</vt:lpstr>
      <vt:lpstr>Motorista D</vt:lpstr>
      <vt:lpstr>VALOR CONTRATO</vt:lpstr>
      <vt:lpstr>Áreas!Area_de_impressao</vt:lpstr>
      <vt:lpstr>'Custo por m2'!Area_de_impressao</vt:lpstr>
      <vt:lpstr>'EPI''s e EPC''s'!Area_de_impressao</vt:lpstr>
      <vt:lpstr>Equipamentos!Area_de_impressao</vt:lpstr>
      <vt:lpstr>Lavandeira!Area_de_impressao</vt:lpstr>
      <vt:lpstr>'Mat Lavanderia'!Area_de_impressao</vt:lpstr>
      <vt:lpstr>'Mat Limpeza'!Area_de_impressao</vt:lpstr>
      <vt:lpstr>'Motorista B'!Area_de_impressao</vt:lpstr>
      <vt:lpstr>'Motorista D'!Area_de_impressao</vt:lpstr>
      <vt:lpstr>ORIENTAÇÕES!Area_de_impressao</vt:lpstr>
      <vt:lpstr>Produtividade!Area_de_impressao</vt:lpstr>
      <vt:lpstr>RESUMO!Area_de_impressao</vt:lpstr>
      <vt:lpstr>Servente!Area_de_impressao</vt:lpstr>
      <vt:lpstr>'Servente + I'!Area_de_impressao</vt:lpstr>
      <vt:lpstr>Uniforme!Area_de_impressao</vt:lpstr>
      <vt:lpstr>'VALOR CONTRATO'!Area_de_impressao</vt:lpstr>
    </vt:vector>
  </TitlesOfParts>
  <Manager/>
  <Company>Hewlett-Packard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evania</dc:creator>
  <cp:keywords/>
  <dc:description/>
  <cp:lastModifiedBy>Francesca Estephania da Silva Cardoso</cp:lastModifiedBy>
  <cp:revision/>
  <dcterms:created xsi:type="dcterms:W3CDTF">2011-06-30T11:07:35Z</dcterms:created>
  <dcterms:modified xsi:type="dcterms:W3CDTF">2024-01-26T14:17:36Z</dcterms:modified>
  <cp:category/>
  <cp:contentStatus/>
</cp:coreProperties>
</file>