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cio.lopes\Documents\2019\SCC\Terceirização 2019\Edital\Para Publicação\Publicação 02-2020\"/>
    </mc:Choice>
  </mc:AlternateContent>
  <xr:revisionPtr revIDLastSave="0" documentId="13_ncr:1_{C81CDCEB-C51B-488B-9CC8-58EDF2ED493C}" xr6:coauthVersionLast="44" xr6:coauthVersionMax="44" xr10:uidLastSave="{00000000-0000-0000-0000-000000000000}"/>
  <bookViews>
    <workbookView xWindow="28680" yWindow="-120" windowWidth="21840" windowHeight="13740" firstSheet="1" activeTab="4" xr2:uid="{6EFA1D2C-8E68-4C01-A3DB-C761BE23C395}"/>
  </bookViews>
  <sheets>
    <sheet name="Resumo-Valor Mensal e Anual" sheetId="8" r:id="rId1"/>
    <sheet name="1 - Servente Sede" sheetId="2" r:id="rId2"/>
    <sheet name="2 - Copeira (o)" sheetId="1" r:id="rId3"/>
    <sheet name="3 - Encarregado" sheetId="12" r:id="rId4"/>
    <sheet name="4 - Servente Porto de SUAPE" sheetId="13" r:id="rId5"/>
    <sheet name="5 - Servente Aeroporto Recife" sheetId="15" r:id="rId6"/>
    <sheet name="6 - Servente Porto do Recife" sheetId="17" r:id="rId7"/>
    <sheet name="7 - Servente Petrolina" sheetId="19" r:id="rId8"/>
    <sheet name="8 - Servente Garanhuns" sheetId="22" r:id="rId9"/>
    <sheet name="9 - Motoristas" sheetId="23" r:id="rId10"/>
    <sheet name="10 - Recepcionista" sheetId="24" r:id="rId11"/>
    <sheet name="11 - Auxiliar Administrativo" sheetId="25" r:id="rId12"/>
    <sheet name="Memória de Cálculo" sheetId="3" r:id="rId13"/>
    <sheet name="Quantitativo de pessoal" sheetId="6" r:id="rId14"/>
    <sheet name="Valor do M² (IN 05) - Sede" sheetId="4" r:id="rId15"/>
    <sheet name="Valor Mensal Anual" sheetId="9" r:id="rId16"/>
    <sheet name="Insumos Sede" sheetId="11" r:id="rId17"/>
    <sheet name="Insumos Porto de Suape" sheetId="14" r:id="rId18"/>
    <sheet name="Insumos Aeroporto do Recife" sheetId="16" r:id="rId19"/>
    <sheet name="Insumos Porto do Recife" sheetId="18" r:id="rId20"/>
    <sheet name="Insumos Petrolina" sheetId="20" r:id="rId21"/>
    <sheet name="Insumos Garanhuns" sheetId="21" r:id="rId22"/>
  </sheets>
  <externalReferences>
    <externalReference r:id="rId23"/>
    <externalReference r:id="rId24"/>
    <externalReference r:id="rId25"/>
  </externalReferences>
  <definedNames>
    <definedName name="Excel_BuiltIn_Print_Area_2">"$#REF!.$A$1:$J$73"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5" i="3" l="1"/>
  <c r="H49" i="3"/>
  <c r="H27" i="3"/>
  <c r="H21" i="3"/>
  <c r="K104" i="25"/>
  <c r="K104" i="24"/>
  <c r="K104" i="23"/>
  <c r="K106" i="22"/>
  <c r="K105" i="22"/>
  <c r="K104" i="22"/>
  <c r="K106" i="19"/>
  <c r="K105" i="19"/>
  <c r="K104" i="19"/>
  <c r="K106" i="17"/>
  <c r="K105" i="17"/>
  <c r="K104" i="17"/>
  <c r="K106" i="15"/>
  <c r="K105" i="15"/>
  <c r="K104" i="15"/>
  <c r="K106" i="13"/>
  <c r="K105" i="13"/>
  <c r="K104" i="13"/>
  <c r="K108" i="13"/>
  <c r="K104" i="1" l="1"/>
  <c r="K106" i="2"/>
  <c r="K105" i="2"/>
  <c r="L77" i="2" l="1"/>
  <c r="K104" i="12"/>
  <c r="G92" i="11"/>
  <c r="G101" i="11" s="1"/>
  <c r="G93" i="11"/>
  <c r="G94" i="11"/>
  <c r="G95" i="11"/>
  <c r="G96" i="11"/>
  <c r="G97" i="11"/>
  <c r="G98" i="11"/>
  <c r="F101" i="11"/>
  <c r="F92" i="11"/>
  <c r="F93" i="11"/>
  <c r="F94" i="11"/>
  <c r="F95" i="11"/>
  <c r="F96" i="11"/>
  <c r="F97" i="11"/>
  <c r="F98" i="11"/>
  <c r="F99" i="11"/>
  <c r="F100" i="11"/>
  <c r="E93" i="11"/>
  <c r="E94" i="11"/>
  <c r="E95" i="11"/>
  <c r="E96" i="11"/>
  <c r="E97" i="11"/>
  <c r="E98" i="11"/>
  <c r="E99" i="11"/>
  <c r="E100" i="11"/>
  <c r="E92" i="11"/>
  <c r="D3" i="25" l="1"/>
  <c r="D3" i="24"/>
  <c r="D3" i="23"/>
  <c r="D3" i="22"/>
  <c r="D3" i="19"/>
  <c r="D3" i="17"/>
  <c r="D3" i="15"/>
  <c r="D3" i="13"/>
  <c r="D3" i="12"/>
  <c r="E36" i="11" l="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35" i="11"/>
  <c r="D4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K51" i="2"/>
  <c r="K51" i="25"/>
  <c r="K50" i="25"/>
  <c r="K51" i="24"/>
  <c r="K50" i="24"/>
  <c r="K51" i="23"/>
  <c r="K50" i="23"/>
  <c r="K51" i="22"/>
  <c r="K50" i="22"/>
  <c r="K51" i="19"/>
  <c r="K50" i="19"/>
  <c r="K51" i="17"/>
  <c r="K50" i="17"/>
  <c r="K24" i="15"/>
  <c r="K51" i="13"/>
  <c r="K50" i="13"/>
  <c r="K51" i="12"/>
  <c r="F64" i="11" l="1"/>
  <c r="K24" i="25" l="1"/>
  <c r="F37" i="16" l="1"/>
  <c r="F10" i="6" l="1"/>
  <c r="F11" i="6"/>
  <c r="H40" i="9"/>
  <c r="H52" i="9"/>
  <c r="H28" i="9"/>
  <c r="H16" i="9"/>
  <c r="G4" i="9"/>
  <c r="H4" i="9" s="1"/>
  <c r="H64" i="9"/>
  <c r="G15" i="4"/>
  <c r="B31" i="4" l="1"/>
  <c r="B30" i="4"/>
  <c r="B29" i="4"/>
  <c r="B28" i="4"/>
  <c r="G70" i="9"/>
  <c r="H69" i="9"/>
  <c r="G66" i="9"/>
  <c r="H66" i="9" s="1"/>
  <c r="G58" i="9"/>
  <c r="H58" i="9" s="1"/>
  <c r="G57" i="9"/>
  <c r="H57" i="9" s="1"/>
  <c r="G54" i="9"/>
  <c r="H54" i="9" s="1"/>
  <c r="G46" i="9"/>
  <c r="H45" i="9"/>
  <c r="G42" i="9"/>
  <c r="H42" i="9" s="1"/>
  <c r="G34" i="9"/>
  <c r="H34" i="9" s="1"/>
  <c r="H33" i="9"/>
  <c r="G30" i="9"/>
  <c r="H30" i="9" s="1"/>
  <c r="G22" i="9"/>
  <c r="H22" i="9" s="1"/>
  <c r="H21" i="9"/>
  <c r="G18" i="9"/>
  <c r="H18" i="9" s="1"/>
  <c r="R10" i="6"/>
  <c r="P10" i="6"/>
  <c r="N10" i="6"/>
  <c r="L10" i="6"/>
  <c r="J10" i="6"/>
  <c r="R11" i="6"/>
  <c r="P11" i="6"/>
  <c r="N11" i="6"/>
  <c r="L11" i="6"/>
  <c r="J11" i="6"/>
  <c r="G9" i="9"/>
  <c r="G10" i="9"/>
  <c r="F22" i="4"/>
  <c r="F21" i="4"/>
  <c r="D21" i="4"/>
  <c r="G21" i="4"/>
  <c r="D15" i="4"/>
  <c r="D9" i="4"/>
  <c r="D4" i="4"/>
  <c r="F16" i="4"/>
  <c r="K17" i="25"/>
  <c r="J138" i="25"/>
  <c r="I115" i="25"/>
  <c r="K95" i="25"/>
  <c r="K96" i="25" s="1"/>
  <c r="K100" i="25" s="1"/>
  <c r="M88" i="25"/>
  <c r="J88" i="25" s="1"/>
  <c r="L87" i="25"/>
  <c r="J87" i="25" s="1"/>
  <c r="L86" i="25"/>
  <c r="J86" i="25"/>
  <c r="L85" i="25"/>
  <c r="J85" i="25"/>
  <c r="L84" i="25"/>
  <c r="J84" i="25"/>
  <c r="L75" i="25"/>
  <c r="J75" i="25"/>
  <c r="L74" i="25"/>
  <c r="J74" i="25"/>
  <c r="L73" i="25"/>
  <c r="J73" i="25"/>
  <c r="L72" i="25"/>
  <c r="J72" i="25"/>
  <c r="K62" i="25"/>
  <c r="K68" i="25" s="1"/>
  <c r="J46" i="25"/>
  <c r="J40" i="25"/>
  <c r="J66" i="25" s="1"/>
  <c r="K26" i="25"/>
  <c r="J138" i="12"/>
  <c r="J138" i="1"/>
  <c r="K11" i="1"/>
  <c r="J138" i="23"/>
  <c r="J138" i="24"/>
  <c r="I115" i="24"/>
  <c r="K96" i="24"/>
  <c r="K100" i="24" s="1"/>
  <c r="K95" i="24"/>
  <c r="M88" i="24"/>
  <c r="J88" i="24" s="1"/>
  <c r="L87" i="24"/>
  <c r="J87" i="24" s="1"/>
  <c r="L86" i="24"/>
  <c r="J86" i="24"/>
  <c r="L85" i="24"/>
  <c r="J85" i="24" s="1"/>
  <c r="L84" i="24"/>
  <c r="J84" i="24" s="1"/>
  <c r="L75" i="24"/>
  <c r="J75" i="24"/>
  <c r="L74" i="24"/>
  <c r="J74" i="24" s="1"/>
  <c r="L73" i="24"/>
  <c r="J73" i="24" s="1"/>
  <c r="L72" i="24"/>
  <c r="J72" i="24"/>
  <c r="J52" i="24"/>
  <c r="J76" i="24" s="1"/>
  <c r="J46" i="24"/>
  <c r="J40" i="24"/>
  <c r="J66" i="24" s="1"/>
  <c r="K26" i="24"/>
  <c r="K24" i="24"/>
  <c r="I115" i="23"/>
  <c r="K95" i="23"/>
  <c r="K96" i="23" s="1"/>
  <c r="K100" i="23" s="1"/>
  <c r="M88" i="23"/>
  <c r="J88" i="23"/>
  <c r="L87" i="23"/>
  <c r="J87" i="23" s="1"/>
  <c r="L86" i="23"/>
  <c r="J86" i="23" s="1"/>
  <c r="L85" i="23"/>
  <c r="J85" i="23" s="1"/>
  <c r="L84" i="23"/>
  <c r="J84" i="23" s="1"/>
  <c r="L75" i="23"/>
  <c r="J75" i="23" s="1"/>
  <c r="L74" i="23"/>
  <c r="J74" i="23" s="1"/>
  <c r="L72" i="23"/>
  <c r="J72" i="23"/>
  <c r="L73" i="23" s="1"/>
  <c r="J73" i="23" s="1"/>
  <c r="J66" i="23"/>
  <c r="J46" i="23"/>
  <c r="J52" i="23" s="1"/>
  <c r="J40" i="23"/>
  <c r="K26" i="23"/>
  <c r="K24" i="23"/>
  <c r="I115" i="22"/>
  <c r="K95" i="22"/>
  <c r="K96" i="22" s="1"/>
  <c r="K100" i="22" s="1"/>
  <c r="M88" i="22"/>
  <c r="J88" i="22"/>
  <c r="L87" i="22"/>
  <c r="J87" i="22" s="1"/>
  <c r="L86" i="22"/>
  <c r="J86" i="22"/>
  <c r="L85" i="22"/>
  <c r="J85" i="22"/>
  <c r="L84" i="22"/>
  <c r="J84" i="22" s="1"/>
  <c r="L75" i="22"/>
  <c r="J75" i="22"/>
  <c r="L74" i="22"/>
  <c r="J74" i="22"/>
  <c r="L73" i="22"/>
  <c r="J73" i="22" s="1"/>
  <c r="L72" i="22"/>
  <c r="J72" i="22"/>
  <c r="K62" i="22"/>
  <c r="K68" i="22" s="1"/>
  <c r="J46" i="22"/>
  <c r="J52" i="22" s="1"/>
  <c r="J40" i="22"/>
  <c r="J66" i="22" s="1"/>
  <c r="K26" i="22"/>
  <c r="K24" i="22"/>
  <c r="K25" i="22" s="1"/>
  <c r="K11" i="22"/>
  <c r="F39" i="21"/>
  <c r="F38" i="21"/>
  <c r="F37" i="21"/>
  <c r="F36" i="21"/>
  <c r="F35" i="21"/>
  <c r="G35" i="21" s="1"/>
  <c r="B48" i="21" s="1"/>
  <c r="E67" i="21"/>
  <c r="E66" i="21"/>
  <c r="E65" i="21"/>
  <c r="E64" i="21"/>
  <c r="E63" i="21"/>
  <c r="E62" i="21"/>
  <c r="E61" i="21"/>
  <c r="E60" i="21"/>
  <c r="E59" i="21"/>
  <c r="B51" i="21"/>
  <c r="E40" i="21"/>
  <c r="D38" i="21"/>
  <c r="D37" i="21"/>
  <c r="D36" i="21"/>
  <c r="D35" i="21"/>
  <c r="E30" i="21"/>
  <c r="B47" i="21" s="1"/>
  <c r="D29" i="21"/>
  <c r="D28" i="21"/>
  <c r="D27" i="21"/>
  <c r="D26" i="21"/>
  <c r="D25" i="21"/>
  <c r="D24" i="21"/>
  <c r="D19" i="21"/>
  <c r="B46" i="21" s="1"/>
  <c r="C18" i="21"/>
  <c r="C17" i="21"/>
  <c r="C16" i="21"/>
  <c r="C15" i="21"/>
  <c r="C14" i="21"/>
  <c r="C13" i="21"/>
  <c r="C12" i="21"/>
  <c r="C11" i="21"/>
  <c r="C10" i="21"/>
  <c r="C9" i="21"/>
  <c r="C8" i="21"/>
  <c r="C7" i="21"/>
  <c r="C6" i="21"/>
  <c r="C4" i="21"/>
  <c r="C3" i="21"/>
  <c r="F39" i="20"/>
  <c r="F38" i="20"/>
  <c r="F37" i="20"/>
  <c r="F36" i="20"/>
  <c r="F35" i="20"/>
  <c r="C3" i="20"/>
  <c r="C4" i="20"/>
  <c r="C6" i="20"/>
  <c r="C7" i="20"/>
  <c r="C8" i="20"/>
  <c r="C9" i="20"/>
  <c r="C10" i="20"/>
  <c r="C11" i="20"/>
  <c r="C12" i="20"/>
  <c r="C13" i="20"/>
  <c r="C14" i="20"/>
  <c r="C15" i="20"/>
  <c r="C16" i="20"/>
  <c r="C17" i="20"/>
  <c r="C18" i="20"/>
  <c r="D19" i="20"/>
  <c r="B46" i="20" s="1"/>
  <c r="D24" i="20"/>
  <c r="D25" i="20"/>
  <c r="D26" i="20"/>
  <c r="D27" i="20"/>
  <c r="D28" i="20"/>
  <c r="D29" i="20"/>
  <c r="E30" i="20"/>
  <c r="B47" i="20" s="1"/>
  <c r="D35" i="20"/>
  <c r="D36" i="20"/>
  <c r="D37" i="20"/>
  <c r="D38" i="20"/>
  <c r="E40" i="20"/>
  <c r="B51" i="20"/>
  <c r="E59" i="20"/>
  <c r="E60" i="20"/>
  <c r="E61" i="20"/>
  <c r="E62" i="20"/>
  <c r="E63" i="20"/>
  <c r="E64" i="20"/>
  <c r="E65" i="20"/>
  <c r="E66" i="20"/>
  <c r="E67" i="20"/>
  <c r="I115" i="19"/>
  <c r="K95" i="19"/>
  <c r="K96" i="19" s="1"/>
  <c r="K100" i="19" s="1"/>
  <c r="M88" i="19"/>
  <c r="J88" i="19"/>
  <c r="L87" i="19"/>
  <c r="J87" i="19" s="1"/>
  <c r="L86" i="19"/>
  <c r="J86" i="19" s="1"/>
  <c r="L85" i="19"/>
  <c r="J85" i="19"/>
  <c r="L84" i="19"/>
  <c r="J84" i="19" s="1"/>
  <c r="L75" i="19"/>
  <c r="J75" i="19" s="1"/>
  <c r="L74" i="19"/>
  <c r="J74" i="19"/>
  <c r="L72" i="19"/>
  <c r="J72" i="19" s="1"/>
  <c r="J66" i="19"/>
  <c r="K62" i="19"/>
  <c r="K68" i="19" s="1"/>
  <c r="J46" i="19"/>
  <c r="J52" i="19" s="1"/>
  <c r="J40" i="19"/>
  <c r="K26" i="19"/>
  <c r="K24" i="19"/>
  <c r="K25" i="19" s="1"/>
  <c r="K11" i="19"/>
  <c r="F37" i="18"/>
  <c r="F38" i="18"/>
  <c r="F39" i="18"/>
  <c r="F36" i="18"/>
  <c r="F35" i="18"/>
  <c r="E67" i="18"/>
  <c r="E66" i="18"/>
  <c r="E65" i="18"/>
  <c r="E64" i="18"/>
  <c r="E63" i="18"/>
  <c r="E62" i="18"/>
  <c r="E61" i="18"/>
  <c r="E60" i="18"/>
  <c r="E59" i="18"/>
  <c r="B51" i="18"/>
  <c r="E40" i="18"/>
  <c r="D38" i="18"/>
  <c r="D37" i="18"/>
  <c r="D36" i="18"/>
  <c r="D35" i="18"/>
  <c r="E30" i="18"/>
  <c r="B47" i="18" s="1"/>
  <c r="D29" i="18"/>
  <c r="D28" i="18"/>
  <c r="D27" i="18"/>
  <c r="D25" i="18"/>
  <c r="D19" i="18"/>
  <c r="B46" i="18" s="1"/>
  <c r="I115" i="17"/>
  <c r="K95" i="17"/>
  <c r="K96" i="17" s="1"/>
  <c r="K100" i="17" s="1"/>
  <c r="M88" i="17"/>
  <c r="J88" i="17" s="1"/>
  <c r="L87" i="17"/>
  <c r="J87" i="17"/>
  <c r="L86" i="17"/>
  <c r="J86" i="17" s="1"/>
  <c r="L85" i="17"/>
  <c r="J85" i="17"/>
  <c r="L84" i="17"/>
  <c r="J84" i="17"/>
  <c r="L75" i="17"/>
  <c r="J75" i="17" s="1"/>
  <c r="L74" i="17"/>
  <c r="J74" i="17"/>
  <c r="L72" i="17"/>
  <c r="J72" i="17" s="1"/>
  <c r="J46" i="17"/>
  <c r="J52" i="17" s="1"/>
  <c r="J40" i="17"/>
  <c r="J66" i="17" s="1"/>
  <c r="K26" i="17"/>
  <c r="K25" i="17"/>
  <c r="K24" i="17"/>
  <c r="K11" i="17"/>
  <c r="F36" i="16"/>
  <c r="F35" i="16"/>
  <c r="E65" i="16"/>
  <c r="E64" i="16"/>
  <c r="E63" i="16"/>
  <c r="E62" i="16"/>
  <c r="E61" i="16"/>
  <c r="E60" i="16"/>
  <c r="E59" i="16"/>
  <c r="E58" i="16"/>
  <c r="E57" i="16"/>
  <c r="B49" i="16"/>
  <c r="E38" i="16"/>
  <c r="E30" i="16"/>
  <c r="B45" i="16" s="1"/>
  <c r="D19" i="16"/>
  <c r="B44" i="16" s="1"/>
  <c r="I115" i="15"/>
  <c r="K95" i="15"/>
  <c r="K96" i="15" s="1"/>
  <c r="K100" i="15" s="1"/>
  <c r="M88" i="15"/>
  <c r="J88" i="15" s="1"/>
  <c r="L87" i="15"/>
  <c r="J87" i="15"/>
  <c r="L86" i="15"/>
  <c r="J86" i="15" s="1"/>
  <c r="L85" i="15"/>
  <c r="J85" i="15"/>
  <c r="L84" i="15"/>
  <c r="J84" i="15"/>
  <c r="L75" i="15"/>
  <c r="J75" i="15" s="1"/>
  <c r="L74" i="15"/>
  <c r="J74" i="15" s="1"/>
  <c r="L72" i="15"/>
  <c r="J72" i="15" s="1"/>
  <c r="J67" i="15"/>
  <c r="J52" i="15"/>
  <c r="J46" i="15"/>
  <c r="J40" i="15"/>
  <c r="J66" i="15" s="1"/>
  <c r="K26" i="15"/>
  <c r="K25" i="15"/>
  <c r="K11" i="15"/>
  <c r="F40" i="14"/>
  <c r="F41" i="14"/>
  <c r="F42" i="14"/>
  <c r="F43" i="14"/>
  <c r="F39" i="14"/>
  <c r="F58" i="11"/>
  <c r="F59" i="11"/>
  <c r="F60" i="11"/>
  <c r="F61" i="11"/>
  <c r="F62" i="11"/>
  <c r="F63" i="11"/>
  <c r="F65" i="11"/>
  <c r="F66" i="11"/>
  <c r="F67" i="11"/>
  <c r="F68" i="11"/>
  <c r="F69" i="11"/>
  <c r="F70" i="11"/>
  <c r="F71" i="11"/>
  <c r="F72" i="11"/>
  <c r="F57" i="11"/>
  <c r="E71" i="14"/>
  <c r="E70" i="14"/>
  <c r="E69" i="14"/>
  <c r="E68" i="14"/>
  <c r="E67" i="14"/>
  <c r="E66" i="14"/>
  <c r="E65" i="14"/>
  <c r="E64" i="14"/>
  <c r="E63" i="14"/>
  <c r="B55" i="14"/>
  <c r="E44" i="14"/>
  <c r="E34" i="14"/>
  <c r="B51" i="14" s="1"/>
  <c r="D21" i="14"/>
  <c r="B50" i="14" s="1"/>
  <c r="I115" i="13"/>
  <c r="K100" i="13"/>
  <c r="K96" i="13"/>
  <c r="K95" i="13"/>
  <c r="M88" i="13"/>
  <c r="J88" i="13"/>
  <c r="L87" i="13"/>
  <c r="J87" i="13" s="1"/>
  <c r="L86" i="13"/>
  <c r="J86" i="13" s="1"/>
  <c r="L85" i="13"/>
  <c r="J85" i="13"/>
  <c r="L84" i="13"/>
  <c r="J84" i="13" s="1"/>
  <c r="L75" i="13"/>
  <c r="J75" i="13" s="1"/>
  <c r="L74" i="13"/>
  <c r="J74" i="13"/>
  <c r="L72" i="13"/>
  <c r="J72" i="13" s="1"/>
  <c r="J52" i="13"/>
  <c r="J76" i="13" s="1"/>
  <c r="J46" i="13"/>
  <c r="J40" i="13"/>
  <c r="J66" i="13" s="1"/>
  <c r="K26" i="13"/>
  <c r="K24" i="13"/>
  <c r="L84" i="12"/>
  <c r="L84" i="1"/>
  <c r="B14" i="3"/>
  <c r="H14" i="3"/>
  <c r="D14" i="3"/>
  <c r="F14" i="3"/>
  <c r="M88" i="2"/>
  <c r="L84" i="2"/>
  <c r="M88" i="12"/>
  <c r="M88" i="1"/>
  <c r="E68" i="21" l="1"/>
  <c r="E68" i="20"/>
  <c r="G35" i="20"/>
  <c r="B48" i="20" s="1"/>
  <c r="B54" i="20" s="1"/>
  <c r="E68" i="18"/>
  <c r="G35" i="18"/>
  <c r="B48" i="18" s="1"/>
  <c r="B54" i="18" s="1"/>
  <c r="E66" i="16"/>
  <c r="G35" i="16"/>
  <c r="B46" i="16" s="1"/>
  <c r="B52" i="16" s="1"/>
  <c r="E72" i="14"/>
  <c r="G39" i="14"/>
  <c r="B52" i="14" s="1"/>
  <c r="B58" i="14" s="1"/>
  <c r="G57" i="11"/>
  <c r="B81" i="11" s="1"/>
  <c r="K33" i="19"/>
  <c r="K90" i="19" s="1"/>
  <c r="K86" i="19"/>
  <c r="K33" i="17"/>
  <c r="B54" i="21"/>
  <c r="B52" i="21"/>
  <c r="B53" i="21"/>
  <c r="B51" i="16"/>
  <c r="B50" i="16"/>
  <c r="B56" i="14"/>
  <c r="B52" i="18"/>
  <c r="B52" i="20"/>
  <c r="H46" i="9"/>
  <c r="H70" i="9"/>
  <c r="H9" i="9"/>
  <c r="H10" i="9"/>
  <c r="J52" i="25"/>
  <c r="J90" i="25" s="1"/>
  <c r="J91" i="25" s="1"/>
  <c r="K25" i="25"/>
  <c r="K33" i="25" s="1"/>
  <c r="L76" i="25"/>
  <c r="L77" i="25"/>
  <c r="J77" i="25" s="1"/>
  <c r="J90" i="24"/>
  <c r="J91" i="24" s="1"/>
  <c r="K25" i="24"/>
  <c r="K33" i="24" s="1"/>
  <c r="L76" i="24"/>
  <c r="K62" i="24"/>
  <c r="K68" i="24" s="1"/>
  <c r="L77" i="24"/>
  <c r="J77" i="24" s="1"/>
  <c r="J67" i="24"/>
  <c r="K62" i="23"/>
  <c r="K68" i="23" s="1"/>
  <c r="K25" i="23"/>
  <c r="K33" i="23" s="1"/>
  <c r="K88" i="23" s="1"/>
  <c r="L76" i="23"/>
  <c r="L77" i="23"/>
  <c r="J77" i="23" s="1"/>
  <c r="J76" i="23"/>
  <c r="J67" i="23"/>
  <c r="J91" i="23"/>
  <c r="J90" i="23"/>
  <c r="J76" i="22"/>
  <c r="J67" i="22"/>
  <c r="L76" i="22"/>
  <c r="J90" i="22"/>
  <c r="J91" i="22" s="1"/>
  <c r="K33" i="22"/>
  <c r="K86" i="22" s="1"/>
  <c r="L77" i="22"/>
  <c r="J77" i="22" s="1"/>
  <c r="B53" i="20"/>
  <c r="K85" i="19"/>
  <c r="K74" i="19"/>
  <c r="K89" i="19"/>
  <c r="K39" i="19"/>
  <c r="K108" i="19"/>
  <c r="K127" i="19"/>
  <c r="L73" i="19"/>
  <c r="J73" i="19" s="1"/>
  <c r="K73" i="19" s="1"/>
  <c r="K72" i="19"/>
  <c r="K88" i="19"/>
  <c r="L76" i="19"/>
  <c r="K75" i="19"/>
  <c r="L77" i="19"/>
  <c r="J77" i="19" s="1"/>
  <c r="J76" i="19"/>
  <c r="K76" i="19" s="1"/>
  <c r="J67" i="19"/>
  <c r="J91" i="19"/>
  <c r="J90" i="19"/>
  <c r="B53" i="18"/>
  <c r="L76" i="17"/>
  <c r="K75" i="17"/>
  <c r="L77" i="17"/>
  <c r="J77" i="17" s="1"/>
  <c r="K88" i="17"/>
  <c r="K76" i="17"/>
  <c r="K89" i="17"/>
  <c r="K39" i="17"/>
  <c r="K38" i="17"/>
  <c r="K127" i="17"/>
  <c r="K84" i="17"/>
  <c r="K108" i="17"/>
  <c r="K85" i="17"/>
  <c r="J67" i="17"/>
  <c r="J76" i="17"/>
  <c r="L73" i="17"/>
  <c r="J73" i="17" s="1"/>
  <c r="K73" i="17" s="1"/>
  <c r="K72" i="17"/>
  <c r="K86" i="17"/>
  <c r="K74" i="17"/>
  <c r="K87" i="17"/>
  <c r="K62" i="17"/>
  <c r="K68" i="17" s="1"/>
  <c r="J90" i="17"/>
  <c r="J91" i="17" s="1"/>
  <c r="L76" i="15"/>
  <c r="J76" i="15"/>
  <c r="L77" i="15"/>
  <c r="J77" i="15" s="1"/>
  <c r="L73" i="15"/>
  <c r="J73" i="15" s="1"/>
  <c r="K62" i="15"/>
  <c r="K68" i="15" s="1"/>
  <c r="K33" i="15"/>
  <c r="J90" i="15"/>
  <c r="J91" i="15" s="1"/>
  <c r="B57" i="14"/>
  <c r="L76" i="13"/>
  <c r="L77" i="13"/>
  <c r="J77" i="13" s="1"/>
  <c r="J90" i="13"/>
  <c r="J91" i="13"/>
  <c r="L73" i="13"/>
  <c r="J73" i="13" s="1"/>
  <c r="K25" i="13"/>
  <c r="K33" i="13" s="1"/>
  <c r="K62" i="13"/>
  <c r="K68" i="13" s="1"/>
  <c r="J67" i="13"/>
  <c r="K84" i="22" l="1"/>
  <c r="K75" i="22"/>
  <c r="K38" i="19"/>
  <c r="K40" i="19" s="1"/>
  <c r="K66" i="19" s="1"/>
  <c r="K84" i="19"/>
  <c r="K87" i="19"/>
  <c r="K40" i="17"/>
  <c r="K66" i="17" s="1"/>
  <c r="K72" i="15"/>
  <c r="K86" i="15"/>
  <c r="K74" i="15"/>
  <c r="K86" i="13"/>
  <c r="K74" i="13"/>
  <c r="K73" i="13"/>
  <c r="K109" i="17"/>
  <c r="K131" i="17" s="1"/>
  <c r="K109" i="19"/>
  <c r="K131" i="19" s="1"/>
  <c r="K87" i="25"/>
  <c r="K88" i="25"/>
  <c r="K73" i="25"/>
  <c r="K86" i="25"/>
  <c r="K90" i="25"/>
  <c r="K72" i="25"/>
  <c r="K38" i="25"/>
  <c r="K89" i="25"/>
  <c r="K39" i="25"/>
  <c r="K85" i="25"/>
  <c r="K74" i="25"/>
  <c r="K127" i="25"/>
  <c r="K108" i="25"/>
  <c r="K109" i="25" s="1"/>
  <c r="K131" i="25" s="1"/>
  <c r="K76" i="25"/>
  <c r="K84" i="25"/>
  <c r="K75" i="25"/>
  <c r="J76" i="25"/>
  <c r="J67" i="25"/>
  <c r="K90" i="24"/>
  <c r="K89" i="24"/>
  <c r="K39" i="24"/>
  <c r="K76" i="24"/>
  <c r="K38" i="24"/>
  <c r="K108" i="24"/>
  <c r="K109" i="24" s="1"/>
  <c r="K131" i="24" s="1"/>
  <c r="K127" i="24"/>
  <c r="K73" i="24"/>
  <c r="K74" i="24"/>
  <c r="K85" i="24"/>
  <c r="K88" i="24"/>
  <c r="K86" i="24"/>
  <c r="K72" i="24"/>
  <c r="K75" i="24"/>
  <c r="K87" i="24"/>
  <c r="K84" i="24"/>
  <c r="K73" i="23"/>
  <c r="K90" i="23"/>
  <c r="K127" i="23"/>
  <c r="K84" i="23"/>
  <c r="K38" i="23"/>
  <c r="K75" i="23"/>
  <c r="K72" i="23"/>
  <c r="K39" i="23"/>
  <c r="K89" i="23"/>
  <c r="K76" i="23"/>
  <c r="K87" i="23"/>
  <c r="K86" i="23"/>
  <c r="K74" i="23"/>
  <c r="K85" i="23"/>
  <c r="K108" i="23"/>
  <c r="K109" i="23" s="1"/>
  <c r="K131" i="23" s="1"/>
  <c r="K76" i="22"/>
  <c r="K74" i="22"/>
  <c r="K90" i="22"/>
  <c r="K85" i="22"/>
  <c r="K89" i="22"/>
  <c r="K39" i="22"/>
  <c r="K72" i="22"/>
  <c r="K38" i="22"/>
  <c r="K108" i="22"/>
  <c r="K127" i="22"/>
  <c r="K88" i="22"/>
  <c r="K87" i="22"/>
  <c r="K73" i="22"/>
  <c r="K44" i="19"/>
  <c r="K91" i="19"/>
  <c r="K99" i="19" s="1"/>
  <c r="K101" i="19" s="1"/>
  <c r="K130" i="19" s="1"/>
  <c r="K45" i="19"/>
  <c r="K45" i="17"/>
  <c r="K90" i="17"/>
  <c r="K91" i="17" s="1"/>
  <c r="K99" i="17" s="1"/>
  <c r="K101" i="17" s="1"/>
  <c r="K130" i="17" s="1"/>
  <c r="K48" i="17"/>
  <c r="K77" i="17"/>
  <c r="K78" i="17" s="1"/>
  <c r="K129" i="17" s="1"/>
  <c r="K76" i="15"/>
  <c r="K84" i="15"/>
  <c r="K89" i="15"/>
  <c r="K39" i="15"/>
  <c r="K90" i="15"/>
  <c r="K38" i="15"/>
  <c r="K127" i="15"/>
  <c r="K108" i="15"/>
  <c r="K87" i="15"/>
  <c r="K88" i="15"/>
  <c r="K73" i="15"/>
  <c r="K75" i="15"/>
  <c r="K85" i="15"/>
  <c r="K76" i="13"/>
  <c r="K90" i="13"/>
  <c r="K89" i="13"/>
  <c r="K39" i="13"/>
  <c r="K38" i="13"/>
  <c r="K127" i="13"/>
  <c r="K88" i="13"/>
  <c r="K87" i="13"/>
  <c r="K84" i="13"/>
  <c r="K72" i="13"/>
  <c r="K85" i="13"/>
  <c r="K75" i="13"/>
  <c r="K40" i="22" l="1"/>
  <c r="K47" i="22" s="1"/>
  <c r="K91" i="22"/>
  <c r="K99" i="22" s="1"/>
  <c r="K101" i="22" s="1"/>
  <c r="K130" i="22" s="1"/>
  <c r="K47" i="19"/>
  <c r="K52" i="19" s="1"/>
  <c r="K67" i="19" s="1"/>
  <c r="K69" i="19" s="1"/>
  <c r="K128" i="19" s="1"/>
  <c r="K132" i="19" s="1"/>
  <c r="K112" i="19" s="1"/>
  <c r="K46" i="19"/>
  <c r="K49" i="19"/>
  <c r="K77" i="19"/>
  <c r="K78" i="19" s="1"/>
  <c r="K129" i="19" s="1"/>
  <c r="K48" i="19"/>
  <c r="K47" i="17"/>
  <c r="K44" i="17"/>
  <c r="K52" i="17" s="1"/>
  <c r="K67" i="17" s="1"/>
  <c r="K69" i="17" s="1"/>
  <c r="K128" i="17" s="1"/>
  <c r="K132" i="17" s="1"/>
  <c r="K46" i="17"/>
  <c r="K49" i="17"/>
  <c r="K109" i="22"/>
  <c r="K131" i="22" s="1"/>
  <c r="K109" i="15"/>
  <c r="K131" i="15" s="1"/>
  <c r="K91" i="25"/>
  <c r="K99" i="25" s="1"/>
  <c r="K101" i="25" s="1"/>
  <c r="K130" i="25" s="1"/>
  <c r="K40" i="25"/>
  <c r="K91" i="24"/>
  <c r="K99" i="24" s="1"/>
  <c r="K101" i="24" s="1"/>
  <c r="K130" i="24" s="1"/>
  <c r="K40" i="24"/>
  <c r="K40" i="23"/>
  <c r="K77" i="23" s="1"/>
  <c r="K78" i="23" s="1"/>
  <c r="K129" i="23" s="1"/>
  <c r="K91" i="23"/>
  <c r="K99" i="23" s="1"/>
  <c r="K101" i="23" s="1"/>
  <c r="K130" i="23" s="1"/>
  <c r="K45" i="22"/>
  <c r="K49" i="22"/>
  <c r="K40" i="15"/>
  <c r="K91" i="15"/>
  <c r="K99" i="15" s="1"/>
  <c r="K101" i="15" s="1"/>
  <c r="K130" i="15" s="1"/>
  <c r="K91" i="13"/>
  <c r="K99" i="13" s="1"/>
  <c r="K101" i="13" s="1"/>
  <c r="K130" i="13" s="1"/>
  <c r="K40" i="13"/>
  <c r="K48" i="22" l="1"/>
  <c r="K44" i="22"/>
  <c r="K46" i="22"/>
  <c r="K66" i="22"/>
  <c r="K77" i="22"/>
  <c r="K78" i="22" s="1"/>
  <c r="K129" i="22" s="1"/>
  <c r="K51" i="15"/>
  <c r="K50" i="15"/>
  <c r="K66" i="25"/>
  <c r="K46" i="25"/>
  <c r="K77" i="25"/>
  <c r="K78" i="25" s="1"/>
  <c r="K129" i="25" s="1"/>
  <c r="K44" i="25"/>
  <c r="K49" i="25"/>
  <c r="K45" i="25"/>
  <c r="K47" i="25"/>
  <c r="K48" i="25"/>
  <c r="K66" i="24"/>
  <c r="K47" i="24"/>
  <c r="K46" i="24"/>
  <c r="K49" i="24"/>
  <c r="K77" i="24"/>
  <c r="K78" i="24" s="1"/>
  <c r="K129" i="24" s="1"/>
  <c r="K44" i="24"/>
  <c r="K52" i="24" s="1"/>
  <c r="K67" i="24" s="1"/>
  <c r="K48" i="24"/>
  <c r="K45" i="24"/>
  <c r="K49" i="23"/>
  <c r="K44" i="23"/>
  <c r="K46" i="23"/>
  <c r="K48" i="23"/>
  <c r="K45" i="23"/>
  <c r="K47" i="23"/>
  <c r="K66" i="23"/>
  <c r="K52" i="22"/>
  <c r="K67" i="22" s="1"/>
  <c r="K113" i="19"/>
  <c r="K117" i="19" s="1"/>
  <c r="K112" i="17"/>
  <c r="K66" i="15"/>
  <c r="K45" i="15"/>
  <c r="K77" i="15"/>
  <c r="K78" i="15" s="1"/>
  <c r="K129" i="15" s="1"/>
  <c r="K44" i="15"/>
  <c r="K47" i="15"/>
  <c r="K49" i="15"/>
  <c r="K46" i="15"/>
  <c r="K48" i="15"/>
  <c r="K66" i="13"/>
  <c r="K47" i="13"/>
  <c r="K77" i="13"/>
  <c r="K78" i="13" s="1"/>
  <c r="K129" i="13" s="1"/>
  <c r="K44" i="13"/>
  <c r="K46" i="13"/>
  <c r="K45" i="13"/>
  <c r="K49" i="13"/>
  <c r="K48" i="13"/>
  <c r="K52" i="23" l="1"/>
  <c r="K67" i="23" s="1"/>
  <c r="K69" i="23" s="1"/>
  <c r="K128" i="23" s="1"/>
  <c r="K132" i="23" s="1"/>
  <c r="K112" i="23" s="1"/>
  <c r="K69" i="22"/>
  <c r="K128" i="22" s="1"/>
  <c r="K132" i="22" s="1"/>
  <c r="K112" i="22" s="1"/>
  <c r="K52" i="13"/>
  <c r="K67" i="13" s="1"/>
  <c r="K69" i="13" s="1"/>
  <c r="K128" i="13" s="1"/>
  <c r="K52" i="25"/>
  <c r="K67" i="25" s="1"/>
  <c r="K69" i="25" s="1"/>
  <c r="K128" i="25" s="1"/>
  <c r="K132" i="25" s="1"/>
  <c r="K69" i="24"/>
  <c r="K128" i="24" s="1"/>
  <c r="K132" i="24" s="1"/>
  <c r="K116" i="19"/>
  <c r="K115" i="19"/>
  <c r="K113" i="17"/>
  <c r="K115" i="17" s="1"/>
  <c r="K52" i="15"/>
  <c r="K67" i="15" s="1"/>
  <c r="K69" i="15" s="1"/>
  <c r="K128" i="15" s="1"/>
  <c r="K132" i="15" s="1"/>
  <c r="K112" i="25" l="1"/>
  <c r="K112" i="24"/>
  <c r="K113" i="23"/>
  <c r="K117" i="23" s="1"/>
  <c r="K113" i="22"/>
  <c r="K118" i="19"/>
  <c r="K133" i="19" s="1"/>
  <c r="K134" i="19" s="1"/>
  <c r="K117" i="17"/>
  <c r="K116" i="17"/>
  <c r="K112" i="15"/>
  <c r="K118" i="17" l="1"/>
  <c r="K133" i="17" s="1"/>
  <c r="K134" i="17" s="1"/>
  <c r="L141" i="19"/>
  <c r="H31" i="4"/>
  <c r="I58" i="9" s="1"/>
  <c r="J58" i="9" s="1"/>
  <c r="K58" i="9" s="1"/>
  <c r="H30" i="4"/>
  <c r="I57" i="9" s="1"/>
  <c r="H29" i="4"/>
  <c r="I54" i="9" s="1"/>
  <c r="J54" i="9" s="1"/>
  <c r="H28" i="4"/>
  <c r="I52" i="9" s="1"/>
  <c r="D30" i="4"/>
  <c r="I45" i="9" s="1"/>
  <c r="D31" i="4"/>
  <c r="I46" i="9" s="1"/>
  <c r="J46" i="9" s="1"/>
  <c r="K46" i="9" s="1"/>
  <c r="D29" i="4"/>
  <c r="I42" i="9" s="1"/>
  <c r="J42" i="9" s="1"/>
  <c r="D28" i="4"/>
  <c r="I40" i="9" s="1"/>
  <c r="K113" i="25"/>
  <c r="K113" i="24"/>
  <c r="K116" i="24" s="1"/>
  <c r="K115" i="23"/>
  <c r="K116" i="23"/>
  <c r="K116" i="22"/>
  <c r="K117" i="22"/>
  <c r="K115" i="22"/>
  <c r="D138" i="19"/>
  <c r="H138" i="19" s="1"/>
  <c r="D138" i="17"/>
  <c r="H138" i="17" s="1"/>
  <c r="L141" i="17"/>
  <c r="K113" i="15"/>
  <c r="K116" i="15" s="1"/>
  <c r="J45" i="9" l="1"/>
  <c r="K45" i="9" s="1"/>
  <c r="J52" i="9"/>
  <c r="K52" i="9" s="1"/>
  <c r="J57" i="9"/>
  <c r="K57" i="9" s="1"/>
  <c r="J40" i="9"/>
  <c r="K40" i="9" s="1"/>
  <c r="K54" i="9"/>
  <c r="H32" i="4"/>
  <c r="K42" i="9"/>
  <c r="D32" i="4"/>
  <c r="K116" i="25"/>
  <c r="K117" i="25"/>
  <c r="K115" i="25"/>
  <c r="K117" i="24"/>
  <c r="K115" i="24"/>
  <c r="K118" i="23"/>
  <c r="K133" i="23" s="1"/>
  <c r="K134" i="23" s="1"/>
  <c r="D138" i="23" s="1"/>
  <c r="H138" i="23" s="1"/>
  <c r="K138" i="23" s="1"/>
  <c r="K139" i="23" s="1"/>
  <c r="K118" i="22"/>
  <c r="K133" i="22" s="1"/>
  <c r="K134" i="22" s="1"/>
  <c r="K117" i="15"/>
  <c r="K115" i="15"/>
  <c r="K118" i="15" l="1"/>
  <c r="K133" i="15" s="1"/>
  <c r="K134" i="15" s="1"/>
  <c r="E29" i="4" s="1"/>
  <c r="I30" i="9" s="1"/>
  <c r="J30" i="9" s="1"/>
  <c r="J47" i="9"/>
  <c r="K47" i="9" s="1"/>
  <c r="J59" i="9"/>
  <c r="K59" i="9" s="1"/>
  <c r="K118" i="24"/>
  <c r="K133" i="24" s="1"/>
  <c r="K134" i="24" s="1"/>
  <c r="L141" i="24" s="1"/>
  <c r="L141" i="22"/>
  <c r="G31" i="4"/>
  <c r="I70" i="9" s="1"/>
  <c r="J70" i="9" s="1"/>
  <c r="K70" i="9" s="1"/>
  <c r="G30" i="4"/>
  <c r="I69" i="9" s="1"/>
  <c r="J69" i="9" s="1"/>
  <c r="K69" i="9" s="1"/>
  <c r="G29" i="4"/>
  <c r="I66" i="9" s="1"/>
  <c r="J66" i="9" s="1"/>
  <c r="G28" i="4"/>
  <c r="I64" i="9" s="1"/>
  <c r="K140" i="23"/>
  <c r="F9" i="8"/>
  <c r="K118" i="25"/>
  <c r="K133" i="25" s="1"/>
  <c r="K134" i="25" s="1"/>
  <c r="L141" i="25" s="1"/>
  <c r="L141" i="23"/>
  <c r="D138" i="22"/>
  <c r="H138" i="22" s="1"/>
  <c r="E31" i="4" l="1"/>
  <c r="I34" i="9" s="1"/>
  <c r="J34" i="9" s="1"/>
  <c r="K34" i="9" s="1"/>
  <c r="E30" i="4"/>
  <c r="I33" i="9" s="1"/>
  <c r="J33" i="9" s="1"/>
  <c r="K33" i="9" s="1"/>
  <c r="E28" i="4"/>
  <c r="I28" i="9" s="1"/>
  <c r="J28" i="9" s="1"/>
  <c r="K28" i="9" s="1"/>
  <c r="D138" i="15"/>
  <c r="H138" i="15" s="1"/>
  <c r="L141" i="15"/>
  <c r="J64" i="9"/>
  <c r="K64" i="9" s="1"/>
  <c r="D138" i="24"/>
  <c r="H138" i="24" s="1"/>
  <c r="K138" i="24" s="1"/>
  <c r="K139" i="24" s="1"/>
  <c r="K140" i="24" s="1"/>
  <c r="G32" i="4"/>
  <c r="K66" i="9"/>
  <c r="K30" i="9"/>
  <c r="D138" i="25"/>
  <c r="H138" i="25" s="1"/>
  <c r="K138" i="25" s="1"/>
  <c r="K139" i="25" s="1"/>
  <c r="J71" i="9" l="1"/>
  <c r="K71" i="9" s="1"/>
  <c r="E32" i="4"/>
  <c r="J35" i="9"/>
  <c r="K35" i="9" s="1"/>
  <c r="F10" i="8"/>
  <c r="K140" i="25"/>
  <c r="F11" i="8"/>
  <c r="I9" i="12" l="1"/>
  <c r="I93" i="11"/>
  <c r="I94" i="11"/>
  <c r="I95" i="11"/>
  <c r="I97" i="11"/>
  <c r="I92" i="11"/>
  <c r="I101" i="11" l="1"/>
  <c r="L85" i="12"/>
  <c r="J85" i="12" s="1"/>
  <c r="L85" i="1"/>
  <c r="L85" i="2"/>
  <c r="L86" i="1"/>
  <c r="J76" i="1"/>
  <c r="L77" i="1"/>
  <c r="L76" i="1"/>
  <c r="L74" i="1"/>
  <c r="J46" i="1"/>
  <c r="J52" i="1" s="1"/>
  <c r="K24" i="1"/>
  <c r="K62" i="1" s="1"/>
  <c r="K68" i="1" s="1"/>
  <c r="F7" i="1"/>
  <c r="D3" i="1"/>
  <c r="D2" i="1"/>
  <c r="I115" i="12"/>
  <c r="J88" i="12"/>
  <c r="L87" i="12"/>
  <c r="J87" i="12" s="1"/>
  <c r="L86" i="12"/>
  <c r="J86" i="12"/>
  <c r="J84" i="12"/>
  <c r="L75" i="12"/>
  <c r="J75" i="12"/>
  <c r="L74" i="12"/>
  <c r="J74" i="12" s="1"/>
  <c r="L72" i="12"/>
  <c r="J72" i="12"/>
  <c r="L73" i="12" s="1"/>
  <c r="J73" i="12" s="1"/>
  <c r="J46" i="12"/>
  <c r="J52" i="12" s="1"/>
  <c r="J40" i="12"/>
  <c r="J66" i="12" s="1"/>
  <c r="K26" i="12"/>
  <c r="K24" i="12"/>
  <c r="K62" i="12" s="1"/>
  <c r="K68" i="12" s="1"/>
  <c r="E73" i="11"/>
  <c r="E52" i="11"/>
  <c r="B80" i="11" s="1"/>
  <c r="D3" i="11"/>
  <c r="D30" i="11" s="1"/>
  <c r="B79" i="11" s="1"/>
  <c r="L74" i="2"/>
  <c r="L76" i="2"/>
  <c r="J76" i="2"/>
  <c r="J67" i="2"/>
  <c r="J46" i="2"/>
  <c r="K24" i="2"/>
  <c r="Q13" i="6"/>
  <c r="O13" i="6"/>
  <c r="M13" i="6"/>
  <c r="K13" i="6"/>
  <c r="I13" i="6"/>
  <c r="D13" i="6"/>
  <c r="J12" i="6"/>
  <c r="L12" i="6"/>
  <c r="N12" i="6"/>
  <c r="P12" i="6"/>
  <c r="R12" i="6"/>
  <c r="F12" i="6"/>
  <c r="R6" i="6"/>
  <c r="R5" i="6"/>
  <c r="R7" i="6"/>
  <c r="P6" i="6"/>
  <c r="P5" i="6"/>
  <c r="P7" i="6"/>
  <c r="N6" i="6"/>
  <c r="N5" i="6"/>
  <c r="N7" i="6"/>
  <c r="L6" i="6"/>
  <c r="L5" i="6"/>
  <c r="L7" i="6"/>
  <c r="K25" i="12" l="1"/>
  <c r="K33" i="12" s="1"/>
  <c r="K11" i="2"/>
  <c r="K11" i="13"/>
  <c r="E101" i="11"/>
  <c r="R13" i="6"/>
  <c r="R14" i="6" s="1"/>
  <c r="J138" i="19" s="1"/>
  <c r="K138" i="19" s="1"/>
  <c r="K139" i="19" s="1"/>
  <c r="K140" i="19" s="1"/>
  <c r="N13" i="6"/>
  <c r="N14" i="6" s="1"/>
  <c r="J138" i="13" s="1"/>
  <c r="L13" i="6"/>
  <c r="P13" i="6"/>
  <c r="P14" i="6" s="1"/>
  <c r="J138" i="22" s="1"/>
  <c r="K138" i="22" s="1"/>
  <c r="K139" i="22" s="1"/>
  <c r="K140" i="22" s="1"/>
  <c r="L76" i="12"/>
  <c r="J76" i="12"/>
  <c r="J67" i="12"/>
  <c r="J90" i="12"/>
  <c r="L77" i="12"/>
  <c r="J77" i="12" s="1"/>
  <c r="K87" i="12" l="1"/>
  <c r="K75" i="12"/>
  <c r="K89" i="12"/>
  <c r="K39" i="12"/>
  <c r="K86" i="12"/>
  <c r="K88" i="12"/>
  <c r="K84" i="12"/>
  <c r="K91" i="12" s="1"/>
  <c r="K99" i="12" s="1"/>
  <c r="K73" i="12"/>
  <c r="K74" i="12"/>
  <c r="K85" i="12"/>
  <c r="K108" i="12"/>
  <c r="K127" i="12"/>
  <c r="K72" i="12"/>
  <c r="K38" i="12"/>
  <c r="K90" i="12"/>
  <c r="K76" i="12"/>
  <c r="J91" i="12"/>
  <c r="K95" i="12"/>
  <c r="K96" i="12" s="1"/>
  <c r="K100" i="12" s="1"/>
  <c r="K40" i="12" l="1"/>
  <c r="K66" i="12" s="1"/>
  <c r="K101" i="12"/>
  <c r="K130" i="12" s="1"/>
  <c r="K48" i="12" l="1"/>
  <c r="K46" i="12"/>
  <c r="K77" i="12"/>
  <c r="K78" i="12" s="1"/>
  <c r="K129" i="12" s="1"/>
  <c r="K47" i="12"/>
  <c r="K49" i="12"/>
  <c r="K45" i="12"/>
  <c r="K50" i="12"/>
  <c r="K44" i="12"/>
  <c r="K52" i="12" s="1"/>
  <c r="K67" i="12" s="1"/>
  <c r="K69" i="12" s="1"/>
  <c r="K128" i="12" s="1"/>
  <c r="J6" i="6"/>
  <c r="J5" i="6"/>
  <c r="J7" i="6"/>
  <c r="G6" i="9" l="1"/>
  <c r="J13" i="6"/>
  <c r="J14" i="6" s="1"/>
  <c r="J138" i="17" s="1"/>
  <c r="K138" i="17" s="1"/>
  <c r="K139" i="17" s="1"/>
  <c r="K140" i="17" s="1"/>
  <c r="L14" i="6"/>
  <c r="J138" i="15" s="1"/>
  <c r="K138" i="15" s="1"/>
  <c r="K139" i="15" s="1"/>
  <c r="K140" i="15" s="1"/>
  <c r="H6" i="9" l="1"/>
  <c r="G11" i="8" l="1"/>
  <c r="G10" i="8"/>
  <c r="G9" i="8"/>
  <c r="F6" i="6"/>
  <c r="F5" i="6"/>
  <c r="F7" i="6"/>
  <c r="F15" i="4"/>
  <c r="F69" i="3"/>
  <c r="I69" i="3" s="1"/>
  <c r="F67" i="3"/>
  <c r="I67" i="3" s="1"/>
  <c r="F65" i="3"/>
  <c r="I63" i="3"/>
  <c r="I61" i="3"/>
  <c r="I59" i="3"/>
  <c r="H53" i="3"/>
  <c r="H45" i="3"/>
  <c r="H47" i="3" s="1"/>
  <c r="I39" i="3"/>
  <c r="I37" i="3"/>
  <c r="I35" i="3"/>
  <c r="I33" i="3"/>
  <c r="I31" i="3"/>
  <c r="H25" i="3"/>
  <c r="H17" i="3"/>
  <c r="H19" i="3" s="1"/>
  <c r="G8" i="3"/>
  <c r="B5" i="3"/>
  <c r="H5" i="3" s="1"/>
  <c r="I115" i="2"/>
  <c r="J88" i="2"/>
  <c r="L87" i="2"/>
  <c r="J87" i="2" s="1"/>
  <c r="L86" i="2"/>
  <c r="J86" i="2" s="1"/>
  <c r="J85" i="2"/>
  <c r="J84" i="2"/>
  <c r="L75" i="2"/>
  <c r="J75" i="2" s="1"/>
  <c r="J74" i="2"/>
  <c r="L72" i="2"/>
  <c r="J72" i="2" s="1"/>
  <c r="L73" i="2" s="1"/>
  <c r="J73" i="2" s="1"/>
  <c r="K62" i="2"/>
  <c r="K68" i="2" s="1"/>
  <c r="J52" i="2"/>
  <c r="J40" i="2"/>
  <c r="J66" i="2" s="1"/>
  <c r="K26" i="2"/>
  <c r="K25" i="2"/>
  <c r="I115" i="1"/>
  <c r="J88" i="1"/>
  <c r="L87" i="1"/>
  <c r="J87" i="1" s="1"/>
  <c r="J86" i="1"/>
  <c r="J85" i="1"/>
  <c r="J84" i="1"/>
  <c r="L75" i="1"/>
  <c r="J75" i="1"/>
  <c r="J74" i="1"/>
  <c r="L72" i="1"/>
  <c r="J72" i="1"/>
  <c r="L73" i="1" s="1"/>
  <c r="J73" i="1" s="1"/>
  <c r="J66" i="1"/>
  <c r="J40" i="1"/>
  <c r="K25" i="1"/>
  <c r="K33" i="1" s="1"/>
  <c r="K85" i="1" l="1"/>
  <c r="K38" i="1"/>
  <c r="K89" i="1"/>
  <c r="K87" i="1"/>
  <c r="K39" i="1"/>
  <c r="K84" i="1"/>
  <c r="K86" i="1"/>
  <c r="J90" i="2"/>
  <c r="J90" i="1"/>
  <c r="K88" i="1"/>
  <c r="F13" i="6"/>
  <c r="F14" i="6" s="1"/>
  <c r="K33" i="2"/>
  <c r="J77" i="2"/>
  <c r="K75" i="1"/>
  <c r="K73" i="1"/>
  <c r="K76" i="1"/>
  <c r="K127" i="1"/>
  <c r="K74" i="1"/>
  <c r="K72" i="1"/>
  <c r="J77" i="1"/>
  <c r="J67" i="1"/>
  <c r="K40" i="1" l="1"/>
  <c r="B84" i="11"/>
  <c r="D22" i="4"/>
  <c r="G22" i="4" s="1"/>
  <c r="D16" i="4"/>
  <c r="G16" i="4" s="1"/>
  <c r="H5" i="6"/>
  <c r="D10" i="4"/>
  <c r="D5" i="4"/>
  <c r="H10" i="6"/>
  <c r="H11" i="6"/>
  <c r="H12" i="6"/>
  <c r="H7" i="6"/>
  <c r="H6" i="6"/>
  <c r="S14" i="6"/>
  <c r="J138" i="2"/>
  <c r="J91" i="1"/>
  <c r="K90" i="1"/>
  <c r="K91" i="1" s="1"/>
  <c r="K99" i="1" s="1"/>
  <c r="K127" i="2"/>
  <c r="K39" i="2"/>
  <c r="K90" i="2"/>
  <c r="K87" i="2"/>
  <c r="K84" i="2"/>
  <c r="K89" i="2"/>
  <c r="K85" i="2"/>
  <c r="K88" i="2"/>
  <c r="K108" i="2"/>
  <c r="K75" i="2"/>
  <c r="K76" i="2"/>
  <c r="K86" i="2"/>
  <c r="K72" i="2"/>
  <c r="K73" i="2"/>
  <c r="K38" i="2"/>
  <c r="K40" i="2" s="1"/>
  <c r="K74" i="2"/>
  <c r="J91" i="2"/>
  <c r="K95" i="1"/>
  <c r="K96" i="1" s="1"/>
  <c r="K100" i="1" s="1"/>
  <c r="K77" i="1" l="1"/>
  <c r="K51" i="1"/>
  <c r="K78" i="1"/>
  <c r="K129" i="1" s="1"/>
  <c r="K66" i="1"/>
  <c r="K44" i="1"/>
  <c r="K50" i="1"/>
  <c r="K49" i="1"/>
  <c r="K48" i="1"/>
  <c r="K46" i="1"/>
  <c r="K47" i="1"/>
  <c r="K45" i="1"/>
  <c r="K101" i="1"/>
  <c r="K130" i="1" s="1"/>
  <c r="B87" i="11"/>
  <c r="B86" i="11"/>
  <c r="B85" i="11"/>
  <c r="K91" i="2"/>
  <c r="K99" i="2" s="1"/>
  <c r="K77" i="2"/>
  <c r="K52" i="1" l="1"/>
  <c r="K67" i="1" s="1"/>
  <c r="K69" i="1" s="1"/>
  <c r="K128" i="1" s="1"/>
  <c r="K78" i="2"/>
  <c r="K129" i="2" s="1"/>
  <c r="K109" i="13"/>
  <c r="K131" i="13" s="1"/>
  <c r="K132" i="13" s="1"/>
  <c r="K112" i="13" s="1"/>
  <c r="K109" i="1"/>
  <c r="K131" i="1" s="1"/>
  <c r="K66" i="2"/>
  <c r="K50" i="2"/>
  <c r="K46" i="2"/>
  <c r="K49" i="2"/>
  <c r="K44" i="2"/>
  <c r="K45" i="2"/>
  <c r="K47" i="2"/>
  <c r="K48" i="2"/>
  <c r="K95" i="2"/>
  <c r="K96" i="2" s="1"/>
  <c r="K100" i="2" s="1"/>
  <c r="K101" i="2" s="1"/>
  <c r="K130" i="2" s="1"/>
  <c r="K132" i="1" l="1"/>
  <c r="K112" i="1" s="1"/>
  <c r="K52" i="2"/>
  <c r="K67" i="2" s="1"/>
  <c r="K69" i="2" s="1"/>
  <c r="K128" i="2" s="1"/>
  <c r="K109" i="12"/>
  <c r="K131" i="12" s="1"/>
  <c r="K132" i="12" s="1"/>
  <c r="K112" i="12" s="1"/>
  <c r="K113" i="12" s="1"/>
  <c r="K117" i="12" s="1"/>
  <c r="K109" i="2"/>
  <c r="K131" i="2" s="1"/>
  <c r="K113" i="13"/>
  <c r="K116" i="13" s="1"/>
  <c r="K113" i="1" l="1"/>
  <c r="K115" i="1" s="1"/>
  <c r="K132" i="2"/>
  <c r="K112" i="2" s="1"/>
  <c r="K115" i="13"/>
  <c r="K117" i="13"/>
  <c r="K115" i="12"/>
  <c r="K116" i="12"/>
  <c r="K117" i="1" l="1"/>
  <c r="K116" i="1"/>
  <c r="K118" i="1" s="1"/>
  <c r="K133" i="1" s="1"/>
  <c r="K134" i="1" s="1"/>
  <c r="L141" i="1" s="1"/>
  <c r="K113" i="2"/>
  <c r="K116" i="2" s="1"/>
  <c r="K118" i="13"/>
  <c r="K133" i="13" s="1"/>
  <c r="K134" i="13" s="1"/>
  <c r="K118" i="12"/>
  <c r="K133" i="12" s="1"/>
  <c r="K134" i="12" s="1"/>
  <c r="D138" i="13" l="1"/>
  <c r="H138" i="13" s="1"/>
  <c r="K138" i="13" s="1"/>
  <c r="K139" i="13" s="1"/>
  <c r="K140" i="13" s="1"/>
  <c r="F28" i="4"/>
  <c r="I16" i="9" s="1"/>
  <c r="F29" i="4"/>
  <c r="I18" i="9" s="1"/>
  <c r="J18" i="9" s="1"/>
  <c r="F30" i="4"/>
  <c r="I21" i="9" s="1"/>
  <c r="F31" i="4"/>
  <c r="I22" i="9" s="1"/>
  <c r="J22" i="9" s="1"/>
  <c r="K22" i="9" s="1"/>
  <c r="K115" i="2"/>
  <c r="D138" i="12"/>
  <c r="H138" i="12" s="1"/>
  <c r="K138" i="12" s="1"/>
  <c r="K139" i="12" s="1"/>
  <c r="E5" i="4"/>
  <c r="F5" i="4" s="1"/>
  <c r="G5" i="4" s="1"/>
  <c r="H22" i="4"/>
  <c r="I22" i="4" s="1"/>
  <c r="J22" i="4" s="1"/>
  <c r="H16" i="4"/>
  <c r="E10" i="4"/>
  <c r="F10" i="4" s="1"/>
  <c r="G10" i="4" s="1"/>
  <c r="K117" i="2"/>
  <c r="L141" i="13"/>
  <c r="L141" i="12"/>
  <c r="D138" i="1"/>
  <c r="H138" i="1" s="1"/>
  <c r="K138" i="1" s="1"/>
  <c r="K139" i="1" s="1"/>
  <c r="K140" i="12" l="1"/>
  <c r="F7" i="8"/>
  <c r="G7" i="8" s="1"/>
  <c r="J16" i="9"/>
  <c r="K16" i="9" s="1"/>
  <c r="J21" i="9"/>
  <c r="K21" i="9" s="1"/>
  <c r="I16" i="4"/>
  <c r="J16" i="4" s="1"/>
  <c r="K18" i="9"/>
  <c r="F32" i="4"/>
  <c r="K140" i="1"/>
  <c r="F8" i="8"/>
  <c r="G8" i="8" s="1"/>
  <c r="K118" i="2"/>
  <c r="K133" i="2" s="1"/>
  <c r="K134" i="2" s="1"/>
  <c r="H21" i="4" s="1"/>
  <c r="I21" i="4" s="1"/>
  <c r="J23" i="9" l="1"/>
  <c r="K23" i="9" s="1"/>
  <c r="L141" i="2"/>
  <c r="E4" i="4"/>
  <c r="F4" i="4" s="1"/>
  <c r="G4" i="4" s="1"/>
  <c r="D138" i="2"/>
  <c r="H138" i="2" s="1"/>
  <c r="K138" i="2" s="1"/>
  <c r="K139" i="2" s="1"/>
  <c r="K140" i="2" s="1"/>
  <c r="E9" i="4"/>
  <c r="F9" i="4" s="1"/>
  <c r="F11" i="4" s="1"/>
  <c r="H15" i="4"/>
  <c r="I15" i="4" s="1"/>
  <c r="I17" i="4" s="1"/>
  <c r="J21" i="4"/>
  <c r="I23" i="4"/>
  <c r="C31" i="4" s="1"/>
  <c r="C29" i="4" l="1"/>
  <c r="I6" i="9"/>
  <c r="J6" i="9" s="1"/>
  <c r="C30" i="4"/>
  <c r="I9" i="9"/>
  <c r="J15" i="4"/>
  <c r="G9" i="4"/>
  <c r="F6" i="4"/>
  <c r="J23" i="4"/>
  <c r="I10" i="9"/>
  <c r="G11" i="4"/>
  <c r="J17" i="4"/>
  <c r="J9" i="9" l="1"/>
  <c r="K9" i="9" s="1"/>
  <c r="J10" i="9"/>
  <c r="K10" i="9" s="1"/>
  <c r="G6" i="4"/>
  <c r="C28" i="4"/>
  <c r="I4" i="9" s="1"/>
  <c r="K6" i="9"/>
  <c r="C32" i="4" l="1"/>
  <c r="J4" i="9"/>
  <c r="K4" i="9" s="1"/>
  <c r="J11" i="9" l="1"/>
  <c r="K11" i="9" l="1"/>
  <c r="K73" i="9" s="1"/>
  <c r="J73" i="9"/>
  <c r="F6" i="8" s="1"/>
  <c r="G6" i="8" l="1"/>
  <c r="G12" i="8" s="1"/>
  <c r="F12" i="8"/>
</calcChain>
</file>

<file path=xl/sharedStrings.xml><?xml version="1.0" encoding="utf-8"?>
<sst xmlns="http://schemas.openxmlformats.org/spreadsheetml/2006/main" count="3228" uniqueCount="436">
  <si>
    <t>PLANILHA DE CUSTO E FORMAÇÃO DE PREÇOS</t>
  </si>
  <si>
    <t xml:space="preserve">Número do Processo: </t>
  </si>
  <si>
    <t xml:space="preserve">Número da Licitação: </t>
  </si>
  <si>
    <t>Data do Pregão:</t>
  </si>
  <si>
    <t>Horário:</t>
  </si>
  <si>
    <t>Descrição do Serviço:</t>
  </si>
  <si>
    <t>Copeira</t>
  </si>
  <si>
    <t>►</t>
  </si>
  <si>
    <t>Município (s)  da prestação de serviço</t>
  </si>
  <si>
    <t>Número de meses de execução contratual:</t>
  </si>
  <si>
    <t>Ano do Acordo, Convenção ou Dissídio Coletivo</t>
  </si>
  <si>
    <t>Unidade de medida</t>
  </si>
  <si>
    <t xml:space="preserve">Posto </t>
  </si>
  <si>
    <t>Quantidade total a contratar (em função da unidade de medida):</t>
  </si>
  <si>
    <r>
      <rPr>
        <b/>
        <sz val="12"/>
        <color theme="1"/>
        <rFont val="Times New Roman"/>
        <family val="1"/>
      </rPr>
      <t xml:space="preserve">Nota 1: </t>
    </r>
    <r>
      <rPr>
        <sz val="12"/>
        <color theme="1"/>
        <rFont val="Times New Roman"/>
        <family val="1"/>
      </rPr>
      <t xml:space="preserve">Esta tabela poderá ser adaptada às características do serviço contratado, inclusive no que concerne às rubricas e suas respectivas provisões e/ou estimativas, desde que haja justificativa. 
</t>
    </r>
    <r>
      <rPr>
        <b/>
        <sz val="12"/>
        <color theme="1"/>
        <rFont val="Times New Roman"/>
        <family val="1"/>
      </rPr>
      <t xml:space="preserve">Nota 2: </t>
    </r>
    <r>
      <rPr>
        <sz val="12"/>
        <color theme="1"/>
        <rFont val="Times New Roman"/>
        <family val="1"/>
      </rPr>
      <t xml:space="preserve">As provisões constantes desta planilha poderão ser desnecessárias quando se tratar de determinados serviços que prescindam da dedicação exclusiva dos trabalhadores da contratada para com a Administração. </t>
    </r>
  </si>
  <si>
    <t>DADOS COMPLEMENTARES PARA COMPOSIÇÃO DOS CUSTOS REFERENTE À MÃO-DE-OBRA</t>
  </si>
  <si>
    <t>Salário Normativo da Categoria Profissional:</t>
  </si>
  <si>
    <t>Categoria profissional (vinculada a execução contratual)</t>
  </si>
  <si>
    <t>Data base da categoria</t>
  </si>
  <si>
    <t>Código Brasileiro de Ocupações - CBO</t>
  </si>
  <si>
    <r>
      <t xml:space="preserve">Nota 1: </t>
    </r>
    <r>
      <rPr>
        <sz val="12"/>
        <color theme="1"/>
        <rFont val="Times New Roman"/>
        <family val="1"/>
      </rPr>
      <t xml:space="preserve">Deverá ser elaborado um quadro para cada tipo de serviço.    </t>
    </r>
    <r>
      <rPr>
        <b/>
        <sz val="12"/>
        <color theme="1"/>
        <rFont val="Times New Roman"/>
        <family val="1"/>
      </rPr>
      <t xml:space="preserve">                                                                                                                                       Nota 2: </t>
    </r>
    <r>
      <rPr>
        <sz val="12"/>
        <color theme="1"/>
        <rFont val="Times New Roman"/>
        <family val="1"/>
      </rPr>
      <t>A planilha será calculada considerando o valor mensal do empregado.</t>
    </r>
  </si>
  <si>
    <t xml:space="preserve">Módulo 01 – Composição da Remuneração </t>
  </si>
  <si>
    <t>VALOR</t>
  </si>
  <si>
    <t>A</t>
  </si>
  <si>
    <t>Salário Base</t>
  </si>
  <si>
    <t>B</t>
  </si>
  <si>
    <t>Adicional de Periculosidade</t>
  </si>
  <si>
    <t>CLT art.s 193 e segs ;CF art. 7º XXIII</t>
  </si>
  <si>
    <t>C</t>
  </si>
  <si>
    <t>Adicional de Insalubridade</t>
  </si>
  <si>
    <t>CLT art. 189 e segs - CF art. 7º XXIII</t>
  </si>
  <si>
    <t>Base de cálculo: Salário mínimo</t>
  </si>
  <si>
    <t>Mín. =10%  |  Méd. = 20%  |  Máx. = 40%</t>
  </si>
  <si>
    <t>D</t>
  </si>
  <si>
    <t>Adicional Noturno</t>
  </si>
  <si>
    <t>E</t>
  </si>
  <si>
    <t>Adicional de Hora Noturna reduzida</t>
  </si>
  <si>
    <t>F</t>
  </si>
  <si>
    <t>Adicional de hora extra no feriado</t>
  </si>
  <si>
    <t>G</t>
  </si>
  <si>
    <t>Outros (gratificação)</t>
  </si>
  <si>
    <t>Valor da Remuneração</t>
  </si>
  <si>
    <r>
      <t xml:space="preserve">Nota 1: </t>
    </r>
    <r>
      <rPr>
        <b/>
        <i/>
        <sz val="12"/>
        <color theme="1"/>
        <rFont val="Times New Roman"/>
        <family val="1"/>
      </rPr>
      <t xml:space="preserve">O </t>
    </r>
    <r>
      <rPr>
        <i/>
        <sz val="12"/>
        <color theme="1"/>
        <rFont val="Times New Roman"/>
        <family val="1"/>
      </rPr>
      <t xml:space="preserve">Módulo 1 refere-se ao valor mensal devido ao empregado pela prestação do serviço no período de 12 meses. </t>
    </r>
    <r>
      <rPr>
        <b/>
        <sz val="12"/>
        <color theme="1"/>
        <rFont val="Times New Roman"/>
        <family val="1"/>
      </rPr>
      <t xml:space="preserve">
Nota 2: </t>
    </r>
    <r>
      <rPr>
        <sz val="12"/>
        <color theme="1"/>
        <rFont val="Times New Roman"/>
        <family val="1"/>
      </rPr>
      <t xml:space="preserve">Para o empregado que labora a jornada 12x36, em caso da não concessão ou concessão parcial do intervalo intrajornada (§ 4º do art. 71 da CLT), o valor a ser pago será inserido na remuneração utilizando a alínea “G”.  </t>
    </r>
    <r>
      <rPr>
        <b/>
        <sz val="12"/>
        <color theme="1"/>
        <rFont val="Times New Roman"/>
        <family val="1"/>
      </rPr>
      <t xml:space="preserve">      
</t>
    </r>
  </si>
  <si>
    <t>Módulo 2 – Encargos e benefícios anuais, mensais e diários</t>
  </si>
  <si>
    <r>
      <t>Submódulo 2.1 – 13</t>
    </r>
    <r>
      <rPr>
        <b/>
        <vertAlign val="superscript"/>
        <sz val="12"/>
        <color theme="1"/>
        <rFont val="Times New Roman"/>
        <family val="1"/>
      </rPr>
      <t>o</t>
    </r>
    <r>
      <rPr>
        <b/>
        <sz val="12"/>
        <color theme="1"/>
        <rFont val="Times New Roman"/>
        <family val="1"/>
      </rPr>
      <t>. (décimo terceikro) salário, férias e adicional de férias</t>
    </r>
  </si>
  <si>
    <t>13º Salário</t>
  </si>
  <si>
    <t>Férias e Adicional de férias</t>
  </si>
  <si>
    <t>Total</t>
  </si>
  <si>
    <r>
      <t>Nota 1: C</t>
    </r>
    <r>
      <rPr>
        <sz val="12"/>
        <color theme="1"/>
        <rFont val="Times New Roman"/>
        <family val="1"/>
      </rPr>
      <t xml:space="preserve">omo a planilha de custos e formação de preços é calculada mensalmente, provisiona-se proporcionalmente 1/12 (um doze avos) dos valores referentes a gratificação natalina e adicional de férias. </t>
    </r>
    <r>
      <rPr>
        <b/>
        <sz val="12"/>
        <color theme="1"/>
        <rFont val="Times New Roman"/>
        <family val="1"/>
      </rPr>
      <t xml:space="preserve">
Nota 2: </t>
    </r>
    <r>
      <rPr>
        <sz val="12"/>
        <color theme="1"/>
        <rFont val="Times New Roman"/>
        <family val="1"/>
      </rPr>
      <t xml:space="preserve">O adicional de férias contido no Submódulo 2.1 corresponde a 1/3 (um terço) da remuneração que por sua vez é divido por 12 (doze) conforme Nota 1 acima.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theme="1"/>
        <rFont val="Times New Roman"/>
        <family val="1"/>
      </rPr>
      <t>Nota 3:</t>
    </r>
    <r>
      <rPr>
        <sz val="12"/>
        <color theme="1"/>
        <rFont val="Times New Roman"/>
        <family val="1"/>
      </rPr>
      <t xml:space="preserve">  o valor do adcional de insalubridade teve como base o salário base da categoria.</t>
    </r>
  </si>
  <si>
    <t>Submódulo 2.2 – Encargos Previdenciários (GPS), Fundo de Garantia por Tempo de Serviço (FGTS) e outras contribuições</t>
  </si>
  <si>
    <t>INSS</t>
  </si>
  <si>
    <t>SESI ou SESC</t>
  </si>
  <si>
    <t>SENAI ou SENAC</t>
  </si>
  <si>
    <t>INCRA</t>
  </si>
  <si>
    <t>Salário educação</t>
  </si>
  <si>
    <t>FGTS</t>
  </si>
  <si>
    <t>RAT</t>
  </si>
  <si>
    <t>FAP:</t>
  </si>
  <si>
    <t>H</t>
  </si>
  <si>
    <t>SEBRAE</t>
  </si>
  <si>
    <r>
      <rPr>
        <b/>
        <sz val="12"/>
        <color theme="1"/>
        <rFont val="Times New Roman"/>
        <family val="1"/>
      </rPr>
      <t xml:space="preserve">Nota 1: </t>
    </r>
    <r>
      <rPr>
        <sz val="12"/>
        <color theme="1"/>
        <rFont val="Times New Roman"/>
        <family val="1"/>
      </rPr>
      <t xml:space="preserve">Os percentuais dos encargos previdenciários, do FGTS e demais contribuições são aqueles estabelecidos pela legislação vigente. 
</t>
    </r>
    <r>
      <rPr>
        <b/>
        <sz val="12"/>
        <color theme="1"/>
        <rFont val="Times New Roman"/>
        <family val="1"/>
      </rPr>
      <t xml:space="preserve">Nota 2: </t>
    </r>
    <r>
      <rPr>
        <sz val="12"/>
        <color theme="1"/>
        <rFont val="Times New Roman"/>
        <family val="1"/>
      </rPr>
      <t xml:space="preserve">O SAT a depender do grau de risco do serviço irá variar entre 1%, para risco leve, de 2%, para risco médio, e de 3% de risco grave. 
</t>
    </r>
    <r>
      <rPr>
        <b/>
        <sz val="12"/>
        <color theme="1"/>
        <rFont val="Times New Roman"/>
        <family val="1"/>
      </rPr>
      <t>Nota 3:</t>
    </r>
    <r>
      <rPr>
        <sz val="12"/>
        <color theme="1"/>
        <rFont val="Times New Roman"/>
        <family val="1"/>
      </rPr>
      <t xml:space="preserve"> Esses percentuais incidem sobre o Módulo 1, o Submódulo 2.1, o Módulo 3, Módulo 4 e o Módulo 6. 
 </t>
    </r>
  </si>
  <si>
    <t>Submódulo 2.3 – Benefícios Mensais e Diários</t>
  </si>
  <si>
    <t>I</t>
  </si>
  <si>
    <r>
      <t xml:space="preserve">Nota 1: </t>
    </r>
    <r>
      <rPr>
        <sz val="12"/>
        <color theme="1"/>
        <rFont val="Times New Roman"/>
        <family val="1"/>
      </rPr>
      <t xml:space="preserve">O valor informado deverá ser o custo real do benefício (descontado o valor eventualmente pago pelo empregado). </t>
    </r>
    <r>
      <rPr>
        <b/>
        <sz val="12"/>
        <color theme="1"/>
        <rFont val="Times New Roman"/>
        <family val="1"/>
      </rPr>
      <t xml:space="preserve">
Nota 2: </t>
    </r>
    <r>
      <rPr>
        <sz val="12"/>
        <color theme="1"/>
        <rFont val="Times New Roman"/>
        <family val="1"/>
      </rPr>
      <t xml:space="preserve">Observar a previsão dos benefícios contidos em Acordos, Convenções e Dissídios Coletivos de Trabalho e atentar-se ao disposto no art. 6º desta Instrução Normativa. </t>
    </r>
  </si>
  <si>
    <t>Quadro resumo do Módulo 2 – Encargos e benefícios anuais, mensais e diário</t>
  </si>
  <si>
    <t>2.1</t>
  </si>
  <si>
    <r>
      <t>13</t>
    </r>
    <r>
      <rPr>
        <vertAlign val="superscript"/>
        <sz val="12"/>
        <color theme="1"/>
        <rFont val="Times New Roman"/>
        <family val="1"/>
      </rPr>
      <t>o</t>
    </r>
    <r>
      <rPr>
        <sz val="12"/>
        <color theme="1"/>
        <rFont val="Times New Roman"/>
        <family val="1"/>
      </rPr>
      <t>. Salário, férias e adicional de férias</t>
    </r>
  </si>
  <si>
    <t>2.2</t>
  </si>
  <si>
    <t>GPS, FGTS e outras contribuições</t>
  </si>
  <si>
    <t>2.3</t>
  </si>
  <si>
    <t>Benefícios Mensais e diários</t>
  </si>
  <si>
    <t>Módulo 3 – Provisão para rescisão</t>
  </si>
  <si>
    <t>Aviso Prévio Indenizado</t>
  </si>
  <si>
    <t>TCU E CNJ UTILIZAM 5% DOS FUNCIONÁRIOS</t>
  </si>
  <si>
    <t>Incidência do FGTS sobre Aviso Prévio Indenizado</t>
  </si>
  <si>
    <t xml:space="preserve">Multa do FGTS e Contribuição Social sobre o Aviso Prévio Indenizado </t>
  </si>
  <si>
    <t>Aviso Prévio Trabalhado</t>
  </si>
  <si>
    <t>Incidência dos encargos do submodulo 2.2 sobre o aviso prévio trabalhado</t>
  </si>
  <si>
    <t xml:space="preserve">Multa do FGTS e Contribuição Social sobre o Aviso Prévio Trabalhado </t>
  </si>
  <si>
    <r>
      <t xml:space="preserve">Nota 1: </t>
    </r>
    <r>
      <rPr>
        <sz val="12"/>
        <color theme="1"/>
        <rFont val="Times New Roman"/>
        <family val="1"/>
      </rPr>
      <t xml:space="preserve">Os itens que contemplam o módulo 4 se referem ao custo dos dias trabalhados pelo repositor/substituto que por ventura venha cobrir o empregado nos casos de Ausências Legais (Submódulo 4.1) e/ou na Intrajornada (Submódulo 4.2), a depender da prestação do serviço. </t>
    </r>
    <r>
      <rPr>
        <b/>
        <sz val="12"/>
        <color theme="1"/>
        <rFont val="Times New Roman"/>
        <family val="1"/>
      </rPr>
      <t xml:space="preserve">
Nota 2: </t>
    </r>
    <r>
      <rPr>
        <sz val="12"/>
        <color theme="1"/>
        <rFont val="Times New Roman"/>
        <family val="1"/>
      </rPr>
      <t xml:space="preserve">Haverá a incidência do Submódulo 2.2 sobre esse módulo. </t>
    </r>
  </si>
  <si>
    <t>Módulo 4 – Custo de reposição do profissional ausente</t>
  </si>
  <si>
    <t>Submódulo 4.1 – Ausencias legais</t>
  </si>
  <si>
    <t>Férias</t>
  </si>
  <si>
    <t>Ausências Legais</t>
  </si>
  <si>
    <t>Licença paternidade</t>
  </si>
  <si>
    <t>Ausência por acidente do trabalho</t>
  </si>
  <si>
    <t>Afastamento Maternidade</t>
  </si>
  <si>
    <t>Outros (especificar)</t>
  </si>
  <si>
    <t>Incidência dos encargos do submodulo 2.2 sobre o Custo de Reposição do Profissional Ausente</t>
  </si>
  <si>
    <r>
      <t>Nota 1:</t>
    </r>
    <r>
      <rPr>
        <sz val="12"/>
        <color theme="1"/>
        <rFont val="Times New Roman"/>
        <family val="1"/>
      </rPr>
      <t xml:space="preserve"> As alíneas “A” a “F” referem-se somente ao custo que será pago ao repositor pelos dias trabalhados quando da necessidade de substituir a mão de obra alocada na prestação do serviço.</t>
    </r>
    <r>
      <rPr>
        <b/>
        <sz val="12"/>
        <color theme="1"/>
        <rFont val="Times New Roman"/>
        <family val="1"/>
      </rPr>
      <t xml:space="preserve">  Nota 2: </t>
    </r>
    <r>
      <rPr>
        <sz val="12"/>
        <color theme="1"/>
        <rFont val="Times New Roman"/>
        <family val="1"/>
      </rPr>
      <t>foi utilizado a formula do TCU para calculo das férias, afastamento maternidade, licença paternidade, ausência por acidente do trabalho.</t>
    </r>
    <r>
      <rPr>
        <b/>
        <sz val="12"/>
        <color theme="1"/>
        <rFont val="Times New Roman"/>
        <family val="1"/>
      </rPr>
      <t xml:space="preserve"> Nota 3: </t>
    </r>
    <r>
      <rPr>
        <sz val="12"/>
        <color theme="1"/>
        <rFont val="Times New Roman"/>
        <family val="1"/>
      </rPr>
      <t>foi utilizada a formula do CNJ para calculo da ausencias legais.</t>
    </r>
  </si>
  <si>
    <t>Submódulo4.2 – Intrajornada</t>
  </si>
  <si>
    <t>Intervalo para repouso e alimentação</t>
  </si>
  <si>
    <r>
      <t xml:space="preserve">Nota: </t>
    </r>
    <r>
      <rPr>
        <sz val="12"/>
        <color theme="1"/>
        <rFont val="Times New Roman"/>
        <family val="1"/>
      </rPr>
      <t xml:space="preserve">Quando houver a necessidade de reposição de um empregado durante sua ausência nos casos de intervalo para repouso ou alimentação deve-se contemplar o Submódulo 4.2. </t>
    </r>
  </si>
  <si>
    <t>Quadro resumo do Módulo 4 – Custo de reposição do profissional ausente</t>
  </si>
  <si>
    <t>4.1</t>
  </si>
  <si>
    <t xml:space="preserve">Ausências legais </t>
  </si>
  <si>
    <t>4.2</t>
  </si>
  <si>
    <t>Intrajornada</t>
  </si>
  <si>
    <t>Módulo 05 – Insumos Diversos</t>
  </si>
  <si>
    <t>Valor (R$)</t>
  </si>
  <si>
    <t>Uniformes (custo mensal por empregado)</t>
  </si>
  <si>
    <t xml:space="preserve">Equipamento </t>
  </si>
  <si>
    <t>(custo mensal por empregado)</t>
  </si>
  <si>
    <t xml:space="preserve">Material </t>
  </si>
  <si>
    <t>--</t>
  </si>
  <si>
    <t>Total de Insumos Diversos</t>
  </si>
  <si>
    <r>
      <t xml:space="preserve">Nota: </t>
    </r>
    <r>
      <rPr>
        <sz val="12"/>
        <color theme="1"/>
        <rFont val="Times New Roman"/>
        <family val="1"/>
      </rPr>
      <t xml:space="preserve">Valores mensais por empregado. </t>
    </r>
    <r>
      <rPr>
        <b/>
        <sz val="12"/>
        <color theme="1"/>
        <rFont val="Times New Roman"/>
        <family val="1"/>
      </rPr>
      <t xml:space="preserve">
</t>
    </r>
  </si>
  <si>
    <t>Módulo 06 – Custos Indireto, Lucros e Tributos</t>
  </si>
  <si>
    <t>Custos Indiretos / Despesas Administrativas</t>
  </si>
  <si>
    <t>percentual de CI * m1+m2+m3+m4</t>
  </si>
  <si>
    <t>Lucro</t>
  </si>
  <si>
    <t xml:space="preserve">Tributos </t>
  </si>
  <si>
    <t>Alíquota</t>
  </si>
  <si>
    <t xml:space="preserve">Tributos Federais </t>
  </si>
  <si>
    <t>PIS:</t>
  </si>
  <si>
    <t>COFINS:</t>
  </si>
  <si>
    <t xml:space="preserve">Tributos Municipais </t>
  </si>
  <si>
    <t>ISSQN:</t>
  </si>
  <si>
    <t>Total de Custos Indireto, Lucros e Tributos</t>
  </si>
  <si>
    <r>
      <t xml:space="preserve">Nota 1: </t>
    </r>
    <r>
      <rPr>
        <sz val="12"/>
        <color theme="1"/>
        <rFont val="Times New Roman"/>
        <family val="1"/>
      </rPr>
      <t xml:space="preserve">Custos Indiretos, Tributos e Lucro por empregado. </t>
    </r>
    <r>
      <rPr>
        <b/>
        <sz val="12"/>
        <color theme="1"/>
        <rFont val="Times New Roman"/>
        <family val="1"/>
      </rPr>
      <t xml:space="preserve">
Nota 2: </t>
    </r>
    <r>
      <rPr>
        <sz val="12"/>
        <color theme="1"/>
        <rFont val="Times New Roman"/>
        <family val="1"/>
      </rPr>
      <t xml:space="preserve">O valor referente a tributos é obtido aplicando-se o percentual sobre o valor do faturamento. </t>
    </r>
  </si>
  <si>
    <t>QUADRO RESUMO DO CUSTO POR EMPREGADO</t>
  </si>
  <si>
    <t>Mão-de-obra vinculada à execução contratual (valor por empregado)</t>
  </si>
  <si>
    <t xml:space="preserve">MÓDULO 01 – Composição da Remuneração </t>
  </si>
  <si>
    <t>MÓDULO 02 –Encargos e benefícios anuais, mensais e diários</t>
  </si>
  <si>
    <t>MÓDULO 03 – Provisão para rescisao</t>
  </si>
  <si>
    <t>MÓDULO 04 – Custo de reposiçao do profissional ausente</t>
  </si>
  <si>
    <t>MÓDULO 05 – Insumos diversos</t>
  </si>
  <si>
    <t>Subtotal (A+B+C+D+E)</t>
  </si>
  <si>
    <t>MÓDULO 06 – Custos Indireto, Lucros e Tributos</t>
  </si>
  <si>
    <t>Valor total proposto por empregado</t>
  </si>
  <si>
    <t>3 – QUADRO RESUMO  – VALOR MENSAL DOS SERVIÇOS</t>
  </si>
  <si>
    <t>Tipo de serviço
(A)</t>
  </si>
  <si>
    <t>Valor proposto por empregado
(B)</t>
  </si>
  <si>
    <t>Empregados por posto
(C)</t>
  </si>
  <si>
    <t>Valor  proposta por posto
(D) = (B) x (C)</t>
  </si>
  <si>
    <t>Qtde de postos
(E)</t>
  </si>
  <si>
    <t>Valor total do serviço
(F) = (D) x (E)</t>
  </si>
  <si>
    <t xml:space="preserve"> Valor Mensal dos Serviços</t>
  </si>
  <si>
    <t>Valor Anual dos Serviços</t>
  </si>
  <si>
    <t>Fator K</t>
  </si>
  <si>
    <t>Recife/PE</t>
  </si>
  <si>
    <t>M²</t>
  </si>
  <si>
    <t>Quantidade total a contratar (em função da unidade de medida): área interna + área externa + esquadria</t>
  </si>
  <si>
    <t>5143-20</t>
  </si>
  <si>
    <t>Submódulo 4.1 – Ausências legais</t>
  </si>
  <si>
    <t>MÓDULO 03 – Provisão para rescisão</t>
  </si>
  <si>
    <t>MÓDULO 04 – Custo de reposição do profissional ausente</t>
  </si>
  <si>
    <r>
      <rPr>
        <b/>
        <sz val="12"/>
        <rFont val="Times New Roman"/>
        <family val="1"/>
      </rPr>
      <t xml:space="preserve">Nota 1: </t>
    </r>
    <r>
      <rPr>
        <sz val="12"/>
        <rFont val="Times New Roman"/>
        <family val="1"/>
      </rPr>
      <t xml:space="preserve">Esta tabela poderá ser adaptada às características do serviço contratado, inclusive no que concerne às rubricas e suas respectivas provisões e/ou estimativas, desde que haja justificativa. 
</t>
    </r>
    <r>
      <rPr>
        <b/>
        <sz val="12"/>
        <rFont val="Times New Roman"/>
        <family val="1"/>
      </rPr>
      <t xml:space="preserve">Nota 2: </t>
    </r>
    <r>
      <rPr>
        <sz val="12"/>
        <rFont val="Times New Roman"/>
        <family val="1"/>
      </rPr>
      <t xml:space="preserve">As provisões constantes desta planilha poderão ser desnecessárias quando se tratar de determinados serviços que prescindam da dedicação exclusiva dos trabalhadores da contratada para com a Administração. </t>
    </r>
  </si>
  <si>
    <r>
      <t xml:space="preserve">Nota 1: </t>
    </r>
    <r>
      <rPr>
        <sz val="12"/>
        <rFont val="Times New Roman"/>
        <family val="1"/>
      </rPr>
      <t xml:space="preserve">Deverá ser elaborado um quadro para cada tipo de serviço.    </t>
    </r>
    <r>
      <rPr>
        <b/>
        <sz val="12"/>
        <rFont val="Times New Roman"/>
        <family val="1"/>
      </rPr>
      <t xml:space="preserve">                                                                                                                                       Nota 2: </t>
    </r>
    <r>
      <rPr>
        <sz val="12"/>
        <rFont val="Times New Roman"/>
        <family val="1"/>
      </rPr>
      <t>A planilha será calculada considerando o valor mensal do empregado.</t>
    </r>
  </si>
  <si>
    <r>
      <t xml:space="preserve">Nota 1: </t>
    </r>
    <r>
      <rPr>
        <b/>
        <i/>
        <sz val="12"/>
        <rFont val="Times New Roman"/>
        <family val="1"/>
      </rPr>
      <t xml:space="preserve">O </t>
    </r>
    <r>
      <rPr>
        <i/>
        <sz val="12"/>
        <rFont val="Times New Roman"/>
        <family val="1"/>
      </rPr>
      <t xml:space="preserve">Módulo 1 refere-se ao valor mensal devido ao empregado pela prestação do serviço no período de 12 meses. </t>
    </r>
    <r>
      <rPr>
        <b/>
        <sz val="12"/>
        <rFont val="Times New Roman"/>
        <family val="1"/>
      </rPr>
      <t xml:space="preserve">
Nota 2: </t>
    </r>
    <r>
      <rPr>
        <sz val="12"/>
        <rFont val="Times New Roman"/>
        <family val="1"/>
      </rPr>
      <t xml:space="preserve">Para o empregado que labora a jornada 12x36, em caso da não concessão ou concessão parcial do intervalo intrajornada (§ 4º do art. 71 da CLT), o valor a ser pago será inserido na remuneração utilizando a alínea “G”.                                 </t>
    </r>
    <r>
      <rPr>
        <b/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Nota 3: </t>
    </r>
    <r>
      <rPr>
        <sz val="12"/>
        <rFont val="Times New Roman"/>
        <family val="1"/>
      </rPr>
      <t xml:space="preserve">o valor do adcional de insalubridade teve como base o salário base da categoria.
          </t>
    </r>
    <r>
      <rPr>
        <b/>
        <sz val="12"/>
        <rFont val="Times New Roman"/>
        <family val="1"/>
      </rPr>
      <t xml:space="preserve">
</t>
    </r>
  </si>
  <si>
    <r>
      <t>Submódulo 2.1 – 13</t>
    </r>
    <r>
      <rPr>
        <b/>
        <vertAlign val="superscript"/>
        <sz val="12"/>
        <rFont val="Times New Roman"/>
        <family val="1"/>
      </rPr>
      <t>o</t>
    </r>
    <r>
      <rPr>
        <b/>
        <sz val="12"/>
        <rFont val="Times New Roman"/>
        <family val="1"/>
      </rPr>
      <t>. (décimo terceikro) salário, férias e adicional de férias</t>
    </r>
  </si>
  <si>
    <r>
      <t>Nota 1: C</t>
    </r>
    <r>
      <rPr>
        <sz val="12"/>
        <rFont val="Times New Roman"/>
        <family val="1"/>
      </rPr>
      <t xml:space="preserve">omo a planilha de custos e formação de preços é calculada mensalmente, provisiona-se proporcionalmente 1/12 (um doze avos) dos valores referentes a gratificação natalina e adicional de férias. </t>
    </r>
    <r>
      <rPr>
        <b/>
        <sz val="12"/>
        <rFont val="Times New Roman"/>
        <family val="1"/>
      </rPr>
      <t xml:space="preserve">
Nota 2: </t>
    </r>
    <r>
      <rPr>
        <sz val="12"/>
        <rFont val="Times New Roman"/>
        <family val="1"/>
      </rPr>
      <t xml:space="preserve">O adicional de férias contido no Submódulo 2.1 corresponde a 1/3 (um terço) da remuneração que por sua vez é divido por 12 (doze) conforme Nota 1 acima. </t>
    </r>
  </si>
  <si>
    <r>
      <rPr>
        <b/>
        <sz val="12"/>
        <rFont val="Times New Roman"/>
        <family val="1"/>
      </rPr>
      <t xml:space="preserve">Nota 1: </t>
    </r>
    <r>
      <rPr>
        <sz val="12"/>
        <rFont val="Times New Roman"/>
        <family val="1"/>
      </rPr>
      <t xml:space="preserve">Os percentuais dos encargos previdenciários, do FGTS e demais contribuições são aqueles estabelecidos pela legislação vigente. 
</t>
    </r>
    <r>
      <rPr>
        <b/>
        <sz val="12"/>
        <rFont val="Times New Roman"/>
        <family val="1"/>
      </rPr>
      <t xml:space="preserve">Nota 2: </t>
    </r>
    <r>
      <rPr>
        <sz val="12"/>
        <rFont val="Times New Roman"/>
        <family val="1"/>
      </rPr>
      <t xml:space="preserve">O SAT a depender do grau de risco do serviço irá variar entre 1%, para risco leve, de 2%, para risco médio, e de 3% de risco grave. 
</t>
    </r>
    <r>
      <rPr>
        <b/>
        <sz val="12"/>
        <rFont val="Times New Roman"/>
        <family val="1"/>
      </rPr>
      <t>Nota 3:</t>
    </r>
    <r>
      <rPr>
        <sz val="12"/>
        <rFont val="Times New Roman"/>
        <family val="1"/>
      </rPr>
      <t xml:space="preserve"> Esses percentuais incidem sobre o Módulo 1, o Submódulo 2.1, o Módulo 3, Módulo 4 e o Módulo 6. 
 </t>
    </r>
  </si>
  <si>
    <r>
      <t xml:space="preserve">Nota 1: </t>
    </r>
    <r>
      <rPr>
        <sz val="12"/>
        <rFont val="Times New Roman"/>
        <family val="1"/>
      </rPr>
      <t xml:space="preserve">O valor informado deverá ser o custo real do benefício (descontado o valor eventualmente pago pelo empregado). </t>
    </r>
    <r>
      <rPr>
        <b/>
        <sz val="12"/>
        <rFont val="Times New Roman"/>
        <family val="1"/>
      </rPr>
      <t xml:space="preserve">
Nota 2: </t>
    </r>
    <r>
      <rPr>
        <sz val="12"/>
        <rFont val="Times New Roman"/>
        <family val="1"/>
      </rPr>
      <t xml:space="preserve">Observar a previsão dos benefícios contidos em Acordos, Convenções e Dissídios Coletivos de Trabalho e atentar-se ao disposto no art. 6º desta Instrução Normativa. </t>
    </r>
  </si>
  <si>
    <r>
      <rPr>
        <sz val="12"/>
        <rFont val="Times New Roman"/>
        <family val="1"/>
      </rPr>
      <t>13</t>
    </r>
    <r>
      <rPr>
        <vertAlign val="superscript"/>
        <sz val="12"/>
        <rFont val="Times New Roman"/>
        <family val="1"/>
      </rPr>
      <t>o</t>
    </r>
    <r>
      <rPr>
        <sz val="12"/>
        <rFont val="Times New Roman"/>
        <family val="1"/>
      </rPr>
      <t>. Salário, férias e adicional de férias</t>
    </r>
  </si>
  <si>
    <r>
      <t xml:space="preserve">Nota 1: </t>
    </r>
    <r>
      <rPr>
        <sz val="12"/>
        <rFont val="Times New Roman"/>
        <family val="1"/>
      </rPr>
      <t xml:space="preserve">Os itens que contemplam o módulo 4 se referem ao custo dos dias trabalhados pelo repositor/substituto que por ventura venha cobrir o empregado nos casos de Ausências Legais (Submódulo 4.1) e/ou na Intrajornada (Submódulo 4.2), a depender da prestação do serviço. </t>
    </r>
    <r>
      <rPr>
        <b/>
        <sz val="12"/>
        <rFont val="Times New Roman"/>
        <family val="1"/>
      </rPr>
      <t xml:space="preserve">
Nota 2: </t>
    </r>
    <r>
      <rPr>
        <sz val="12"/>
        <rFont val="Times New Roman"/>
        <family val="1"/>
      </rPr>
      <t xml:space="preserve">Haverá a incidência do Submódulo 2.2 sobre esse módulo. </t>
    </r>
  </si>
  <si>
    <r>
      <t xml:space="preserve">Nota 1: </t>
    </r>
    <r>
      <rPr>
        <sz val="12"/>
        <rFont val="Times New Roman"/>
        <family val="1"/>
      </rPr>
      <t xml:space="preserve">As alíneas “A” a “F” referem-se somente ao custo que será pago ao repositor pelos dias trabalhados quando da necessidade de substituir a mão de obra alocada na prestação do serviço.  </t>
    </r>
    <r>
      <rPr>
        <b/>
        <sz val="12"/>
        <rFont val="Times New Roman"/>
        <family val="1"/>
      </rPr>
      <t>Nota 2:</t>
    </r>
    <r>
      <rPr>
        <sz val="12"/>
        <rFont val="Times New Roman"/>
        <family val="1"/>
      </rPr>
      <t xml:space="preserve"> foi utilizado a formula do TCU para calculo das férias, afastamento maternidade, licença paternidade, ausência por acidente do trabalho. </t>
    </r>
    <r>
      <rPr>
        <b/>
        <sz val="12"/>
        <rFont val="Times New Roman"/>
        <family val="1"/>
      </rPr>
      <t>Nota 3</t>
    </r>
    <r>
      <rPr>
        <sz val="12"/>
        <rFont val="Times New Roman"/>
        <family val="1"/>
      </rPr>
      <t>: foi utilizada a formula do CNJ para calculo da ausencias legais.</t>
    </r>
  </si>
  <si>
    <r>
      <t xml:space="preserve">Nota: </t>
    </r>
    <r>
      <rPr>
        <sz val="12"/>
        <rFont val="Times New Roman"/>
        <family val="1"/>
      </rPr>
      <t xml:space="preserve">Quando houver a necessidade de reposição de um empregado durante sua ausência nos casos de intervalo para repouso ou alimentação deve-se contemplar o Submódulo 4.2. </t>
    </r>
  </si>
  <si>
    <r>
      <t xml:space="preserve">Nota: </t>
    </r>
    <r>
      <rPr>
        <sz val="12"/>
        <rFont val="Times New Roman"/>
        <family val="1"/>
      </rPr>
      <t xml:space="preserve">Valores mensais por empregado. </t>
    </r>
    <r>
      <rPr>
        <b/>
        <sz val="12"/>
        <rFont val="Times New Roman"/>
        <family val="1"/>
      </rPr>
      <t xml:space="preserve">
</t>
    </r>
  </si>
  <si>
    <r>
      <t xml:space="preserve">Nota 1: </t>
    </r>
    <r>
      <rPr>
        <sz val="12"/>
        <rFont val="Times New Roman"/>
        <family val="1"/>
      </rPr>
      <t xml:space="preserve">Custos Indiretos, Tributos e Lucro por empregado. </t>
    </r>
    <r>
      <rPr>
        <b/>
        <sz val="12"/>
        <rFont val="Times New Roman"/>
        <family val="1"/>
      </rPr>
      <t xml:space="preserve">
Nota 2: </t>
    </r>
    <r>
      <rPr>
        <sz val="12"/>
        <rFont val="Times New Roman"/>
        <family val="1"/>
      </rPr>
      <t xml:space="preserve">O valor referente a tributos é obtido aplicando-se o percentual sobre o valor do faturamento. </t>
    </r>
  </si>
  <si>
    <t>Módulo 1</t>
  </si>
  <si>
    <t xml:space="preserve">C- Adicional de insalubridade </t>
  </si>
  <si>
    <t>Módulo 2.2- Encargos e benefícios anuais, mensais e diários</t>
  </si>
  <si>
    <t>A- Transporte</t>
  </si>
  <si>
    <t>Módulo 3</t>
  </si>
  <si>
    <t>A- Aviso Prévio Indenizado</t>
  </si>
  <si>
    <t>Dias de aviso prévio indenizado</t>
  </si>
  <si>
    <t>% de ocorrência</t>
  </si>
  <si>
    <t>% a ser transferido</t>
  </si>
  <si>
    <t>B-Incidência do FGTS sobre Aviso Prévio Indenizado</t>
  </si>
  <si>
    <t>Cálculo a ser efetuado: 8%* % API</t>
  </si>
  <si>
    <t>C- Multa do FGTS sobre Aviso Prévio Indenizado</t>
  </si>
  <si>
    <t>D-Aviso Prévio Trabalhado ( 1a.vigência de 12 meses)</t>
  </si>
  <si>
    <t>Calculo a ser efetuado: 7/360* 100%</t>
  </si>
  <si>
    <t>E-Incidência dos encargos do submodulo 2.2 sobre o aviso prévio trabalhado</t>
  </si>
  <si>
    <t>Calculo a ser efetuado: 1,94% * 35,8%</t>
  </si>
  <si>
    <t>Submódulo 4.1</t>
  </si>
  <si>
    <t>Cálculo a ser efetuado:1/11</t>
  </si>
  <si>
    <t>Dias de ocorrencia (anual)</t>
  </si>
  <si>
    <t>% de ocorrência (anual)</t>
  </si>
  <si>
    <t>Dias de afastamento</t>
  </si>
  <si>
    <t>ok</t>
  </si>
  <si>
    <t>E-Incidência dos encargos do submodulo 4.1 sobre o aviso prévio trabalhado</t>
  </si>
  <si>
    <t>Calculo a ser efetuado: 1,94% * 36,8%</t>
  </si>
  <si>
    <t>Cálculo a ser efetuado:1/12</t>
  </si>
  <si>
    <t>Ausências por doença</t>
  </si>
  <si>
    <t xml:space="preserve"> </t>
  </si>
  <si>
    <t>x</t>
  </si>
  <si>
    <t>Metragem</t>
  </si>
  <si>
    <t>Mão de Obra</t>
  </si>
  <si>
    <t>(A) Produtividade (1/m²)</t>
  </si>
  <si>
    <t>(B) Preço Homem-Mês</t>
  </si>
  <si>
    <t>( C )Subtotal (R$/M²)</t>
  </si>
  <si>
    <t>Servente</t>
  </si>
  <si>
    <t>(B) Frequência no Mês (horas)</t>
  </si>
  <si>
    <t>( C) Jornada de trabalho no Mês (horas)</t>
  </si>
  <si>
    <t>(D ) (A x B x C)</t>
  </si>
  <si>
    <t>Área</t>
  </si>
  <si>
    <t>Atividade</t>
  </si>
  <si>
    <t>Varrição de passeios e arruamentos</t>
  </si>
  <si>
    <t>Pisos Pavimentos/   adjacentes</t>
  </si>
  <si>
    <t>Pátios e área verdes</t>
  </si>
  <si>
    <t>Piso frio</t>
  </si>
  <si>
    <t>Quantitativo de funcionários previsto</t>
  </si>
  <si>
    <t>Área efetiva em M²</t>
  </si>
  <si>
    <t>Produtividade           IN 05/2017</t>
  </si>
  <si>
    <t>Memório de cálculo</t>
  </si>
  <si>
    <t xml:space="preserve">Total </t>
  </si>
  <si>
    <t>ITEM</t>
  </si>
  <si>
    <t>Descrição</t>
  </si>
  <si>
    <t>Especificação da demanda</t>
  </si>
  <si>
    <t>Produtividade -M² /dia/mês</t>
  </si>
  <si>
    <t>Quantidade total diária /mensal do M²</t>
  </si>
  <si>
    <t>Quantidade total anual do M²</t>
  </si>
  <si>
    <t>Valor unitário do m²</t>
  </si>
  <si>
    <t>Valor mensal (R$)</t>
  </si>
  <si>
    <t>Valor total anual</t>
  </si>
  <si>
    <t>Patios e areas veres</t>
  </si>
  <si>
    <t>Esquadria externa</t>
  </si>
  <si>
    <t>Unidade</t>
  </si>
  <si>
    <t>DESCRIÇÃO/ESPECIFICAÇÃO</t>
  </si>
  <si>
    <t>UNIDADE DE MEDIDA</t>
  </si>
  <si>
    <t>QTD</t>
  </si>
  <si>
    <t>VALOR ESTIMADO MENSAL</t>
  </si>
  <si>
    <t>VALOR ESTIMADO ANUAL</t>
  </si>
  <si>
    <t>Servente Sede</t>
  </si>
  <si>
    <t>Copeiro (a)</t>
  </si>
  <si>
    <t>Sede</t>
  </si>
  <si>
    <t>Porto do Recife</t>
  </si>
  <si>
    <t>Aeroporto do Recife</t>
  </si>
  <si>
    <t>Porto de Suape</t>
  </si>
  <si>
    <t>Garanhuns</t>
  </si>
  <si>
    <t>Petrolina</t>
  </si>
  <si>
    <t>Esquadrias</t>
  </si>
  <si>
    <t>Piso acarpetado</t>
  </si>
  <si>
    <t>Esquadria interna e externa sem exposição a risco</t>
  </si>
  <si>
    <t>Esquadria externa com exposição  a risco</t>
  </si>
  <si>
    <t>Área interna</t>
  </si>
  <si>
    <t>Área externa</t>
  </si>
  <si>
    <t>Número de funcionários*</t>
  </si>
  <si>
    <t>Fachada Envidraçada</t>
  </si>
  <si>
    <t>Área em M²</t>
  </si>
  <si>
    <t>* área/ produtividade</t>
  </si>
  <si>
    <t>SAT</t>
  </si>
  <si>
    <t>Total estimado</t>
  </si>
  <si>
    <t>Valor unitário</t>
  </si>
  <si>
    <t>Valor estimativo mensal</t>
  </si>
  <si>
    <t>Cloro a 5% - Galão 5 l</t>
  </si>
  <si>
    <t>Álcool comercial a 96 graus – embalagem de 1 litro</t>
  </si>
  <si>
    <r>
      <t xml:space="preserve">Purificador de ar (odorizador) , Bom Ar- Lavanda ou </t>
    </r>
    <r>
      <rPr>
        <sz val="10"/>
        <color rgb="FF000000"/>
        <rFont val="Arial"/>
        <family val="2"/>
      </rPr>
      <t xml:space="preserve">similar </t>
    </r>
  </si>
  <si>
    <t>Esponja de lã de aço pct. c/ 8 unidades</t>
  </si>
  <si>
    <t>Flanela macia com 60 x 40 cm em 3(três) cores diferentes para limpeza de mobiliário e vidros.</t>
  </si>
  <si>
    <t>Desinfetante líquido,  germicida, bactericida e cheiro discreto para uso geral galão com 5 litros</t>
  </si>
  <si>
    <t>Limpador Multiuso 500 ml, tipo Veja Multiuso ou similar,</t>
  </si>
  <si>
    <t>Esponja dupla face, um lado em espuma poliuretano e outro em fibra sintética abrasiva</t>
  </si>
  <si>
    <t>Inseticida líquido, eficaz contra o mosquito da dengue, combate pragas caseiras: moscas, mosquitos, pernilongos, muriçocas e barata. Frasco de no mínimo 380 ml.</t>
  </si>
  <si>
    <t>Lustra móveis, 200 ml, marca Poliflor ou similar</t>
  </si>
  <si>
    <t>Polidor de metal 200 ml</t>
  </si>
  <si>
    <t>Desodorizador Sanitário, não abrasivo, adesivo ao vaso sanitário</t>
  </si>
  <si>
    <t>Sabão Amarelo, barra 200 g</t>
  </si>
  <si>
    <t>Sabão de Côco, barra 200 g</t>
  </si>
  <si>
    <t>Sabão em pó, embalagem com 500 g</t>
  </si>
  <si>
    <t>Saco plástico p/lixo, cor preto, 200 lts. reforçado (pct. c/100)</t>
  </si>
  <si>
    <t>Saco plástico p/lixo, cor preto, 100 lts. Reforçado (pct. c/100)</t>
  </si>
  <si>
    <t>Saco plástico p/lixo, cor preto, 30 litros (pct. c/100)</t>
  </si>
  <si>
    <t>Sapólio em Pó com 300 g</t>
  </si>
  <si>
    <t>Pano de chão (70 x 50 cm)</t>
  </si>
  <si>
    <t>Vaselina Líquida</t>
  </si>
  <si>
    <t>Detergente neutro para uso nas Copas (embalagem 500ml)</t>
  </si>
  <si>
    <r>
      <t>Papel higiênico de boa qualidade, macio e branco, 1</t>
    </r>
    <r>
      <rPr>
        <u/>
        <sz val="10"/>
        <color rgb="FF000000"/>
        <rFont val="Calibri"/>
        <family val="2"/>
      </rPr>
      <t>00% celulose com folhas simples, não reciclado,</t>
    </r>
    <r>
      <rPr>
        <sz val="10"/>
        <color rgb="FF000000"/>
        <rFont val="Calibri"/>
        <family val="2"/>
      </rPr>
      <t xml:space="preserve"> em rolo com 300 metros de papel, adaptável ao dispenser fornecido e instalado pela empresa, uso nos banheiros.</t>
    </r>
  </si>
  <si>
    <t xml:space="preserve">Papel toalha folha dupla, 100% celulose, não reciclado, maciez e alta absorção, de boa qualidade, branco e macio, pacote com  1.000 folhas, adaptável ao  dispenser fornecido e instalado pela empresa, uso nos banheiros e copas. </t>
  </si>
  <si>
    <t>Sabonete líquido concentrado Galão com 05 litros.</t>
  </si>
  <si>
    <t>Valor total estimado</t>
  </si>
  <si>
    <t>UTENSÍLIOS</t>
  </si>
  <si>
    <t>UNIDADE DE FORNECIMENTO</t>
  </si>
  <si>
    <t>TOTAL</t>
  </si>
  <si>
    <t>Valor estimativo total</t>
  </si>
  <si>
    <t>Depreciação</t>
  </si>
  <si>
    <t>Balde plástico de 10 litros</t>
  </si>
  <si>
    <t>Borrifador plástico, capacidade  500 ml</t>
  </si>
  <si>
    <t>Desentupidor de pia</t>
  </si>
  <si>
    <t>Desentupidor de vaso sanitário</t>
  </si>
  <si>
    <t>Escova de nylon manual (sem cabo)</t>
  </si>
  <si>
    <r>
      <t>Espanador Eletrostático</t>
    </r>
    <r>
      <rPr>
        <sz val="10"/>
        <color rgb="FF000000"/>
        <rFont val="Arial"/>
        <family val="2"/>
      </rPr>
      <t xml:space="preserve"> </t>
    </r>
  </si>
  <si>
    <t>Espanador de teto</t>
  </si>
  <si>
    <t>Pá de plástico, com cabo longo, para lixo</t>
  </si>
  <si>
    <t>Rodo especial para janela/vidro</t>
  </si>
  <si>
    <t>Rodo para piso, com 40 cm</t>
  </si>
  <si>
    <t>Refil MOP água</t>
  </si>
  <si>
    <t>Vassoura de Gari Piaçava, com 50 cm</t>
  </si>
  <si>
    <t>Vassoura de Nylon 30 cm</t>
  </si>
  <si>
    <t>Vassoura de pêlo 40 cm cabo madeira</t>
  </si>
  <si>
    <t>Vassoura de Piaçava Natural/tamanho mínimo: 22 x 4 cm, cabo de rosca para fixação. Não será aceito piaçava com cerdas de plástico.</t>
  </si>
  <si>
    <t>Vassoura para vaso sanitário</t>
  </si>
  <si>
    <t>Tela odorizadora para mictório com duração mínima de 60 dias</t>
  </si>
  <si>
    <t>EQUIPAMENTOS</t>
  </si>
  <si>
    <t>Total Equipamentos</t>
  </si>
  <si>
    <t>Carro de mão para coleta de lixo com pneu calibrável</t>
  </si>
  <si>
    <t>Placas de sinalização de limpeza confeccionada em acrílico, tipo “Piso Molhado”</t>
  </si>
  <si>
    <t>Placas de Sinalização, confeccionada em acrílico, tipo “Banheiro Fora de Uso”</t>
  </si>
  <si>
    <t>Extensão elétrica com 40 m de comprimento.</t>
  </si>
  <si>
    <t>Escada articulada de alumínio, multiuso de 12 degraus</t>
  </si>
  <si>
    <t>Mão Mecânica para coleta de telas de mictório</t>
  </si>
  <si>
    <t>Kit de limpeza profissional, amarelo, com acessórios (balde com espremedor com reservatório de água limpa, ou balde com 2 águas e garra euro, cabo de alumínio extensível com 1,4 m com Rosaca na ponta, etc)</t>
  </si>
  <si>
    <t>Dispenser para Papel toalha folha dupla, uso nos banheiros e copas.</t>
  </si>
  <si>
    <t>Dispenser para Papel Higiênico em todos os sanitários</t>
  </si>
  <si>
    <t>Escada de alumínio, tesoura, de 7 degraus</t>
  </si>
  <si>
    <t>Cortador de grama elétrico</t>
  </si>
  <si>
    <t>Roçadeira elétrica</t>
  </si>
  <si>
    <t>Mangueira de jardim, de 100 m</t>
  </si>
  <si>
    <t>Materiais</t>
  </si>
  <si>
    <t>Utensílios</t>
  </si>
  <si>
    <t>Equipamentos</t>
  </si>
  <si>
    <t>Total por posto</t>
  </si>
  <si>
    <t>Total de postos</t>
  </si>
  <si>
    <t>UNIFORMES</t>
  </si>
  <si>
    <t>CUSTO UNITÁRIO (R$) [1]</t>
  </si>
  <si>
    <t>VIDA ÚTIL (MESES) [2]</t>
  </si>
  <si>
    <t>QTD [3]</t>
  </si>
  <si>
    <t>CUSTO MENSAL (R$) [4] [4]=[1]*[3]/[2]</t>
  </si>
  <si>
    <t>Calça</t>
  </si>
  <si>
    <t>Camisa</t>
  </si>
  <si>
    <t>Tênis</t>
  </si>
  <si>
    <t>Meia</t>
  </si>
  <si>
    <t>Boné</t>
  </si>
  <si>
    <t>Crachá de Identificação</t>
  </si>
  <si>
    <t>Luva</t>
  </si>
  <si>
    <t>Bota</t>
  </si>
  <si>
    <t>Custo Total Mensal</t>
  </si>
  <si>
    <t>Valor proposto por empregado
(B)</t>
  </si>
  <si>
    <t>21036.001025/2019-10</t>
  </si>
  <si>
    <t>5134-25</t>
  </si>
  <si>
    <t>Mín. =10%  |Méd. = 20%  |Máx. = 40%</t>
  </si>
  <si>
    <t>COPEIRA</t>
  </si>
  <si>
    <t>Encarregado</t>
  </si>
  <si>
    <t>Posto</t>
  </si>
  <si>
    <t>ausência por doença não está na IN 05, por isso não colocamos.</t>
  </si>
  <si>
    <t>Módulo 3 - Provisão para Rescisão</t>
  </si>
  <si>
    <t>Submódulo 4.1 - Custo de Reposição do Profissional Ausente</t>
  </si>
  <si>
    <t>Recife</t>
  </si>
  <si>
    <t>Ipojuca</t>
  </si>
  <si>
    <t>Dias úteis/ mês (01/04/20 a 01/04/21)</t>
  </si>
  <si>
    <t xml:space="preserve">MEMÓRIA DE CÁLCULO PARA OS MÓDULOS: </t>
  </si>
  <si>
    <t>(Valor do transporte)*2*(Dias úteis mensais)-(K24*0,06)</t>
  </si>
  <si>
    <t>B. Auxílio Refeição</t>
  </si>
  <si>
    <t>Fonte: https://www.dias-uteis.com/# e http://www.feriados.com.br/</t>
  </si>
  <si>
    <t>Água Sanitária - 1 litro</t>
  </si>
  <si>
    <r>
      <t xml:space="preserve">Purificador de ar, Bom Ar- Lavanda ou </t>
    </r>
    <r>
      <rPr>
        <sz val="10"/>
        <color rgb="FF000000"/>
        <rFont val="Arial"/>
        <family val="2"/>
      </rPr>
      <t>similar</t>
    </r>
  </si>
  <si>
    <t>Flanela macia com 60x40 cm, em 3 (três) cores diferentes para limpeza de mobiliário, vidros</t>
  </si>
  <si>
    <t>Inseticida líquido, eficaz contra o mosquito da dengue, combate pragas caseiras: moscas, mosquitos, pernilongos, muriçocas e barata. Frasco de 500 ml</t>
  </si>
  <si>
    <t>Desodorizador Sanitário não abrasivo, adesivo ao vaso sanitário</t>
  </si>
  <si>
    <t>Detergente líquido 500 ml.</t>
  </si>
  <si>
    <t>Sabão Amarelo, barra 200g</t>
  </si>
  <si>
    <t>Sabão em pó, embalagem com 500g</t>
  </si>
  <si>
    <t>Saco plástico p/lixo, cor preto, 30 lts. (pct. c/50)</t>
  </si>
  <si>
    <t xml:space="preserve">Saco plástico p/lixo, cor preto, 100 lts. </t>
  </si>
  <si>
    <t>Pano de chão</t>
  </si>
  <si>
    <t>Vassoura de pelo 30 cm cabo madeira</t>
  </si>
  <si>
    <t>Placas de Sinalização, confeccionada em acrílico, tipo “Banheiro Fora de Usi”</t>
  </si>
  <si>
    <t>Dispenser para Papel higiênico compatível com o papel fornecido, uso nos banheiros.</t>
  </si>
  <si>
    <t>Total de Postos</t>
  </si>
  <si>
    <t>Ipojuca/PE</t>
  </si>
  <si>
    <r>
      <t xml:space="preserve">Purificador de ar, Bom Ar- Lavanda ou </t>
    </r>
    <r>
      <rPr>
        <sz val="10"/>
        <color rgb="FF000000"/>
        <rFont val="Arial"/>
        <family val="2"/>
      </rPr>
      <t xml:space="preserve">similar </t>
    </r>
  </si>
  <si>
    <t>Flanela macia com 60x40 cm, em 3 (três) cores diferentes para limpeza de mobiliário e vidros</t>
  </si>
  <si>
    <t>Detergente líquido 500 ml</t>
  </si>
  <si>
    <t>Saco plástico p/lixo, cor preto, 30 lts.</t>
  </si>
  <si>
    <t>Saco plástico p/lixo, cor preto, 100 lts.</t>
  </si>
  <si>
    <t>Rodo para piso, com 30 cm</t>
  </si>
  <si>
    <t>Vassoura de nylon 30 cm</t>
  </si>
  <si>
    <t>UTENSÍLIOS DE USO SEMESTRAL</t>
  </si>
  <si>
    <t>Sabonete líquido concentrado (Espuma). Galão com 05 litros.</t>
  </si>
  <si>
    <t>Motorista</t>
  </si>
  <si>
    <t>7823-05</t>
  </si>
  <si>
    <t>MOTORISTA /APOIO ADMINISTRATIVO/ RECEPCIONISTA</t>
  </si>
  <si>
    <t>4221-05</t>
  </si>
  <si>
    <t>Recepcionista</t>
  </si>
  <si>
    <t>Auxiliar Administrativo</t>
  </si>
  <si>
    <t>4110-05</t>
  </si>
  <si>
    <t>Diferença entre o valor máximo M² e do cardeno de logística</t>
  </si>
  <si>
    <t>Área Externa</t>
  </si>
  <si>
    <t>Área Interna</t>
  </si>
  <si>
    <t>Esquadria Externa Com Exposição a Risco</t>
  </si>
  <si>
    <t>Esquadria Interna e Externa Sem Exposição a Risco</t>
  </si>
  <si>
    <t>* Estimativa de 12 agentes de limpeza.</t>
  </si>
  <si>
    <t>Porto de SUAPE</t>
  </si>
  <si>
    <t>* Estimativa de 1 agente de limpeza.</t>
  </si>
  <si>
    <t>Total (R$/M²)</t>
  </si>
  <si>
    <r>
      <t xml:space="preserve">Prestação de serviços continuados de </t>
    </r>
    <r>
      <rPr>
        <b/>
        <sz val="10"/>
        <rFont val="Arial"/>
        <family val="2"/>
      </rPr>
      <t xml:space="preserve">04 (quatro) postos </t>
    </r>
    <r>
      <rPr>
        <b/>
        <u/>
        <sz val="10"/>
        <rFont val="Arial"/>
        <family val="2"/>
      </rPr>
      <t>de motoristas</t>
    </r>
    <r>
      <rPr>
        <b/>
        <sz val="10"/>
        <rFont val="Arial"/>
        <family val="2"/>
      </rPr>
      <t>.</t>
    </r>
    <r>
      <rPr>
        <sz val="11"/>
        <color theme="1"/>
        <rFont val="Calibri"/>
        <family val="2"/>
        <scheme val="minor"/>
      </rPr>
      <t xml:space="preserve"> Jornada de 44 horas semanais, de segunda-feira a sexta-feira. Código Brasileiro de Ocupações - CBO 7823-05.</t>
    </r>
  </si>
  <si>
    <r>
      <t xml:space="preserve">Prestação de serviços continuados de </t>
    </r>
    <r>
      <rPr>
        <b/>
        <sz val="10"/>
        <rFont val="Arial"/>
        <family val="2"/>
      </rPr>
      <t>01 (uma) Recepcionista.</t>
    </r>
    <r>
      <rPr>
        <sz val="11"/>
        <color theme="1"/>
        <rFont val="Calibri"/>
        <family val="2"/>
        <scheme val="minor"/>
      </rPr>
      <t xml:space="preserve"> Jornada de 44 horas semanais, de segunda-feira à sexta-feira. Código Brasileiro de Ocupações - CBO 4221-05.</t>
    </r>
  </si>
  <si>
    <r>
      <t xml:space="preserve">Prestação de serviços continuados de </t>
    </r>
    <r>
      <rPr>
        <b/>
        <sz val="10"/>
        <rFont val="Arial"/>
        <family val="2"/>
      </rPr>
      <t xml:space="preserve">1 (um) posto de </t>
    </r>
    <r>
      <rPr>
        <b/>
        <u/>
        <sz val="10"/>
        <rFont val="Arial"/>
        <family val="2"/>
      </rPr>
      <t>Copeira</t>
    </r>
    <r>
      <rPr>
        <sz val="11"/>
        <color theme="1"/>
        <rFont val="Calibri"/>
        <family val="2"/>
        <scheme val="minor"/>
      </rPr>
      <t>. Jornada de 44 horas semanais, de segunda-feira sexta-feira. Código Brasileiro de Ocupações - CBO 5134-25.</t>
    </r>
  </si>
  <si>
    <r>
      <t xml:space="preserve">Prestação de serviços continuados de </t>
    </r>
    <r>
      <rPr>
        <b/>
        <sz val="10"/>
        <rFont val="Arial"/>
        <family val="2"/>
      </rPr>
      <t xml:space="preserve">10 (dez) postos de </t>
    </r>
    <r>
      <rPr>
        <b/>
        <u/>
        <sz val="10"/>
        <rFont val="Arial"/>
        <family val="2"/>
      </rPr>
      <t>Auxiliar Administrativo</t>
    </r>
    <r>
      <rPr>
        <sz val="11"/>
        <color theme="1"/>
        <rFont val="Calibri"/>
        <family val="2"/>
        <scheme val="minor"/>
      </rPr>
      <t>. Jornada de 44 horas semanais, de segunda-feira a sexta-feira. Código Brasileiro de Ocupações - CBO 4110-05.</t>
    </r>
  </si>
  <si>
    <t>(E) Preço Homem-Mês</t>
  </si>
  <si>
    <t>(F )Subtotal (R$/M²)</t>
  </si>
  <si>
    <t>Valor do Metro Quadrado</t>
  </si>
  <si>
    <t>Álcool comum em gel, 70º INPM, no mínimo (litro)</t>
  </si>
  <si>
    <t>Álcool comum em gel, 70º INPM, no mínimo (1 l)</t>
  </si>
  <si>
    <t>Dispenser para Sabonete líquido concentrado ou Álcool em gel</t>
  </si>
  <si>
    <t>Dispenser para Sabonete líquido concentrado ou Álcool em gel.</t>
  </si>
  <si>
    <t>Salário:</t>
  </si>
  <si>
    <t>Área (m²)</t>
  </si>
  <si>
    <t>(Valor Diário do Auxílio Alimentação: R$ 7,35) x (Dias úteis mensais)</t>
  </si>
  <si>
    <t xml:space="preserve">Transporte </t>
  </si>
  <si>
    <t>Aspirador de pó semi-industrial para pó  líquidos com acessórios incluindo a substituição de sacos sempre que  necessário.</t>
  </si>
  <si>
    <t>MOP completo (Cera)</t>
  </si>
  <si>
    <t>MATERIAL DE CONSUMO MENSAL - SEDE</t>
  </si>
  <si>
    <t>MATERIAL DE CONSUMO MENSAL - PORTO DE SUAPE</t>
  </si>
  <si>
    <t>MATERIAL DE CONSUMO MENSAL - AEROPORTO DO RECIFE</t>
  </si>
  <si>
    <t>MATERIAL DE CONSUMO MENSAL - PORTO DO RECIFE</t>
  </si>
  <si>
    <t>MATERIAL DE CONSUMO MENSAL - UNIDADE DE PETROLINA</t>
  </si>
  <si>
    <t>MATERIAL DE CONSUMO MENSAL - UNIDADE DE GARANHUNS</t>
  </si>
  <si>
    <t>Mês</t>
  </si>
  <si>
    <t>Servente Porto de Suape</t>
  </si>
  <si>
    <t>Servente Aeroporto do Recife</t>
  </si>
  <si>
    <t>Servente Porto do Recife</t>
  </si>
  <si>
    <t>Servente Petrolina</t>
  </si>
  <si>
    <t>Servente Garanhuns</t>
  </si>
  <si>
    <t>CÁLCULO DO VALOR POR METRO QUADRADO</t>
  </si>
  <si>
    <t>CÁLCULO DO VALOR MENSAL E ANUAL DOS POSTOS DE SERVENTES E ENCARREGADO</t>
  </si>
  <si>
    <t>RESUMO: VALOR MENSAL E VALOR ANUAL</t>
  </si>
  <si>
    <t>CÁLCULO DO QUANTITATIVO DE PESSOAL PARA OS POSTOS DE SERVENTE, COPEIRA E ENCARREGADO</t>
  </si>
  <si>
    <t xml:space="preserve">Coberturas Sociais - </t>
  </si>
  <si>
    <t xml:space="preserve">Cesta Básica - </t>
  </si>
  <si>
    <t xml:space="preserve">Auxílio Refeição/ Alimentação </t>
  </si>
  <si>
    <t>Auxílio Refeição/ Alimentação</t>
  </si>
  <si>
    <t>Transporte</t>
  </si>
  <si>
    <t>Pregão Eletrônico nº XX/2020</t>
  </si>
  <si>
    <t>ANEXO IV</t>
  </si>
  <si>
    <t>Modelo de Planilha de Custos</t>
  </si>
  <si>
    <r>
      <t xml:space="preserve">Prestação de serviços continuados de </t>
    </r>
    <r>
      <rPr>
        <b/>
        <sz val="10"/>
        <color theme="1"/>
        <rFont val="Arial"/>
        <family val="2"/>
      </rPr>
      <t>limpeza e conservação com fornecimento de materiais, equipamentos e insumos para a SFA-PE</t>
    </r>
    <r>
      <rPr>
        <sz val="10"/>
        <color theme="1"/>
        <rFont val="Arial"/>
        <family val="2"/>
      </rPr>
      <t>. Compreendendo XX (XXXX) postos de Servente, (com jornada de 44 horas semanais, de segunda-feira a sexta-feira. Código Brasileiro de Ocupações - CBO 5143-20.</t>
    </r>
  </si>
  <si>
    <r>
      <t>Prestação de serviço de 01 (um) posto de supervisor de pessoal (</t>
    </r>
    <r>
      <rPr>
        <b/>
        <sz val="10"/>
        <color theme="1"/>
        <rFont val="Arial"/>
        <family val="2"/>
      </rPr>
      <t>Encarregado</t>
    </r>
    <r>
      <rPr>
        <sz val="10"/>
        <color theme="1"/>
        <rFont val="Arial"/>
        <family val="2"/>
      </rPr>
      <t>). CBO 4101-05.</t>
    </r>
  </si>
  <si>
    <t>SERVENTE</t>
  </si>
  <si>
    <t>ENCARREGADO</t>
  </si>
  <si>
    <t>Cálculo a ser efetuado: 40% * 8%* % APT</t>
  </si>
  <si>
    <t>Cálculo a ser efetuado: 40% * 8%* % API</t>
  </si>
  <si>
    <t xml:space="preserve">F-Multa do FGTS do Aviso Prévio Trabalhado  (40% s/ FGTS) </t>
  </si>
  <si>
    <t xml:space="preserve">F-Multa do FGTS do Aviso Prévio Trabalhado  (50% s/ FGTS)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</si>
</sst>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164" formatCode="[$R$-416]\ #,##0.00;[Red]\-[$R$-416]\ #,##0.00"/>
    <numFmt numFmtId="165" formatCode="&quot;R$&quot;\ #,##0.00"/>
    <numFmt numFmtId="166" formatCode="[$R$-416]#,##0.00;[Red]\-[$R$-416]#,##0.00"/>
    <numFmt numFmtId="167" formatCode="0.00000"/>
    <numFmt numFmtId="168" formatCode="0.000%"/>
    <numFmt numFmtId="169" formatCode="#,##0.000"/>
    <numFmt numFmtId="170" formatCode="0.00000000"/>
    <numFmt numFmtId="171" formatCode="0.000"/>
    <numFmt numFmtId="172" formatCode="&quot; R$ &quot;#,##0.00\ ;&quot; R$ (&quot;#,##0.00\);&quot; R$ -&quot;#\ ;@\ "/>
    <numFmt numFmtId="173" formatCode="00"/>
    <numFmt numFmtId="174" formatCode="#,##0.0000"/>
    <numFmt numFmtId="175" formatCode="0.0000000000"/>
    <numFmt numFmtId="176" formatCode="0.0000000"/>
    <numFmt numFmtId="177" formatCode="0.000000000"/>
    <numFmt numFmtId="178" formatCode="h:mm;@"/>
    <numFmt numFmtId="179" formatCode="0.0000%"/>
    <numFmt numFmtId="180" formatCode="0.00000%"/>
    <numFmt numFmtId="181" formatCode="#,##0.00;[Red]#,##0.00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u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Arial"/>
      <family val="2"/>
    </font>
    <font>
      <b/>
      <vertAlign val="superscript"/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2"/>
      <color rgb="FFFFFFFF"/>
      <name val="Times New Roman"/>
      <family val="1"/>
    </font>
    <font>
      <sz val="12"/>
      <name val="Times New Roman"/>
      <family val="1"/>
    </font>
    <font>
      <b/>
      <sz val="12"/>
      <color rgb="FF0084D1"/>
      <name val="Times New Roman"/>
      <family val="1"/>
    </font>
    <font>
      <b/>
      <i/>
      <sz val="12"/>
      <color rgb="FF000000"/>
      <name val="Times New Roman"/>
      <family val="1"/>
    </font>
    <font>
      <b/>
      <i/>
      <sz val="12"/>
      <name val="Times New Roman"/>
      <family val="1"/>
    </font>
    <font>
      <b/>
      <i/>
      <u/>
      <sz val="12"/>
      <name val="Times New Roman"/>
      <family val="1"/>
    </font>
    <font>
      <i/>
      <sz val="12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7030A0"/>
      <name val="Times New Roman"/>
      <family val="1"/>
    </font>
    <font>
      <sz val="10"/>
      <color rgb="FF7030A0"/>
      <name val="Arial"/>
      <family val="2"/>
    </font>
    <font>
      <i/>
      <sz val="12"/>
      <color rgb="FF0084D1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0"/>
      <color rgb="FF222222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b/>
      <sz val="8"/>
      <color theme="1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u/>
      <sz val="10"/>
      <name val="Arial"/>
      <family val="2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color rgb="FF000000"/>
      <name val="Calibri"/>
      <family val="2"/>
    </font>
    <font>
      <sz val="11"/>
      <color rgb="FF333333"/>
      <name val="Calibri"/>
      <family val="2"/>
    </font>
    <font>
      <sz val="10"/>
      <color rgb="FF000000"/>
      <name val="Arial"/>
      <family val="2"/>
    </font>
    <font>
      <u/>
      <sz val="10"/>
      <color rgb="FF000000"/>
      <name val="Calibri"/>
      <family val="2"/>
    </font>
  </fonts>
  <fills count="31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00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CCFFFF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rgb="FFFFFF00"/>
      </patternFill>
    </fill>
    <fill>
      <patternFill patternType="solid">
        <fgColor rgb="FFFFC00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  <fill>
      <patternFill patternType="solid">
        <fgColor rgb="FFB4C6E7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66FFFF"/>
        <bgColor rgb="FF83CAFF"/>
      </patternFill>
    </fill>
    <fill>
      <patternFill patternType="solid">
        <fgColor theme="0"/>
        <bgColor rgb="FF83CAFF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CC"/>
        <bgColor rgb="FFFFFFFF"/>
      </patternFill>
    </fill>
    <fill>
      <patternFill patternType="solid">
        <fgColor rgb="FF99CCFF"/>
        <bgColor rgb="FFCCCCFF"/>
      </patternFill>
    </fill>
    <fill>
      <patternFill patternType="solid">
        <fgColor rgb="FFFFFFFF"/>
        <bgColor indexed="64"/>
      </patternFill>
    </fill>
    <fill>
      <patternFill patternType="solid">
        <fgColor rgb="FFDBE5F1"/>
      </patternFill>
    </fill>
    <fill>
      <patternFill patternType="solid">
        <fgColor rgb="FFCCFFCC"/>
        <bgColor rgb="FFCFE7F5"/>
      </patternFill>
    </fill>
    <fill>
      <patternFill patternType="solid">
        <fgColor theme="9" tint="0.59999389629810485"/>
        <bgColor rgb="FFFFFF00"/>
      </patternFill>
    </fill>
    <fill>
      <patternFill patternType="solid">
        <fgColor theme="9" tint="0.59999389629810485"/>
        <bgColor rgb="FF000000"/>
      </patternFill>
    </fill>
  </fills>
  <borders count="115">
    <border>
      <left/>
      <right/>
      <top/>
      <bottom/>
      <diagonal/>
    </border>
    <border>
      <left style="double">
        <color rgb="FF004586"/>
      </left>
      <right/>
      <top style="double">
        <color rgb="FF004586"/>
      </top>
      <bottom style="double">
        <color rgb="FF004586"/>
      </bottom>
      <diagonal/>
    </border>
    <border>
      <left style="double">
        <color rgb="FF004586"/>
      </left>
      <right style="double">
        <color rgb="FF004586"/>
      </right>
      <top style="double">
        <color rgb="FF004586"/>
      </top>
      <bottom style="double">
        <color rgb="FF004586"/>
      </bottom>
      <diagonal/>
    </border>
    <border>
      <left/>
      <right/>
      <top style="double">
        <color rgb="FF004586"/>
      </top>
      <bottom/>
      <diagonal/>
    </border>
    <border>
      <left/>
      <right style="double">
        <color rgb="FF004586"/>
      </right>
      <top style="double">
        <color rgb="FF004586"/>
      </top>
      <bottom/>
      <diagonal/>
    </border>
    <border>
      <left style="thin">
        <color rgb="FF004586"/>
      </left>
      <right style="thin">
        <color rgb="FF004586"/>
      </right>
      <top style="double">
        <color rgb="FF004586"/>
      </top>
      <bottom style="double">
        <color rgb="FF004586"/>
      </bottom>
      <diagonal/>
    </border>
    <border>
      <left style="thin">
        <color rgb="FF004586"/>
      </left>
      <right style="double">
        <color rgb="FF004586"/>
      </right>
      <top style="double">
        <color rgb="FF004586"/>
      </top>
      <bottom style="double">
        <color rgb="FF004586"/>
      </bottom>
      <diagonal/>
    </border>
    <border>
      <left/>
      <right style="double">
        <color rgb="FF004586"/>
      </right>
      <top/>
      <bottom/>
      <diagonal/>
    </border>
    <border>
      <left style="thin">
        <color rgb="FF004586"/>
      </left>
      <right/>
      <top style="double">
        <color rgb="FF004586"/>
      </top>
      <bottom style="double">
        <color rgb="FF004586"/>
      </bottom>
      <diagonal/>
    </border>
    <border>
      <left/>
      <right/>
      <top style="double">
        <color rgb="FF004586"/>
      </top>
      <bottom style="double">
        <color rgb="FF004586"/>
      </bottom>
      <diagonal/>
    </border>
    <border>
      <left/>
      <right style="thin">
        <color rgb="FF004586"/>
      </right>
      <top style="double">
        <color rgb="FF004586"/>
      </top>
      <bottom style="double">
        <color rgb="FF004586"/>
      </bottom>
      <diagonal/>
    </border>
    <border>
      <left style="double">
        <color rgb="FF004586"/>
      </left>
      <right/>
      <top/>
      <bottom/>
      <diagonal/>
    </border>
    <border>
      <left style="double">
        <color rgb="FF004586"/>
      </left>
      <right style="thin">
        <color auto="1"/>
      </right>
      <top style="double">
        <color rgb="FF004586"/>
      </top>
      <bottom style="double">
        <color rgb="FF00458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004586"/>
      </bottom>
      <diagonal/>
    </border>
    <border>
      <left style="double">
        <color rgb="FF004586"/>
      </left>
      <right style="double">
        <color rgb="FF004586"/>
      </right>
      <top/>
      <bottom style="double">
        <color rgb="FF004586"/>
      </bottom>
      <diagonal/>
    </border>
    <border>
      <left/>
      <right style="double">
        <color rgb="FF004586"/>
      </right>
      <top style="double">
        <color rgb="FF004586"/>
      </top>
      <bottom style="double">
        <color rgb="FF004586"/>
      </bottom>
      <diagonal/>
    </border>
    <border>
      <left style="thin">
        <color auto="1"/>
      </left>
      <right style="thin">
        <color auto="1"/>
      </right>
      <top style="double">
        <color rgb="FF004586"/>
      </top>
      <bottom style="double">
        <color rgb="FF004586"/>
      </bottom>
      <diagonal/>
    </border>
    <border>
      <left style="thin">
        <color auto="1"/>
      </left>
      <right style="double">
        <color rgb="FF004586"/>
      </right>
      <top style="double">
        <color rgb="FF004586"/>
      </top>
      <bottom style="double">
        <color rgb="FF004586"/>
      </bottom>
      <diagonal/>
    </border>
    <border>
      <left style="double">
        <color rgb="FF004586"/>
      </left>
      <right/>
      <top style="double">
        <color rgb="FF004586"/>
      </top>
      <bottom/>
      <diagonal/>
    </border>
    <border>
      <left style="double">
        <color rgb="FF004586"/>
      </left>
      <right/>
      <top/>
      <bottom style="double">
        <color rgb="FF004586"/>
      </bottom>
      <diagonal/>
    </border>
    <border>
      <left/>
      <right style="double">
        <color rgb="FF004586"/>
      </right>
      <top/>
      <bottom style="double">
        <color rgb="FF004586"/>
      </bottom>
      <diagonal/>
    </border>
    <border>
      <left style="thin">
        <color auto="1"/>
      </left>
      <right/>
      <top style="double">
        <color rgb="FF004586"/>
      </top>
      <bottom style="double">
        <color rgb="FF004586"/>
      </bottom>
      <diagonal/>
    </border>
    <border>
      <left style="hair">
        <color auto="1"/>
      </left>
      <right style="hair">
        <color auto="1"/>
      </right>
      <top style="double">
        <color rgb="FF004586"/>
      </top>
      <bottom style="double">
        <color rgb="FF004586"/>
      </bottom>
      <diagonal/>
    </border>
    <border>
      <left style="double">
        <color rgb="FF004586"/>
      </left>
      <right style="double">
        <color rgb="FF004586"/>
      </right>
      <top style="double">
        <color rgb="FF004586"/>
      </top>
      <bottom/>
      <diagonal/>
    </border>
    <border>
      <left style="thin">
        <color auto="1"/>
      </left>
      <right style="thin">
        <color rgb="FF004586"/>
      </right>
      <top style="double">
        <color rgb="FF004586"/>
      </top>
      <bottom style="double">
        <color rgb="FF004586"/>
      </bottom>
      <diagonal/>
    </border>
    <border>
      <left/>
      <right style="thin">
        <color auto="1"/>
      </right>
      <top style="double">
        <color rgb="FF004586"/>
      </top>
      <bottom style="double">
        <color rgb="FF004586"/>
      </bottom>
      <diagonal/>
    </border>
    <border>
      <left style="double">
        <color rgb="FF004586"/>
      </left>
      <right style="double">
        <color rgb="FF004586"/>
      </right>
      <top/>
      <bottom/>
      <diagonal/>
    </border>
    <border>
      <left style="double">
        <color rgb="FF004586"/>
      </left>
      <right style="thin">
        <color rgb="FF004586"/>
      </right>
      <top style="double">
        <color rgb="FF004586"/>
      </top>
      <bottom style="double">
        <color rgb="FF004586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double">
        <color theme="4" tint="-0.24994659260841701"/>
      </left>
      <right style="double">
        <color theme="4" tint="-0.24994659260841701"/>
      </right>
      <top style="double">
        <color theme="4" tint="-0.24994659260841701"/>
      </top>
      <bottom style="double">
        <color theme="4" tint="-0.24994659260841701"/>
      </bottom>
      <diagonal/>
    </border>
    <border>
      <left style="double">
        <color theme="4" tint="-0.24994659260841701"/>
      </left>
      <right/>
      <top/>
      <bottom style="double">
        <color rgb="FF004586"/>
      </bottom>
      <diagonal/>
    </border>
    <border>
      <left/>
      <right style="double">
        <color rgb="FF004586"/>
      </right>
      <top style="double">
        <color rgb="FF004586"/>
      </top>
      <bottom style="double">
        <color theme="4" tint="-0.24994659260841701"/>
      </bottom>
      <diagonal/>
    </border>
    <border>
      <left/>
      <right/>
      <top style="double">
        <color rgb="FF004586"/>
      </top>
      <bottom style="double">
        <color theme="4" tint="-0.2499465926084170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theme="4" tint="-0.24994659260841701"/>
      </left>
      <right style="double">
        <color theme="4" tint="-0.24994659260841701"/>
      </right>
      <top style="double">
        <color rgb="FF004586"/>
      </top>
      <bottom style="double">
        <color theme="4" tint="-0.24994659260841701"/>
      </bottom>
      <diagonal/>
    </border>
    <border>
      <left style="double">
        <color theme="4" tint="-0.24994659260841701"/>
      </left>
      <right/>
      <top style="double">
        <color rgb="FF004586"/>
      </top>
      <bottom/>
      <diagonal/>
    </border>
    <border>
      <left/>
      <right style="double">
        <color theme="4" tint="-0.24994659260841701"/>
      </right>
      <top style="double">
        <color rgb="FF004586"/>
      </top>
      <bottom/>
      <diagonal/>
    </border>
    <border>
      <left/>
      <right style="double">
        <color theme="4" tint="-0.24994659260841701"/>
      </right>
      <top/>
      <bottom style="double">
        <color rgb="FF004586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hair">
        <color indexed="64"/>
      </right>
      <top style="hair">
        <color auto="1"/>
      </top>
      <bottom style="hair">
        <color indexed="64"/>
      </bottom>
      <diagonal/>
    </border>
    <border>
      <left style="medium">
        <color auto="1"/>
      </left>
      <right style="hair">
        <color indexed="64"/>
      </right>
      <top style="hair">
        <color auto="1"/>
      </top>
      <bottom/>
      <diagonal/>
    </border>
    <border>
      <left style="double">
        <color rgb="FF0070C0"/>
      </left>
      <right style="double">
        <color rgb="FF004586"/>
      </right>
      <top style="double">
        <color rgb="FF004586"/>
      </top>
      <bottom style="double">
        <color rgb="FF004586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ck">
        <color auto="1"/>
      </top>
      <bottom style="medium">
        <color indexed="64"/>
      </bottom>
      <diagonal/>
    </border>
    <border>
      <left/>
      <right style="medium">
        <color indexed="64"/>
      </right>
      <top style="thick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10" fillId="0" borderId="0"/>
    <xf numFmtId="172" fontId="10" fillId="0" borderId="0" applyBorder="0" applyAlignment="0" applyProtection="0"/>
    <xf numFmtId="0" fontId="37" fillId="0" borderId="0"/>
    <xf numFmtId="172" fontId="37" fillId="0" borderId="0"/>
  </cellStyleXfs>
  <cellXfs count="829">
    <xf numFmtId="0" fontId="0" fillId="0" borderId="0" xfId="0"/>
    <xf numFmtId="0" fontId="3" fillId="3" borderId="3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3" borderId="0" xfId="0" applyFont="1" applyFill="1" applyAlignment="1">
      <alignment vertical="center"/>
    </xf>
    <xf numFmtId="0" fontId="3" fillId="3" borderId="7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vertical="center"/>
    </xf>
    <xf numFmtId="0" fontId="4" fillId="4" borderId="15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vertical="center"/>
    </xf>
    <xf numFmtId="0" fontId="4" fillId="4" borderId="2" xfId="0" applyFont="1" applyFill="1" applyBorder="1" applyAlignment="1">
      <alignment horizontal="center" vertical="center"/>
    </xf>
    <xf numFmtId="1" fontId="5" fillId="4" borderId="2" xfId="0" applyNumberFormat="1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164" fontId="6" fillId="4" borderId="2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14" fontId="6" fillId="4" borderId="2" xfId="0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49" fontId="6" fillId="4" borderId="18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65" fontId="3" fillId="0" borderId="0" xfId="0" applyNumberFormat="1" applyFont="1" applyAlignment="1">
      <alignment vertical="center"/>
    </xf>
    <xf numFmtId="0" fontId="3" fillId="6" borderId="16" xfId="0" applyFont="1" applyFill="1" applyBorder="1" applyAlignment="1">
      <alignment vertical="center"/>
    </xf>
    <xf numFmtId="164" fontId="6" fillId="8" borderId="2" xfId="0" applyNumberFormat="1" applyFont="1" applyFill="1" applyBorder="1" applyAlignment="1">
      <alignment horizontal="center" vertical="center"/>
    </xf>
    <xf numFmtId="166" fontId="3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2" fillId="2" borderId="2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0" fontId="3" fillId="8" borderId="9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10" fontId="3" fillId="2" borderId="9" xfId="0" applyNumberFormat="1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10" fontId="3" fillId="8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68" fontId="3" fillId="8" borderId="2" xfId="0" applyNumberFormat="1" applyFont="1" applyFill="1" applyBorder="1" applyAlignment="1" applyProtection="1">
      <alignment horizontal="center" vertical="center"/>
      <protection locked="0"/>
    </xf>
    <xf numFmtId="164" fontId="6" fillId="8" borderId="2" xfId="0" applyNumberFormat="1" applyFont="1" applyFill="1" applyBorder="1" applyAlignment="1" applyProtection="1">
      <alignment horizontal="center" vertical="center"/>
      <protection locked="0"/>
    </xf>
    <xf numFmtId="10" fontId="3" fillId="8" borderId="2" xfId="0" applyNumberFormat="1" applyFont="1" applyFill="1" applyBorder="1" applyAlignment="1" applyProtection="1">
      <alignment horizontal="center" vertical="center"/>
      <protection locked="0"/>
    </xf>
    <xf numFmtId="0" fontId="2" fillId="8" borderId="0" xfId="0" applyFont="1" applyFill="1" applyAlignment="1">
      <alignment vertical="center"/>
    </xf>
    <xf numFmtId="168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vertical="center"/>
    </xf>
    <xf numFmtId="0" fontId="2" fillId="2" borderId="9" xfId="0" applyFont="1" applyFill="1" applyBorder="1" applyAlignment="1">
      <alignment vertical="center"/>
    </xf>
    <xf numFmtId="164" fontId="4" fillId="2" borderId="2" xfId="0" applyNumberFormat="1" applyFont="1" applyFill="1" applyBorder="1" applyAlignment="1">
      <alignment horizontal="center" vertical="center"/>
    </xf>
    <xf numFmtId="0" fontId="2" fillId="9" borderId="16" xfId="0" applyFont="1" applyFill="1" applyBorder="1" applyAlignment="1" applyProtection="1">
      <alignment vertical="center"/>
      <protection locked="0"/>
    </xf>
    <xf numFmtId="0" fontId="2" fillId="8" borderId="0" xfId="0" applyFont="1" applyFill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67" fontId="2" fillId="10" borderId="0" xfId="0" applyNumberFormat="1" applyFont="1" applyFill="1" applyAlignment="1" applyProtection="1">
      <alignment vertical="center"/>
      <protection locked="0"/>
    </xf>
    <xf numFmtId="167" fontId="2" fillId="8" borderId="0" xfId="0" applyNumberFormat="1" applyFont="1" applyFill="1" applyAlignment="1">
      <alignment vertical="center"/>
    </xf>
    <xf numFmtId="2" fontId="7" fillId="0" borderId="0" xfId="1" applyNumberFormat="1" applyFont="1" applyAlignment="1">
      <alignment vertical="center"/>
    </xf>
    <xf numFmtId="171" fontId="2" fillId="0" borderId="0" xfId="0" applyNumberFormat="1" applyFont="1" applyAlignment="1">
      <alignment vertical="center"/>
    </xf>
    <xf numFmtId="0" fontId="2" fillId="9" borderId="0" xfId="0" applyFont="1" applyFill="1" applyAlignment="1" applyProtection="1">
      <alignment vertical="center"/>
      <protection locked="0"/>
    </xf>
    <xf numFmtId="2" fontId="2" fillId="0" borderId="0" xfId="0" applyNumberFormat="1" applyFont="1" applyAlignment="1">
      <alignment vertical="center"/>
    </xf>
    <xf numFmtId="10" fontId="2" fillId="2" borderId="2" xfId="0" applyNumberFormat="1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7" fillId="0" borderId="0" xfId="0" applyFont="1"/>
    <xf numFmtId="0" fontId="2" fillId="8" borderId="2" xfId="0" applyFont="1" applyFill="1" applyBorder="1" applyAlignment="1">
      <alignment vertical="center"/>
    </xf>
    <xf numFmtId="164" fontId="6" fillId="0" borderId="2" xfId="0" applyNumberFormat="1" applyFont="1" applyBorder="1" applyAlignment="1">
      <alignment horizontal="center" vertical="center"/>
    </xf>
    <xf numFmtId="0" fontId="3" fillId="3" borderId="9" xfId="0" applyFont="1" applyFill="1" applyBorder="1" applyAlignment="1">
      <alignment vertical="center"/>
    </xf>
    <xf numFmtId="0" fontId="2" fillId="3" borderId="9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0" fontId="6" fillId="3" borderId="9" xfId="0" applyFont="1" applyFill="1" applyBorder="1" applyAlignment="1">
      <alignment vertical="center"/>
    </xf>
    <xf numFmtId="10" fontId="6" fillId="4" borderId="1" xfId="0" applyNumberFormat="1" applyFont="1" applyFill="1" applyBorder="1" applyAlignment="1" applyProtection="1">
      <alignment horizontal="center" vertical="center"/>
      <protection locked="0"/>
    </xf>
    <xf numFmtId="4" fontId="3" fillId="8" borderId="2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73" fontId="3" fillId="0" borderId="5" xfId="0" applyNumberFormat="1" applyFont="1" applyBorder="1" applyAlignment="1">
      <alignment horizontal="center" vertical="center"/>
    </xf>
    <xf numFmtId="172" fontId="3" fillId="0" borderId="6" xfId="0" applyNumberFormat="1" applyFont="1" applyBorder="1" applyAlignment="1">
      <alignment horizontal="center" vertical="center"/>
    </xf>
    <xf numFmtId="172" fontId="2" fillId="2" borderId="6" xfId="0" applyNumberFormat="1" applyFont="1" applyFill="1" applyBorder="1" applyAlignment="1">
      <alignment horizontal="center" vertical="center"/>
    </xf>
    <xf numFmtId="172" fontId="2" fillId="2" borderId="24" xfId="0" applyNumberFormat="1" applyFont="1" applyFill="1" applyBorder="1" applyAlignment="1">
      <alignment horizontal="center" vertical="center"/>
    </xf>
    <xf numFmtId="0" fontId="2" fillId="9" borderId="13" xfId="0" applyFont="1" applyFill="1" applyBorder="1" applyAlignment="1">
      <alignment horizontal="center" vertical="center"/>
    </xf>
    <xf numFmtId="174" fontId="2" fillId="9" borderId="13" xfId="0" applyNumberFormat="1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vertical="center"/>
    </xf>
    <xf numFmtId="0" fontId="13" fillId="3" borderId="4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0" fillId="0" borderId="0" xfId="0" applyFont="1"/>
    <xf numFmtId="0" fontId="12" fillId="3" borderId="0" xfId="0" applyFont="1" applyFill="1" applyAlignment="1">
      <alignment vertical="center"/>
    </xf>
    <xf numFmtId="0" fontId="13" fillId="3" borderId="7" xfId="0" applyFont="1" applyFill="1" applyBorder="1" applyAlignment="1">
      <alignment vertical="center"/>
    </xf>
    <xf numFmtId="0" fontId="11" fillId="2" borderId="5" xfId="0" applyFont="1" applyFill="1" applyBorder="1" applyAlignment="1">
      <alignment vertical="center"/>
    </xf>
    <xf numFmtId="0" fontId="13" fillId="3" borderId="11" xfId="0" applyFont="1" applyFill="1" applyBorder="1" applyAlignment="1">
      <alignment vertical="center"/>
    </xf>
    <xf numFmtId="0" fontId="13" fillId="3" borderId="0" xfId="0" applyFont="1" applyFill="1" applyAlignment="1">
      <alignment vertical="center"/>
    </xf>
    <xf numFmtId="0" fontId="14" fillId="2" borderId="12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vertical="center"/>
    </xf>
    <xf numFmtId="0" fontId="16" fillId="11" borderId="15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vertical="center"/>
    </xf>
    <xf numFmtId="0" fontId="16" fillId="11" borderId="2" xfId="0" applyFont="1" applyFill="1" applyBorder="1" applyAlignment="1">
      <alignment horizontal="center" vertical="center"/>
    </xf>
    <xf numFmtId="2" fontId="17" fillId="11" borderId="2" xfId="0" applyNumberFormat="1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164" fontId="18" fillId="11" borderId="2" xfId="0" applyNumberFormat="1" applyFont="1" applyFill="1" applyBorder="1" applyAlignment="1">
      <alignment horizontal="center" vertical="center"/>
    </xf>
    <xf numFmtId="0" fontId="18" fillId="11" borderId="2" xfId="0" applyFont="1" applyFill="1" applyBorder="1" applyAlignment="1">
      <alignment horizontal="center" vertical="center"/>
    </xf>
    <xf numFmtId="14" fontId="18" fillId="11" borderId="2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49" fontId="18" fillId="11" borderId="18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9" fillId="3" borderId="16" xfId="0" applyFont="1" applyFill="1" applyBorder="1" applyAlignment="1">
      <alignment vertical="center"/>
    </xf>
    <xf numFmtId="164" fontId="18" fillId="13" borderId="2" xfId="0" applyNumberFormat="1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vertical="center"/>
    </xf>
    <xf numFmtId="0" fontId="19" fillId="3" borderId="9" xfId="0" applyFont="1" applyFill="1" applyBorder="1" applyAlignment="1">
      <alignment vertical="center"/>
    </xf>
    <xf numFmtId="0" fontId="11" fillId="2" borderId="12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vertical="center"/>
    </xf>
    <xf numFmtId="164" fontId="18" fillId="13" borderId="2" xfId="0" applyNumberFormat="1" applyFont="1" applyFill="1" applyBorder="1" applyAlignment="1">
      <alignment horizontal="center" vertical="center"/>
    </xf>
    <xf numFmtId="166" fontId="20" fillId="0" borderId="0" xfId="0" applyNumberFormat="1" applyFont="1" applyAlignment="1">
      <alignment vertical="center"/>
    </xf>
    <xf numFmtId="164" fontId="18" fillId="0" borderId="2" xfId="0" applyNumberFormat="1" applyFont="1" applyBorder="1" applyAlignment="1">
      <alignment horizontal="center" vertical="center"/>
    </xf>
    <xf numFmtId="164" fontId="11" fillId="2" borderId="2" xfId="0" applyNumberFormat="1" applyFont="1" applyFill="1" applyBorder="1" applyAlignment="1">
      <alignment horizontal="center" vertical="center"/>
    </xf>
    <xf numFmtId="166" fontId="13" fillId="0" borderId="0" xfId="0" applyNumberFormat="1" applyFont="1" applyAlignment="1">
      <alignment vertical="center"/>
    </xf>
    <xf numFmtId="0" fontId="11" fillId="0" borderId="1" xfId="0" applyFont="1" applyBorder="1" applyAlignment="1">
      <alignment horizontal="center" vertical="center"/>
    </xf>
    <xf numFmtId="10" fontId="13" fillId="13" borderId="9" xfId="0" applyNumberFormat="1" applyFont="1" applyFill="1" applyBorder="1" applyAlignment="1">
      <alignment vertical="center"/>
    </xf>
    <xf numFmtId="164" fontId="13" fillId="13" borderId="2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11" fillId="2" borderId="1" xfId="0" applyFont="1" applyFill="1" applyBorder="1" applyAlignment="1">
      <alignment horizontal="left" vertical="center"/>
    </xf>
    <xf numFmtId="10" fontId="13" fillId="2" borderId="9" xfId="0" applyNumberFormat="1" applyFont="1" applyFill="1" applyBorder="1" applyAlignment="1">
      <alignment vertical="center"/>
    </xf>
    <xf numFmtId="10" fontId="11" fillId="2" borderId="1" xfId="0" applyNumberFormat="1" applyFont="1" applyFill="1" applyBorder="1" applyAlignment="1">
      <alignment horizontal="center" vertical="center"/>
    </xf>
    <xf numFmtId="10" fontId="18" fillId="13" borderId="8" xfId="0" applyNumberFormat="1" applyFont="1" applyFill="1" applyBorder="1" applyAlignment="1">
      <alignment horizontal="center" vertical="center"/>
    </xf>
    <xf numFmtId="10" fontId="18" fillId="13" borderId="9" xfId="0" applyNumberFormat="1" applyFont="1" applyFill="1" applyBorder="1" applyAlignment="1">
      <alignment horizontal="center" vertical="center"/>
    </xf>
    <xf numFmtId="164" fontId="13" fillId="13" borderId="2" xfId="0" applyNumberFormat="1" applyFont="1" applyFill="1" applyBorder="1" applyAlignment="1" applyProtection="1">
      <alignment horizontal="center" vertical="center"/>
      <protection locked="0"/>
    </xf>
    <xf numFmtId="0" fontId="11" fillId="0" borderId="2" xfId="0" applyFont="1" applyBorder="1" applyAlignment="1">
      <alignment horizontal="center" vertical="center"/>
    </xf>
    <xf numFmtId="10" fontId="13" fillId="0" borderId="2" xfId="0" applyNumberFormat="1" applyFont="1" applyBorder="1" applyAlignment="1">
      <alignment horizontal="center" vertical="center"/>
    </xf>
    <xf numFmtId="164" fontId="13" fillId="0" borderId="2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23" fillId="2" borderId="2" xfId="0" applyFont="1" applyFill="1" applyBorder="1" applyAlignment="1">
      <alignment horizontal="center" vertical="center"/>
    </xf>
    <xf numFmtId="168" fontId="13" fillId="13" borderId="2" xfId="0" applyNumberFormat="1" applyFont="1" applyFill="1" applyBorder="1" applyAlignment="1" applyProtection="1">
      <alignment horizontal="center" vertical="center"/>
      <protection locked="0"/>
    </xf>
    <xf numFmtId="164" fontId="18" fillId="13" borderId="2" xfId="0" applyNumberFormat="1" applyFont="1" applyFill="1" applyBorder="1" applyAlignment="1" applyProtection="1">
      <alignment horizontal="center" vertical="center"/>
      <protection locked="0"/>
    </xf>
    <xf numFmtId="10" fontId="13" fillId="13" borderId="2" xfId="0" applyNumberFormat="1" applyFont="1" applyFill="1" applyBorder="1" applyAlignment="1" applyProtection="1">
      <alignment horizontal="center" vertical="center"/>
      <protection locked="0"/>
    </xf>
    <xf numFmtId="0" fontId="24" fillId="13" borderId="0" xfId="0" applyFont="1" applyFill="1" applyAlignment="1">
      <alignment vertical="center"/>
    </xf>
    <xf numFmtId="0" fontId="24" fillId="0" borderId="0" xfId="0" applyFont="1" applyAlignment="1">
      <alignment vertical="center"/>
    </xf>
    <xf numFmtId="168" fontId="24" fillId="0" borderId="0" xfId="0" applyNumberFormat="1" applyFont="1" applyAlignment="1">
      <alignment vertical="center"/>
    </xf>
    <xf numFmtId="166" fontId="11" fillId="0" borderId="0" xfId="0" applyNumberFormat="1" applyFont="1" applyAlignment="1">
      <alignment vertical="center"/>
    </xf>
    <xf numFmtId="0" fontId="11" fillId="2" borderId="9" xfId="0" applyFont="1" applyFill="1" applyBorder="1" applyAlignment="1">
      <alignment vertical="center"/>
    </xf>
    <xf numFmtId="164" fontId="16" fillId="2" borderId="2" xfId="0" applyNumberFormat="1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0" fontId="11" fillId="14" borderId="16" xfId="0" applyFont="1" applyFill="1" applyBorder="1" applyAlignment="1" applyProtection="1">
      <alignment vertical="center"/>
      <protection locked="0"/>
    </xf>
    <xf numFmtId="0" fontId="24" fillId="13" borderId="0" xfId="0" applyFont="1" applyFill="1" applyAlignment="1" applyProtection="1">
      <alignment vertical="center"/>
      <protection locked="0"/>
    </xf>
    <xf numFmtId="0" fontId="11" fillId="13" borderId="0" xfId="0" applyFont="1" applyFill="1" applyAlignment="1" applyProtection="1">
      <alignment vertical="center"/>
      <protection locked="0"/>
    </xf>
    <xf numFmtId="0" fontId="11" fillId="13" borderId="0" xfId="0" applyFont="1" applyFill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167" fontId="11" fillId="15" borderId="0" xfId="0" applyNumberFormat="1" applyFont="1" applyFill="1" applyAlignment="1" applyProtection="1">
      <alignment vertical="center"/>
      <protection locked="0"/>
    </xf>
    <xf numFmtId="167" fontId="11" fillId="13" borderId="0" xfId="0" applyNumberFormat="1" applyFont="1" applyFill="1" applyAlignment="1">
      <alignment vertical="center"/>
    </xf>
    <xf numFmtId="2" fontId="10" fillId="0" borderId="0" xfId="1" applyNumberFormat="1" applyFont="1" applyAlignment="1">
      <alignment vertical="center"/>
    </xf>
    <xf numFmtId="171" fontId="11" fillId="0" borderId="0" xfId="0" applyNumberFormat="1" applyFont="1" applyAlignment="1">
      <alignment vertical="center"/>
    </xf>
    <xf numFmtId="2" fontId="11" fillId="0" borderId="0" xfId="0" applyNumberFormat="1" applyFont="1" applyAlignment="1">
      <alignment vertical="center"/>
    </xf>
    <xf numFmtId="10" fontId="11" fillId="2" borderId="2" xfId="0" applyNumberFormat="1" applyFont="1" applyFill="1" applyBorder="1" applyAlignment="1">
      <alignment horizontal="center" vertical="center"/>
    </xf>
    <xf numFmtId="0" fontId="13" fillId="13" borderId="2" xfId="0" applyFont="1" applyFill="1" applyBorder="1" applyAlignment="1">
      <alignment horizontal="center" vertical="center"/>
    </xf>
    <xf numFmtId="0" fontId="26" fillId="0" borderId="0" xfId="0" applyFont="1"/>
    <xf numFmtId="0" fontId="11" fillId="13" borderId="2" xfId="0" applyFont="1" applyFill="1" applyBorder="1" applyAlignment="1">
      <alignment vertical="center"/>
    </xf>
    <xf numFmtId="164" fontId="18" fillId="0" borderId="2" xfId="0" applyNumberFormat="1" applyFont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11" fillId="3" borderId="9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vertical="center"/>
    </xf>
    <xf numFmtId="0" fontId="18" fillId="3" borderId="9" xfId="0" applyFont="1" applyFill="1" applyBorder="1" applyAlignment="1">
      <alignment vertical="center"/>
    </xf>
    <xf numFmtId="10" fontId="18" fillId="11" borderId="1" xfId="0" applyNumberFormat="1" applyFont="1" applyFill="1" applyBorder="1" applyAlignment="1" applyProtection="1">
      <alignment horizontal="center" vertical="center"/>
      <protection locked="0"/>
    </xf>
    <xf numFmtId="4" fontId="13" fillId="13" borderId="2" xfId="0" applyNumberFormat="1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left" vertical="center"/>
    </xf>
    <xf numFmtId="164" fontId="13" fillId="0" borderId="0" xfId="0" applyNumberFormat="1" applyFont="1" applyAlignment="1">
      <alignment vertical="center"/>
    </xf>
    <xf numFmtId="164" fontId="11" fillId="2" borderId="2" xfId="0" applyNumberFormat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173" fontId="13" fillId="0" borderId="5" xfId="0" applyNumberFormat="1" applyFont="1" applyBorder="1" applyAlignment="1">
      <alignment horizontal="center" vertical="center"/>
    </xf>
    <xf numFmtId="172" fontId="13" fillId="0" borderId="6" xfId="0" applyNumberFormat="1" applyFont="1" applyBorder="1" applyAlignment="1">
      <alignment horizontal="center" vertical="center"/>
    </xf>
    <xf numFmtId="172" fontId="11" fillId="2" borderId="6" xfId="0" applyNumberFormat="1" applyFont="1" applyFill="1" applyBorder="1" applyAlignment="1">
      <alignment horizontal="center" vertical="center"/>
    </xf>
    <xf numFmtId="174" fontId="11" fillId="14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9" fillId="0" borderId="32" xfId="0" applyFont="1" applyBorder="1" applyAlignment="1">
      <alignment horizontal="center" vertical="center"/>
    </xf>
    <xf numFmtId="0" fontId="29" fillId="0" borderId="13" xfId="0" applyFont="1" applyBorder="1" applyAlignment="1">
      <alignment vertical="center"/>
    </xf>
    <xf numFmtId="9" fontId="19" fillId="3" borderId="13" xfId="0" applyNumberFormat="1" applyFont="1" applyFill="1" applyBorder="1" applyAlignment="1">
      <alignment horizontal="center" vertical="center"/>
    </xf>
    <xf numFmtId="9" fontId="13" fillId="3" borderId="13" xfId="0" applyNumberFormat="1" applyFont="1" applyFill="1" applyBorder="1" applyAlignment="1">
      <alignment horizontal="center" vertical="center"/>
    </xf>
    <xf numFmtId="9" fontId="0" fillId="0" borderId="13" xfId="0" applyNumberFormat="1" applyBorder="1" applyAlignment="1">
      <alignment horizontal="center" vertical="center"/>
    </xf>
    <xf numFmtId="2" fontId="29" fillId="0" borderId="13" xfId="0" applyNumberFormat="1" applyFont="1" applyBorder="1" applyAlignment="1">
      <alignment horizontal="center" vertical="center"/>
    </xf>
    <xf numFmtId="0" fontId="28" fillId="8" borderId="0" xfId="0" applyFont="1" applyFill="1" applyAlignment="1">
      <alignment horizontal="center" vertical="center"/>
    </xf>
    <xf numFmtId="0" fontId="13" fillId="3" borderId="26" xfId="0" applyFont="1" applyFill="1" applyBorder="1" applyAlignment="1">
      <alignment vertical="center"/>
    </xf>
    <xf numFmtId="9" fontId="13" fillId="3" borderId="26" xfId="0" applyNumberFormat="1" applyFont="1" applyFill="1" applyBorder="1" applyAlignment="1">
      <alignment vertical="center"/>
    </xf>
    <xf numFmtId="0" fontId="13" fillId="3" borderId="17" xfId="0" applyFont="1" applyFill="1" applyBorder="1" applyAlignment="1">
      <alignment horizontal="right" vertical="center"/>
    </xf>
    <xf numFmtId="167" fontId="13" fillId="4" borderId="17" xfId="0" applyNumberFormat="1" applyFont="1" applyFill="1" applyBorder="1" applyAlignment="1">
      <alignment vertical="center"/>
    </xf>
    <xf numFmtId="9" fontId="13" fillId="3" borderId="0" xfId="0" applyNumberFormat="1" applyFont="1" applyFill="1" applyAlignment="1">
      <alignment vertical="center"/>
    </xf>
    <xf numFmtId="0" fontId="13" fillId="3" borderId="0" xfId="0" applyFont="1" applyFill="1" applyAlignment="1">
      <alignment horizontal="right" vertical="center"/>
    </xf>
    <xf numFmtId="167" fontId="13" fillId="4" borderId="0" xfId="0" applyNumberFormat="1" applyFont="1" applyFill="1" applyAlignment="1">
      <alignment vertical="center"/>
    </xf>
    <xf numFmtId="2" fontId="13" fillId="4" borderId="0" xfId="0" applyNumberFormat="1" applyFont="1" applyFill="1" applyAlignment="1">
      <alignment horizontal="center" vertical="center"/>
    </xf>
    <xf numFmtId="0" fontId="29" fillId="0" borderId="32" xfId="0" applyFont="1" applyBorder="1" applyAlignment="1">
      <alignment vertical="center"/>
    </xf>
    <xf numFmtId="0" fontId="29" fillId="0" borderId="29" xfId="0" applyFont="1" applyBorder="1" applyAlignment="1">
      <alignment vertical="center"/>
    </xf>
    <xf numFmtId="0" fontId="29" fillId="0" borderId="30" xfId="0" applyFont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0" fontId="30" fillId="0" borderId="0" xfId="0" applyFont="1"/>
    <xf numFmtId="0" fontId="30" fillId="0" borderId="0" xfId="0" applyFont="1" applyAlignment="1">
      <alignment vertical="center" wrapText="1"/>
    </xf>
    <xf numFmtId="0" fontId="0" fillId="0" borderId="32" xfId="0" applyBorder="1" applyAlignment="1">
      <alignment horizontal="left" vertical="center"/>
    </xf>
    <xf numFmtId="10" fontId="0" fillId="4" borderId="32" xfId="0" applyNumberFormat="1" applyFill="1" applyBorder="1" applyAlignment="1">
      <alignment horizontal="left" vertical="center"/>
    </xf>
    <xf numFmtId="0" fontId="0" fillId="0" borderId="32" xfId="0" applyBorder="1" applyAlignment="1">
      <alignment vertical="center" wrapText="1"/>
    </xf>
    <xf numFmtId="10" fontId="0" fillId="0" borderId="32" xfId="0" applyNumberFormat="1" applyBorder="1" applyAlignment="1">
      <alignment horizontal="left" vertical="center"/>
    </xf>
    <xf numFmtId="0" fontId="13" fillId="0" borderId="32" xfId="0" applyFont="1" applyBorder="1" applyAlignment="1">
      <alignment vertical="center" wrapText="1"/>
    </xf>
    <xf numFmtId="10" fontId="13" fillId="0" borderId="32" xfId="0" applyNumberFormat="1" applyFont="1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3" fillId="0" borderId="30" xfId="0" applyFont="1" applyBorder="1" applyAlignment="1">
      <alignment vertical="center" wrapText="1"/>
    </xf>
    <xf numFmtId="10" fontId="0" fillId="0" borderId="31" xfId="0" applyNumberFormat="1" applyBorder="1" applyAlignment="1">
      <alignment horizontal="left"/>
    </xf>
    <xf numFmtId="0" fontId="11" fillId="2" borderId="32" xfId="0" applyFont="1" applyFill="1" applyBorder="1" applyAlignment="1">
      <alignment horizontal="center" vertical="center"/>
    </xf>
    <xf numFmtId="10" fontId="11" fillId="0" borderId="32" xfId="0" applyNumberFormat="1" applyFont="1" applyBorder="1" applyAlignment="1">
      <alignment horizontal="left" vertical="center"/>
    </xf>
    <xf numFmtId="0" fontId="11" fillId="0" borderId="32" xfId="0" applyFont="1" applyBorder="1" applyAlignment="1">
      <alignment horizontal="left" vertical="center"/>
    </xf>
    <xf numFmtId="10" fontId="11" fillId="0" borderId="32" xfId="0" applyNumberFormat="1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168" fontId="0" fillId="0" borderId="32" xfId="0" applyNumberFormat="1" applyBorder="1" applyAlignment="1">
      <alignment horizontal="left" vertical="center"/>
    </xf>
    <xf numFmtId="0" fontId="0" fillId="0" borderId="0" xfId="0" applyAlignment="1">
      <alignment vertical="center"/>
    </xf>
    <xf numFmtId="168" fontId="13" fillId="0" borderId="32" xfId="0" applyNumberFormat="1" applyFont="1" applyBorder="1" applyAlignment="1">
      <alignment horizontal="left" vertical="center"/>
    </xf>
    <xf numFmtId="168" fontId="0" fillId="0" borderId="32" xfId="0" applyNumberFormat="1" applyBorder="1" applyAlignment="1">
      <alignment horizontal="left"/>
    </xf>
    <xf numFmtId="0" fontId="0" fillId="0" borderId="0" xfId="0" applyAlignment="1">
      <alignment horizontal="center" vertical="center"/>
    </xf>
    <xf numFmtId="0" fontId="11" fillId="19" borderId="32" xfId="0" applyFont="1" applyFill="1" applyBorder="1" applyAlignment="1">
      <alignment horizontal="left" vertical="center"/>
    </xf>
    <xf numFmtId="10" fontId="11" fillId="19" borderId="32" xfId="0" applyNumberFormat="1" applyFont="1" applyFill="1" applyBorder="1" applyAlignment="1">
      <alignment vertical="center"/>
    </xf>
    <xf numFmtId="0" fontId="11" fillId="19" borderId="32" xfId="0" applyFont="1" applyFill="1" applyBorder="1" applyAlignment="1">
      <alignment vertical="center"/>
    </xf>
    <xf numFmtId="0" fontId="13" fillId="19" borderId="32" xfId="0" applyFont="1" applyFill="1" applyBorder="1" applyAlignment="1">
      <alignment vertical="center" wrapText="1"/>
    </xf>
    <xf numFmtId="0" fontId="11" fillId="0" borderId="32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 wrapText="1"/>
    </xf>
    <xf numFmtId="0" fontId="10" fillId="0" borderId="0" xfId="2"/>
    <xf numFmtId="0" fontId="10" fillId="0" borderId="13" xfId="2" applyBorder="1" applyAlignment="1">
      <alignment horizontal="center" vertical="center"/>
    </xf>
    <xf numFmtId="2" fontId="10" fillId="0" borderId="13" xfId="2" applyNumberFormat="1" applyBorder="1" applyAlignment="1">
      <alignment horizontal="center" vertical="center" wrapText="1"/>
    </xf>
    <xf numFmtId="0" fontId="10" fillId="0" borderId="39" xfId="2" applyBorder="1" applyAlignment="1">
      <alignment horizontal="center" vertical="center"/>
    </xf>
    <xf numFmtId="0" fontId="10" fillId="0" borderId="13" xfId="2" applyBorder="1" applyAlignment="1">
      <alignment vertical="center"/>
    </xf>
    <xf numFmtId="2" fontId="31" fillId="0" borderId="13" xfId="2" applyNumberFormat="1" applyFont="1" applyBorder="1" applyAlignment="1">
      <alignment horizontal="left" vertical="center" indent="5"/>
    </xf>
    <xf numFmtId="2" fontId="10" fillId="0" borderId="13" xfId="2" applyNumberFormat="1" applyBorder="1" applyAlignment="1">
      <alignment horizontal="center" vertical="center"/>
    </xf>
    <xf numFmtId="0" fontId="10" fillId="0" borderId="0" xfId="2" applyAlignment="1">
      <alignment horizontal="center" vertical="center"/>
    </xf>
    <xf numFmtId="2" fontId="10" fillId="0" borderId="0" xfId="2" applyNumberFormat="1" applyAlignment="1">
      <alignment horizontal="center" vertical="center"/>
    </xf>
    <xf numFmtId="2" fontId="29" fillId="0" borderId="13" xfId="2" applyNumberFormat="1" applyFont="1" applyBorder="1" applyAlignment="1">
      <alignment horizontal="center" vertical="center"/>
    </xf>
    <xf numFmtId="175" fontId="10" fillId="0" borderId="13" xfId="2" applyNumberFormat="1" applyBorder="1" applyAlignment="1">
      <alignment horizontal="center" vertical="center"/>
    </xf>
    <xf numFmtId="176" fontId="10" fillId="0" borderId="13" xfId="2" applyNumberFormat="1" applyBorder="1" applyAlignment="1">
      <alignment vertical="center"/>
    </xf>
    <xf numFmtId="2" fontId="31" fillId="0" borderId="13" xfId="2" applyNumberFormat="1" applyFont="1" applyBorder="1" applyAlignment="1">
      <alignment horizontal="center" vertical="center"/>
    </xf>
    <xf numFmtId="2" fontId="29" fillId="0" borderId="13" xfId="2" applyNumberFormat="1" applyFont="1" applyBorder="1" applyAlignment="1">
      <alignment horizontal="center" vertical="center" wrapText="1"/>
    </xf>
    <xf numFmtId="176" fontId="10" fillId="0" borderId="0" xfId="2" applyNumberFormat="1" applyAlignment="1">
      <alignment horizontal="center" vertical="center" wrapText="1"/>
    </xf>
    <xf numFmtId="2" fontId="10" fillId="0" borderId="0" xfId="2" applyNumberFormat="1" applyAlignment="1">
      <alignment horizontal="center" vertical="center" wrapText="1"/>
    </xf>
    <xf numFmtId="175" fontId="10" fillId="0" borderId="13" xfId="2" applyNumberFormat="1" applyBorder="1" applyAlignment="1">
      <alignment horizontal="center" vertical="center" wrapText="1"/>
    </xf>
    <xf numFmtId="176" fontId="10" fillId="0" borderId="13" xfId="2" applyNumberFormat="1" applyBorder="1" applyAlignment="1">
      <alignment horizontal="center" vertical="center"/>
    </xf>
    <xf numFmtId="167" fontId="10" fillId="0" borderId="13" xfId="2" applyNumberFormat="1" applyBorder="1" applyAlignment="1">
      <alignment horizontal="center" vertical="center"/>
    </xf>
    <xf numFmtId="176" fontId="10" fillId="0" borderId="0" xfId="2" applyNumberFormat="1" applyAlignment="1">
      <alignment vertical="center"/>
    </xf>
    <xf numFmtId="177" fontId="10" fillId="0" borderId="0" xfId="2" applyNumberFormat="1" applyAlignment="1">
      <alignment horizontal="center" vertical="center" wrapText="1"/>
    </xf>
    <xf numFmtId="167" fontId="10" fillId="0" borderId="0" xfId="2" applyNumberFormat="1" applyAlignment="1">
      <alignment horizontal="center" vertical="center" wrapText="1"/>
    </xf>
    <xf numFmtId="0" fontId="31" fillId="0" borderId="0" xfId="2" applyFont="1" applyAlignment="1">
      <alignment horizontal="center" vertical="center"/>
    </xf>
    <xf numFmtId="0" fontId="29" fillId="20" borderId="13" xfId="2" applyFont="1" applyFill="1" applyBorder="1" applyAlignment="1">
      <alignment horizontal="center" vertical="center"/>
    </xf>
    <xf numFmtId="0" fontId="10" fillId="8" borderId="13" xfId="2" applyFill="1" applyBorder="1" applyAlignment="1">
      <alignment horizontal="center" vertical="center" wrapText="1"/>
    </xf>
    <xf numFmtId="2" fontId="10" fillId="8" borderId="13" xfId="2" applyNumberFormat="1" applyFill="1" applyBorder="1" applyAlignment="1">
      <alignment horizontal="center" vertical="center"/>
    </xf>
    <xf numFmtId="0" fontId="10" fillId="8" borderId="13" xfId="2" applyFill="1" applyBorder="1" applyAlignment="1">
      <alignment horizontal="center" vertical="center"/>
    </xf>
    <xf numFmtId="0" fontId="29" fillId="8" borderId="13" xfId="2" applyFont="1" applyFill="1" applyBorder="1" applyAlignment="1">
      <alignment horizontal="center" vertical="center"/>
    </xf>
    <xf numFmtId="0" fontId="32" fillId="8" borderId="13" xfId="2" applyFont="1" applyFill="1" applyBorder="1" applyAlignment="1">
      <alignment horizontal="center" vertical="center" wrapText="1"/>
    </xf>
    <xf numFmtId="0" fontId="10" fillId="0" borderId="13" xfId="2" applyBorder="1" applyAlignment="1">
      <alignment horizontal="center" vertical="center" wrapText="1"/>
    </xf>
    <xf numFmtId="0" fontId="32" fillId="21" borderId="13" xfId="2" applyFont="1" applyFill="1" applyBorder="1" applyAlignment="1">
      <alignment horizontal="center" vertical="center"/>
    </xf>
    <xf numFmtId="0" fontId="32" fillId="21" borderId="13" xfId="2" applyFont="1" applyFill="1" applyBorder="1" applyAlignment="1">
      <alignment horizontal="center" vertical="center" wrapText="1"/>
    </xf>
    <xf numFmtId="0" fontId="29" fillId="0" borderId="13" xfId="2" applyFont="1" applyBorder="1" applyAlignment="1">
      <alignment horizontal="center" vertical="center" wrapText="1"/>
    </xf>
    <xf numFmtId="1" fontId="10" fillId="0" borderId="13" xfId="2" applyNumberFormat="1" applyBorder="1" applyAlignment="1">
      <alignment horizontal="center" vertical="center" wrapText="1"/>
    </xf>
    <xf numFmtId="172" fontId="10" fillId="0" borderId="13" xfId="3" applyBorder="1" applyAlignment="1">
      <alignment horizontal="center" vertical="center"/>
    </xf>
    <xf numFmtId="0" fontId="10" fillId="0" borderId="13" xfId="2" applyBorder="1" applyAlignment="1">
      <alignment horizontal="center" vertical="center"/>
    </xf>
    <xf numFmtId="0" fontId="10" fillId="0" borderId="13" xfId="2" applyBorder="1" applyAlignment="1">
      <alignment horizontal="justify" vertical="center" wrapText="1"/>
    </xf>
    <xf numFmtId="0" fontId="32" fillId="8" borderId="40" xfId="2" applyFont="1" applyFill="1" applyBorder="1" applyAlignment="1">
      <alignment horizontal="center" vertical="center" wrapText="1"/>
    </xf>
    <xf numFmtId="2" fontId="10" fillId="8" borderId="40" xfId="2" applyNumberFormat="1" applyFill="1" applyBorder="1" applyAlignment="1">
      <alignment horizontal="center" vertical="center"/>
    </xf>
    <xf numFmtId="0" fontId="32" fillId="8" borderId="42" xfId="2" applyFont="1" applyFill="1" applyBorder="1" applyAlignment="1">
      <alignment horizontal="center" vertical="center" wrapText="1"/>
    </xf>
    <xf numFmtId="2" fontId="10" fillId="8" borderId="42" xfId="2" applyNumberFormat="1" applyFill="1" applyBorder="1" applyAlignment="1">
      <alignment horizontal="center" vertical="center"/>
    </xf>
    <xf numFmtId="0" fontId="32" fillId="8" borderId="57" xfId="2" applyFont="1" applyFill="1" applyBorder="1" applyAlignment="1">
      <alignment horizontal="center" vertical="center" wrapText="1"/>
    </xf>
    <xf numFmtId="0" fontId="32" fillId="8" borderId="45" xfId="2" applyFont="1" applyFill="1" applyBorder="1" applyAlignment="1">
      <alignment horizontal="center" vertical="center" wrapText="1"/>
    </xf>
    <xf numFmtId="2" fontId="10" fillId="8" borderId="57" xfId="2" applyNumberFormat="1" applyFill="1" applyBorder="1" applyAlignment="1">
      <alignment horizontal="center" vertical="center"/>
    </xf>
    <xf numFmtId="2" fontId="10" fillId="8" borderId="59" xfId="2" applyNumberFormat="1" applyFill="1" applyBorder="1" applyAlignment="1">
      <alignment horizontal="center" vertical="center"/>
    </xf>
    <xf numFmtId="0" fontId="29" fillId="8" borderId="57" xfId="2" applyFont="1" applyFill="1" applyBorder="1" applyAlignment="1">
      <alignment horizontal="center" vertical="center" wrapText="1"/>
    </xf>
    <xf numFmtId="2" fontId="10" fillId="8" borderId="45" xfId="2" applyNumberFormat="1" applyFill="1" applyBorder="1" applyAlignment="1">
      <alignment horizontal="center" vertical="center"/>
    </xf>
    <xf numFmtId="0" fontId="10" fillId="0" borderId="75" xfId="2" applyBorder="1" applyAlignment="1">
      <alignment horizontal="center" vertical="center"/>
    </xf>
    <xf numFmtId="2" fontId="10" fillId="0" borderId="63" xfId="2" applyNumberFormat="1" applyBorder="1" applyAlignment="1">
      <alignment horizontal="center" vertical="center"/>
    </xf>
    <xf numFmtId="0" fontId="10" fillId="0" borderId="62" xfId="2" applyBorder="1" applyAlignment="1">
      <alignment horizontal="center"/>
    </xf>
    <xf numFmtId="2" fontId="10" fillId="0" borderId="51" xfId="2" applyNumberFormat="1" applyBorder="1" applyAlignment="1">
      <alignment horizontal="center" vertical="center"/>
    </xf>
    <xf numFmtId="2" fontId="10" fillId="0" borderId="80" xfId="2" applyNumberFormat="1" applyBorder="1" applyAlignment="1">
      <alignment horizontal="center" vertical="center"/>
    </xf>
    <xf numFmtId="0" fontId="33" fillId="8" borderId="64" xfId="2" applyFont="1" applyFill="1" applyBorder="1" applyAlignment="1">
      <alignment vertical="center" wrapText="1"/>
    </xf>
    <xf numFmtId="0" fontId="33" fillId="8" borderId="69" xfId="2" applyFont="1" applyFill="1" applyBorder="1" applyAlignment="1">
      <alignment vertical="center" wrapText="1"/>
    </xf>
    <xf numFmtId="2" fontId="10" fillId="8" borderId="69" xfId="2" applyNumberFormat="1" applyFill="1" applyBorder="1" applyAlignment="1">
      <alignment horizontal="center" vertical="center"/>
    </xf>
    <xf numFmtId="2" fontId="7" fillId="8" borderId="65" xfId="2" applyNumberFormat="1" applyFont="1" applyFill="1" applyBorder="1" applyAlignment="1">
      <alignment horizontal="center" vertical="center"/>
    </xf>
    <xf numFmtId="2" fontId="10" fillId="0" borderId="65" xfId="2" applyNumberFormat="1" applyBorder="1" applyAlignment="1">
      <alignment horizontal="center" vertical="center"/>
    </xf>
    <xf numFmtId="2" fontId="10" fillId="8" borderId="49" xfId="2" applyNumberFormat="1" applyFill="1" applyBorder="1" applyAlignment="1">
      <alignment horizontal="center" vertical="center"/>
    </xf>
    <xf numFmtId="2" fontId="10" fillId="0" borderId="73" xfId="2" applyNumberFormat="1" applyBorder="1" applyAlignment="1">
      <alignment horizontal="center" vertical="center"/>
    </xf>
    <xf numFmtId="0" fontId="10" fillId="0" borderId="82" xfId="2" applyBorder="1" applyAlignment="1">
      <alignment horizontal="center" vertical="center" wrapText="1"/>
    </xf>
    <xf numFmtId="0" fontId="10" fillId="0" borderId="75" xfId="2" applyBorder="1" applyAlignment="1">
      <alignment horizontal="center" vertical="center" wrapText="1"/>
    </xf>
    <xf numFmtId="0" fontId="10" fillId="0" borderId="74" xfId="2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3" fillId="3" borderId="84" xfId="0" applyFont="1" applyFill="1" applyBorder="1" applyAlignment="1">
      <alignment vertical="center"/>
    </xf>
    <xf numFmtId="0" fontId="13" fillId="3" borderId="21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3" fillId="3" borderId="85" xfId="0" applyFont="1" applyFill="1" applyBorder="1" applyAlignment="1">
      <alignment vertical="center"/>
    </xf>
    <xf numFmtId="0" fontId="13" fillId="3" borderId="86" xfId="0" applyFont="1" applyFill="1" applyBorder="1" applyAlignment="1">
      <alignment vertical="center"/>
    </xf>
    <xf numFmtId="9" fontId="13" fillId="11" borderId="26" xfId="0" applyNumberFormat="1" applyFont="1" applyFill="1" applyBorder="1" applyAlignment="1" applyProtection="1">
      <alignment horizontal="center" vertical="center"/>
      <protection locked="0"/>
    </xf>
    <xf numFmtId="0" fontId="13" fillId="3" borderId="26" xfId="0" applyFont="1" applyFill="1" applyBorder="1" applyAlignment="1" applyProtection="1">
      <alignment horizontal="right" vertical="center"/>
      <protection locked="0"/>
    </xf>
    <xf numFmtId="165" fontId="11" fillId="2" borderId="2" xfId="0" applyNumberFormat="1" applyFont="1" applyFill="1" applyBorder="1" applyAlignment="1">
      <alignment horizontal="center" vertical="center"/>
    </xf>
    <xf numFmtId="0" fontId="37" fillId="0" borderId="0" xfId="4"/>
    <xf numFmtId="0" fontId="37" fillId="0" borderId="0" xfId="4" applyAlignment="1">
      <alignment horizontal="center" wrapText="1"/>
    </xf>
    <xf numFmtId="0" fontId="39" fillId="0" borderId="87" xfId="4" applyFont="1" applyBorder="1" applyAlignment="1">
      <alignment vertical="center" wrapText="1"/>
    </xf>
    <xf numFmtId="0" fontId="39" fillId="26" borderId="35" xfId="4" applyFont="1" applyFill="1" applyBorder="1" applyAlignment="1">
      <alignment horizontal="center" vertical="center" wrapText="1"/>
    </xf>
    <xf numFmtId="164" fontId="38" fillId="24" borderId="31" xfId="4" applyNumberFormat="1" applyFont="1" applyFill="1" applyBorder="1" applyAlignment="1">
      <alignment horizontal="center" vertical="center" wrapText="1"/>
    </xf>
    <xf numFmtId="0" fontId="39" fillId="0" borderId="32" xfId="4" applyFont="1" applyBorder="1" applyAlignment="1">
      <alignment vertical="center" wrapText="1"/>
    </xf>
    <xf numFmtId="0" fontId="39" fillId="0" borderId="37" xfId="4" applyFont="1" applyBorder="1" applyAlignment="1">
      <alignment vertical="center" wrapText="1"/>
    </xf>
    <xf numFmtId="0" fontId="39" fillId="26" borderId="32" xfId="4" applyFont="1" applyFill="1" applyBorder="1" applyAlignment="1">
      <alignment horizontal="center" vertical="center" wrapText="1"/>
    </xf>
    <xf numFmtId="0" fontId="39" fillId="26" borderId="0" xfId="4" applyFont="1" applyFill="1" applyAlignment="1">
      <alignment horizontal="center" vertical="center" wrapText="1"/>
    </xf>
    <xf numFmtId="0" fontId="39" fillId="0" borderId="31" xfId="4" applyFont="1" applyBorder="1" applyAlignment="1">
      <alignment vertical="center" wrapText="1"/>
    </xf>
    <xf numFmtId="0" fontId="39" fillId="26" borderId="89" xfId="4" applyFont="1" applyFill="1" applyBorder="1" applyAlignment="1">
      <alignment horizontal="center" vertical="center" wrapText="1"/>
    </xf>
    <xf numFmtId="0" fontId="39" fillId="26" borderId="31" xfId="4" applyFont="1" applyFill="1" applyBorder="1" applyAlignment="1">
      <alignment horizontal="center" vertical="center" wrapText="1"/>
    </xf>
    <xf numFmtId="0" fontId="39" fillId="0" borderId="36" xfId="4" applyFont="1" applyBorder="1" applyAlignment="1">
      <alignment vertical="center" wrapText="1"/>
    </xf>
    <xf numFmtId="0" fontId="39" fillId="0" borderId="32" xfId="4" applyFont="1" applyBorder="1" applyAlignment="1">
      <alignment horizontal="center" vertical="center"/>
    </xf>
    <xf numFmtId="0" fontId="37" fillId="0" borderId="32" xfId="4" applyBorder="1" applyAlignment="1">
      <alignment horizontal="left" vertical="center" wrapText="1"/>
    </xf>
    <xf numFmtId="164" fontId="38" fillId="25" borderId="32" xfId="4" applyNumberFormat="1" applyFont="1" applyFill="1" applyBorder="1" applyAlignment="1">
      <alignment horizontal="center" vertical="center" wrapText="1"/>
    </xf>
    <xf numFmtId="0" fontId="37" fillId="0" borderId="32" xfId="4" applyBorder="1" applyAlignment="1">
      <alignment horizontal="center" vertical="center" wrapText="1"/>
    </xf>
    <xf numFmtId="164" fontId="37" fillId="28" borderId="31" xfId="4" applyNumberFormat="1" applyFill="1" applyBorder="1" applyAlignment="1" applyProtection="1">
      <alignment horizontal="center" vertical="center" wrapText="1"/>
      <protection locked="0"/>
    </xf>
    <xf numFmtId="0" fontId="39" fillId="26" borderId="32" xfId="4" applyFont="1" applyFill="1" applyBorder="1" applyAlignment="1">
      <alignment horizontal="center" vertical="center"/>
    </xf>
    <xf numFmtId="0" fontId="37" fillId="0" borderId="29" xfId="4" applyBorder="1" applyAlignment="1">
      <alignment horizontal="center" vertical="center" wrapText="1"/>
    </xf>
    <xf numFmtId="164" fontId="37" fillId="28" borderId="32" xfId="4" applyNumberFormat="1" applyFill="1" applyBorder="1" applyAlignment="1" applyProtection="1">
      <alignment horizontal="center" vertical="center" wrapText="1"/>
      <protection locked="0"/>
    </xf>
    <xf numFmtId="0" fontId="39" fillId="0" borderId="90" xfId="4" applyFont="1" applyBorder="1" applyAlignment="1">
      <alignment vertical="center" wrapText="1"/>
    </xf>
    <xf numFmtId="0" fontId="37" fillId="0" borderId="38" xfId="4" applyBorder="1" applyAlignment="1">
      <alignment horizontal="center" vertical="center" wrapText="1"/>
    </xf>
    <xf numFmtId="0" fontId="37" fillId="0" borderId="30" xfId="4" applyBorder="1" applyAlignment="1">
      <alignment horizontal="center" vertical="center" wrapText="1"/>
    </xf>
    <xf numFmtId="0" fontId="37" fillId="25" borderId="48" xfId="4" applyFill="1" applyBorder="1" applyAlignment="1">
      <alignment horizontal="center" vertical="center" wrapText="1"/>
    </xf>
    <xf numFmtId="172" fontId="37" fillId="25" borderId="48" xfId="4" applyNumberFormat="1" applyFill="1" applyBorder="1" applyAlignment="1">
      <alignment horizontal="center" vertical="center" wrapText="1"/>
    </xf>
    <xf numFmtId="164" fontId="37" fillId="25" borderId="48" xfId="4" applyNumberFormat="1" applyFill="1" applyBorder="1" applyAlignment="1">
      <alignment horizontal="center" vertical="center" wrapText="1"/>
    </xf>
    <xf numFmtId="2" fontId="37" fillId="25" borderId="48" xfId="4" applyNumberFormat="1" applyFill="1" applyBorder="1" applyAlignment="1">
      <alignment horizontal="center" vertical="center" wrapText="1"/>
    </xf>
    <xf numFmtId="0" fontId="38" fillId="25" borderId="78" xfId="4" applyFont="1" applyFill="1" applyBorder="1" applyAlignment="1">
      <alignment horizontal="center" vertical="center" wrapText="1"/>
    </xf>
    <xf numFmtId="0" fontId="37" fillId="0" borderId="48" xfId="4" applyBorder="1" applyAlignment="1">
      <alignment horizontal="center" vertical="center" wrapText="1"/>
    </xf>
    <xf numFmtId="172" fontId="0" fillId="0" borderId="48" xfId="5" applyFont="1" applyBorder="1" applyAlignment="1">
      <alignment horizontal="center" vertical="center" wrapText="1"/>
    </xf>
    <xf numFmtId="0" fontId="37" fillId="0" borderId="0" xfId="4" applyAlignment="1">
      <alignment horizontal="center" vertical="center"/>
    </xf>
    <xf numFmtId="0" fontId="38" fillId="25" borderId="48" xfId="4" applyFont="1" applyFill="1" applyBorder="1" applyAlignment="1">
      <alignment horizontal="center" vertical="center" wrapText="1"/>
    </xf>
    <xf numFmtId="164" fontId="38" fillId="24" borderId="32" xfId="4" applyNumberFormat="1" applyFont="1" applyFill="1" applyBorder="1" applyAlignment="1">
      <alignment horizontal="center" vertical="center" wrapText="1"/>
    </xf>
    <xf numFmtId="39" fontId="40" fillId="27" borderId="32" xfId="4" applyNumberFormat="1" applyFont="1" applyFill="1" applyBorder="1" applyAlignment="1">
      <alignment horizontal="center" vertical="center"/>
    </xf>
    <xf numFmtId="39" fontId="40" fillId="0" borderId="32" xfId="4" applyNumberFormat="1" applyFont="1" applyBorder="1" applyAlignment="1">
      <alignment horizontal="center" vertical="center"/>
    </xf>
    <xf numFmtId="0" fontId="39" fillId="0" borderId="32" xfId="4" applyFont="1" applyBorder="1" applyAlignment="1">
      <alignment horizontal="left" vertical="center" wrapText="1"/>
    </xf>
    <xf numFmtId="0" fontId="38" fillId="25" borderId="81" xfId="4" applyFont="1" applyFill="1" applyBorder="1" applyAlignment="1">
      <alignment horizontal="center" vertical="center" wrapText="1"/>
    </xf>
    <xf numFmtId="0" fontId="37" fillId="0" borderId="13" xfId="4" applyBorder="1" applyAlignment="1">
      <alignment horizontal="center" vertical="center" wrapText="1"/>
    </xf>
    <xf numFmtId="0" fontId="37" fillId="0" borderId="55" xfId="4" applyBorder="1" applyAlignment="1">
      <alignment horizontal="center" vertical="center" wrapText="1"/>
    </xf>
    <xf numFmtId="39" fontId="40" fillId="27" borderId="68" xfId="4" applyNumberFormat="1" applyFont="1" applyFill="1" applyBorder="1" applyAlignment="1">
      <alignment horizontal="center" vertical="center"/>
    </xf>
    <xf numFmtId="0" fontId="37" fillId="0" borderId="68" xfId="4" applyBorder="1" applyAlignment="1">
      <alignment horizontal="center" vertical="center" wrapText="1"/>
    </xf>
    <xf numFmtId="0" fontId="37" fillId="0" borderId="57" xfId="4" applyBorder="1" applyAlignment="1">
      <alignment horizontal="center" vertical="center" wrapText="1"/>
    </xf>
    <xf numFmtId="0" fontId="37" fillId="0" borderId="64" xfId="4" applyBorder="1" applyAlignment="1">
      <alignment horizontal="center" vertical="center" wrapText="1"/>
    </xf>
    <xf numFmtId="0" fontId="37" fillId="0" borderId="69" xfId="4" applyBorder="1" applyAlignment="1">
      <alignment horizontal="center" vertical="center" wrapText="1"/>
    </xf>
    <xf numFmtId="40" fontId="38" fillId="24" borderId="32" xfId="4" applyNumberFormat="1" applyFont="1" applyFill="1" applyBorder="1" applyAlignment="1">
      <alignment horizontal="center" vertical="center" wrapText="1"/>
    </xf>
    <xf numFmtId="0" fontId="11" fillId="14" borderId="39" xfId="0" applyFont="1" applyFill="1" applyBorder="1" applyAlignment="1">
      <alignment horizontal="center" vertical="center"/>
    </xf>
    <xf numFmtId="172" fontId="11" fillId="2" borderId="2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2" fillId="2" borderId="20" xfId="0" applyFont="1" applyFill="1" applyBorder="1" applyAlignment="1">
      <alignment horizontal="center" vertical="center"/>
    </xf>
    <xf numFmtId="2" fontId="10" fillId="8" borderId="101" xfId="2" applyNumberFormat="1" applyFill="1" applyBorder="1" applyAlignment="1">
      <alignment horizontal="center" vertical="center"/>
    </xf>
    <xf numFmtId="2" fontId="10" fillId="8" borderId="0" xfId="2" applyNumberFormat="1" applyFill="1" applyBorder="1" applyAlignment="1">
      <alignment horizontal="center" vertical="center"/>
    </xf>
    <xf numFmtId="2" fontId="10" fillId="8" borderId="79" xfId="2" applyNumberFormat="1" applyFill="1" applyBorder="1" applyAlignment="1">
      <alignment horizontal="center" vertical="center"/>
    </xf>
    <xf numFmtId="2" fontId="7" fillId="8" borderId="73" xfId="2" applyNumberFormat="1" applyFont="1" applyFill="1" applyBorder="1" applyAlignment="1">
      <alignment horizontal="center" vertical="center"/>
    </xf>
    <xf numFmtId="0" fontId="10" fillId="0" borderId="65" xfId="2" applyBorder="1" applyAlignment="1">
      <alignment horizontal="left" vertical="center" wrapText="1"/>
    </xf>
    <xf numFmtId="179" fontId="11" fillId="0" borderId="32" xfId="0" applyNumberFormat="1" applyFont="1" applyBorder="1" applyAlignment="1">
      <alignment horizontal="left" vertical="center"/>
    </xf>
    <xf numFmtId="180" fontId="11" fillId="0" borderId="32" xfId="0" applyNumberFormat="1" applyFont="1" applyBorder="1" applyAlignment="1">
      <alignment horizontal="left" vertical="center"/>
    </xf>
    <xf numFmtId="10" fontId="18" fillId="29" borderId="2" xfId="0" applyNumberFormat="1" applyFont="1" applyFill="1" applyBorder="1" applyAlignment="1" applyProtection="1">
      <alignment horizontal="center" vertical="center"/>
      <protection locked="0"/>
    </xf>
    <xf numFmtId="9" fontId="13" fillId="29" borderId="26" xfId="0" applyNumberFormat="1" applyFont="1" applyFill="1" applyBorder="1" applyAlignment="1" applyProtection="1">
      <alignment horizontal="center" vertical="center"/>
      <protection locked="0"/>
    </xf>
    <xf numFmtId="164" fontId="18" fillId="30" borderId="2" xfId="0" applyNumberFormat="1" applyFont="1" applyFill="1" applyBorder="1" applyAlignment="1">
      <alignment horizontal="center" vertical="center"/>
    </xf>
    <xf numFmtId="10" fontId="6" fillId="29" borderId="2" xfId="0" applyNumberFormat="1" applyFont="1" applyFill="1" applyBorder="1" applyAlignment="1" applyProtection="1">
      <alignment horizontal="center" vertical="center"/>
      <protection locked="0"/>
    </xf>
    <xf numFmtId="164" fontId="18" fillId="20" borderId="2" xfId="0" applyNumberFormat="1" applyFont="1" applyFill="1" applyBorder="1" applyAlignment="1" applyProtection="1">
      <alignment horizontal="center" vertical="center"/>
      <protection locked="0"/>
    </xf>
    <xf numFmtId="164" fontId="18" fillId="29" borderId="2" xfId="0" applyNumberFormat="1" applyFont="1" applyFill="1" applyBorder="1" applyAlignment="1">
      <alignment horizontal="center" vertical="center"/>
    </xf>
    <xf numFmtId="0" fontId="11" fillId="8" borderId="0" xfId="0" applyFont="1" applyFill="1" applyAlignment="1">
      <alignment horizontal="left" vertical="center"/>
    </xf>
    <xf numFmtId="0" fontId="39" fillId="0" borderId="32" xfId="4" applyFont="1" applyBorder="1" applyAlignment="1">
      <alignment vertical="center"/>
    </xf>
    <xf numFmtId="164" fontId="37" fillId="28" borderId="32" xfId="4" applyNumberFormat="1" applyFill="1" applyBorder="1" applyAlignment="1">
      <alignment horizontal="center" vertical="center" wrapText="1"/>
    </xf>
    <xf numFmtId="164" fontId="37" fillId="28" borderId="32" xfId="4" applyNumberFormat="1" applyFill="1" applyBorder="1" applyAlignment="1">
      <alignment vertical="center" wrapText="1"/>
    </xf>
    <xf numFmtId="0" fontId="39" fillId="0" borderId="0" xfId="4" applyFont="1" applyAlignment="1">
      <alignment vertical="center" wrapText="1"/>
    </xf>
    <xf numFmtId="0" fontId="39" fillId="0" borderId="88" xfId="4" applyFont="1" applyBorder="1" applyAlignment="1">
      <alignment vertical="center" wrapText="1"/>
    </xf>
    <xf numFmtId="0" fontId="39" fillId="26" borderId="30" xfId="4" applyFont="1" applyFill="1" applyBorder="1" applyAlignment="1">
      <alignment horizontal="center" vertical="center" wrapText="1"/>
    </xf>
    <xf numFmtId="0" fontId="39" fillId="0" borderId="38" xfId="4" applyFont="1" applyBorder="1" applyAlignment="1">
      <alignment vertical="center" wrapText="1"/>
    </xf>
    <xf numFmtId="0" fontId="39" fillId="26" borderId="29" xfId="4" applyFont="1" applyFill="1" applyBorder="1" applyAlignment="1">
      <alignment horizontal="center" vertical="center" wrapText="1"/>
    </xf>
    <xf numFmtId="0" fontId="39" fillId="0" borderId="29" xfId="4" applyFont="1" applyBorder="1" applyAlignment="1">
      <alignment vertical="center" wrapText="1"/>
    </xf>
    <xf numFmtId="0" fontId="39" fillId="0" borderId="90" xfId="4" applyFont="1" applyBorder="1" applyAlignment="1">
      <alignment horizontal="left" vertical="center" wrapText="1"/>
    </xf>
    <xf numFmtId="0" fontId="39" fillId="0" borderId="36" xfId="4" applyFont="1" applyBorder="1" applyAlignment="1">
      <alignment horizontal="center" vertical="center"/>
    </xf>
    <xf numFmtId="0" fontId="39" fillId="26" borderId="37" xfId="4" applyFont="1" applyFill="1" applyBorder="1" applyAlignment="1">
      <alignment horizontal="center" vertical="center" wrapText="1"/>
    </xf>
    <xf numFmtId="0" fontId="37" fillId="0" borderId="87" xfId="4" applyBorder="1" applyAlignment="1">
      <alignment horizontal="center" vertical="center" wrapText="1"/>
    </xf>
    <xf numFmtId="39" fontId="40" fillId="27" borderId="48" xfId="4" applyNumberFormat="1" applyFont="1" applyFill="1" applyBorder="1" applyAlignment="1">
      <alignment horizontal="center" vertical="center"/>
    </xf>
    <xf numFmtId="0" fontId="39" fillId="0" borderId="103" xfId="4" applyFont="1" applyBorder="1" applyAlignment="1">
      <alignment vertical="center" wrapText="1"/>
    </xf>
    <xf numFmtId="0" fontId="39" fillId="0" borderId="104" xfId="4" applyFont="1" applyBorder="1" applyAlignment="1">
      <alignment vertical="center"/>
    </xf>
    <xf numFmtId="0" fontId="37" fillId="0" borderId="33" xfId="4" applyBorder="1" applyAlignment="1">
      <alignment horizontal="center" vertical="center" wrapText="1"/>
    </xf>
    <xf numFmtId="0" fontId="39" fillId="26" borderId="33" xfId="4" applyFont="1" applyFill="1" applyBorder="1" applyAlignment="1">
      <alignment horizontal="center" vertical="center" wrapText="1"/>
    </xf>
    <xf numFmtId="49" fontId="18" fillId="11" borderId="105" xfId="0" applyNumberFormat="1" applyFont="1" applyFill="1" applyBorder="1" applyAlignment="1">
      <alignment horizontal="center" vertical="center"/>
    </xf>
    <xf numFmtId="4" fontId="0" fillId="0" borderId="39" xfId="5" applyNumberFormat="1" applyFont="1" applyBorder="1" applyAlignment="1">
      <alignment horizontal="center" vertical="center" wrapText="1"/>
    </xf>
    <xf numFmtId="4" fontId="0" fillId="0" borderId="68" xfId="5" applyNumberFormat="1" applyFont="1" applyBorder="1" applyAlignment="1">
      <alignment horizontal="center" vertical="center" wrapText="1"/>
    </xf>
    <xf numFmtId="4" fontId="38" fillId="25" borderId="78" xfId="4" applyNumberFormat="1" applyFont="1" applyFill="1" applyBorder="1" applyAlignment="1">
      <alignment horizontal="center" vertical="center" wrapText="1"/>
    </xf>
    <xf numFmtId="4" fontId="10" fillId="8" borderId="13" xfId="2" applyNumberFormat="1" applyFill="1" applyBorder="1" applyAlignment="1">
      <alignment horizontal="center" vertical="center"/>
    </xf>
    <xf numFmtId="4" fontId="10" fillId="0" borderId="13" xfId="3" applyNumberFormat="1" applyBorder="1" applyAlignment="1">
      <alignment horizontal="center" vertical="center" wrapText="1"/>
    </xf>
    <xf numFmtId="0" fontId="10" fillId="0" borderId="43" xfId="2" applyBorder="1" applyAlignment="1">
      <alignment horizontal="center" vertical="center" wrapText="1"/>
    </xf>
    <xf numFmtId="4" fontId="10" fillId="0" borderId="13" xfId="3" applyNumberFormat="1" applyBorder="1" applyAlignment="1">
      <alignment horizontal="center" vertical="center"/>
    </xf>
    <xf numFmtId="0" fontId="10" fillId="0" borderId="39" xfId="2" applyBorder="1" applyAlignment="1">
      <alignment horizontal="center" vertical="center" wrapText="1"/>
    </xf>
    <xf numFmtId="2" fontId="10" fillId="8" borderId="67" xfId="2" applyNumberFormat="1" applyFill="1" applyBorder="1" applyAlignment="1">
      <alignment horizontal="center" vertical="center"/>
    </xf>
    <xf numFmtId="0" fontId="10" fillId="8" borderId="82" xfId="2" applyFill="1" applyBorder="1" applyAlignment="1">
      <alignment horizontal="center" vertical="center"/>
    </xf>
    <xf numFmtId="0" fontId="33" fillId="8" borderId="75" xfId="2" applyFont="1" applyFill="1" applyBorder="1" applyAlignment="1">
      <alignment vertical="center" wrapText="1"/>
    </xf>
    <xf numFmtId="0" fontId="29" fillId="20" borderId="76" xfId="2" applyFont="1" applyFill="1" applyBorder="1" applyAlignment="1">
      <alignment horizontal="center" vertical="center"/>
    </xf>
    <xf numFmtId="0" fontId="29" fillId="20" borderId="40" xfId="2" applyFont="1" applyFill="1" applyBorder="1" applyAlignment="1">
      <alignment horizontal="center" vertical="center"/>
    </xf>
    <xf numFmtId="0" fontId="29" fillId="20" borderId="74" xfId="2" applyFont="1" applyFill="1" applyBorder="1" applyAlignment="1">
      <alignment horizontal="center" vertical="center"/>
    </xf>
    <xf numFmtId="0" fontId="29" fillId="20" borderId="82" xfId="2" applyFont="1" applyFill="1" applyBorder="1" applyAlignment="1">
      <alignment horizontal="center" vertical="center"/>
    </xf>
    <xf numFmtId="0" fontId="32" fillId="8" borderId="82" xfId="2" applyFont="1" applyFill="1" applyBorder="1" applyAlignment="1">
      <alignment horizontal="center" vertical="center" wrapText="1"/>
    </xf>
    <xf numFmtId="2" fontId="10" fillId="8" borderId="64" xfId="2" applyNumberFormat="1" applyFill="1" applyBorder="1" applyAlignment="1">
      <alignment horizontal="center" vertical="center"/>
    </xf>
    <xf numFmtId="4" fontId="29" fillId="0" borderId="13" xfId="2" applyNumberFormat="1" applyFont="1" applyBorder="1" applyAlignment="1">
      <alignment horizontal="center" vertical="center" wrapText="1"/>
    </xf>
    <xf numFmtId="4" fontId="35" fillId="0" borderId="13" xfId="0" applyNumberFormat="1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172" fontId="29" fillId="0" borderId="13" xfId="3" applyFont="1" applyBorder="1" applyAlignment="1">
      <alignment horizontal="center" vertical="center"/>
    </xf>
    <xf numFmtId="4" fontId="29" fillId="0" borderId="13" xfId="3" applyNumberFormat="1" applyFont="1" applyBorder="1" applyAlignment="1">
      <alignment horizontal="center" vertical="center"/>
    </xf>
    <xf numFmtId="181" fontId="10" fillId="0" borderId="13" xfId="2" applyNumberFormat="1" applyBorder="1" applyAlignment="1">
      <alignment horizontal="center" vertical="center" wrapText="1"/>
    </xf>
    <xf numFmtId="181" fontId="10" fillId="0" borderId="45" xfId="2" applyNumberFormat="1" applyBorder="1" applyAlignment="1">
      <alignment horizontal="center" vertical="center" wrapText="1"/>
    </xf>
    <xf numFmtId="181" fontId="10" fillId="0" borderId="46" xfId="2" applyNumberFormat="1" applyBorder="1" applyAlignment="1">
      <alignment horizontal="center" vertical="center" wrapText="1"/>
    </xf>
    <xf numFmtId="181" fontId="10" fillId="0" borderId="47" xfId="2" applyNumberFormat="1" applyBorder="1" applyAlignment="1">
      <alignment horizontal="center" vertical="center" wrapText="1"/>
    </xf>
    <xf numFmtId="181" fontId="29" fillId="0" borderId="47" xfId="2" applyNumberFormat="1" applyFont="1" applyBorder="1" applyAlignment="1">
      <alignment horizontal="center" vertical="center" wrapText="1"/>
    </xf>
    <xf numFmtId="0" fontId="10" fillId="0" borderId="43" xfId="2" applyBorder="1" applyAlignment="1">
      <alignment horizontal="justify" vertical="center" wrapText="1"/>
    </xf>
    <xf numFmtId="0" fontId="10" fillId="0" borderId="62" xfId="2" applyBorder="1" applyAlignment="1">
      <alignment horizontal="center" vertical="center" wrapText="1"/>
    </xf>
    <xf numFmtId="0" fontId="7" fillId="0" borderId="39" xfId="2" applyFont="1" applyBorder="1" applyAlignment="1">
      <alignment horizontal="justify" vertical="center" wrapText="1"/>
    </xf>
    <xf numFmtId="181" fontId="10" fillId="0" borderId="39" xfId="2" applyNumberFormat="1" applyBorder="1" applyAlignment="1">
      <alignment horizontal="center" vertical="center" wrapText="1"/>
    </xf>
    <xf numFmtId="181" fontId="10" fillId="0" borderId="63" xfId="2" applyNumberFormat="1" applyBorder="1" applyAlignment="1">
      <alignment horizontal="center" vertical="center" wrapText="1"/>
    </xf>
    <xf numFmtId="0" fontId="29" fillId="23" borderId="106" xfId="2" applyFont="1" applyFill="1" applyBorder="1" applyAlignment="1">
      <alignment horizontal="center" vertical="center" textRotation="90" wrapText="1"/>
    </xf>
    <xf numFmtId="0" fontId="29" fillId="23" borderId="107" xfId="2" applyFont="1" applyFill="1" applyBorder="1" applyAlignment="1">
      <alignment horizontal="center" vertical="center" wrapText="1"/>
    </xf>
    <xf numFmtId="0" fontId="29" fillId="23" borderId="107" xfId="2" applyFont="1" applyFill="1" applyBorder="1" applyAlignment="1">
      <alignment horizontal="center" vertical="center" textRotation="90" wrapText="1"/>
    </xf>
    <xf numFmtId="0" fontId="29" fillId="23" borderId="108" xfId="2" applyFont="1" applyFill="1" applyBorder="1" applyAlignment="1">
      <alignment horizontal="center" vertical="center" wrapText="1"/>
    </xf>
    <xf numFmtId="1" fontId="10" fillId="0" borderId="39" xfId="2" applyNumberFormat="1" applyBorder="1" applyAlignment="1">
      <alignment horizontal="center" vertical="center" wrapText="1"/>
    </xf>
    <xf numFmtId="0" fontId="32" fillId="21" borderId="43" xfId="2" applyFont="1" applyFill="1" applyBorder="1" applyAlignment="1">
      <alignment horizontal="center" vertical="center"/>
    </xf>
    <xf numFmtId="164" fontId="38" fillId="24" borderId="32" xfId="4" applyNumberFormat="1" applyFont="1" applyFill="1" applyBorder="1" applyAlignment="1">
      <alignment horizontal="center" vertical="center" wrapText="1"/>
    </xf>
    <xf numFmtId="2" fontId="10" fillId="0" borderId="0" xfId="2" applyNumberFormat="1"/>
    <xf numFmtId="0" fontId="10" fillId="0" borderId="39" xfId="2" applyBorder="1" applyAlignment="1">
      <alignment horizontal="center" vertical="center" wrapText="1"/>
    </xf>
    <xf numFmtId="0" fontId="39" fillId="0" borderId="0" xfId="4" applyFont="1" applyAlignment="1">
      <alignment horizontal="left" vertical="center" wrapText="1"/>
    </xf>
    <xf numFmtId="164" fontId="18" fillId="13" borderId="2" xfId="0" applyNumberFormat="1" applyFont="1" applyFill="1" applyBorder="1" applyAlignment="1">
      <alignment horizontal="center" vertical="center"/>
    </xf>
    <xf numFmtId="164" fontId="38" fillId="24" borderId="32" xfId="4" applyNumberFormat="1" applyFont="1" applyFill="1" applyBorder="1" applyAlignment="1">
      <alignment horizontal="center" vertical="center" wrapText="1"/>
    </xf>
    <xf numFmtId="0" fontId="10" fillId="0" borderId="39" xfId="2" applyBorder="1" applyAlignment="1">
      <alignment horizontal="center" vertical="center" wrapText="1"/>
    </xf>
    <xf numFmtId="0" fontId="29" fillId="22" borderId="106" xfId="2" applyFont="1" applyFill="1" applyBorder="1" applyAlignment="1">
      <alignment horizontal="center" vertical="center" wrapText="1"/>
    </xf>
    <xf numFmtId="0" fontId="29" fillId="22" borderId="107" xfId="2" applyFont="1" applyFill="1" applyBorder="1" applyAlignment="1">
      <alignment horizontal="center" vertical="center" wrapText="1"/>
    </xf>
    <xf numFmtId="0" fontId="29" fillId="22" borderId="108" xfId="2" applyFont="1" applyFill="1" applyBorder="1" applyAlignment="1">
      <alignment horizontal="center" vertical="center" wrapText="1"/>
    </xf>
    <xf numFmtId="0" fontId="29" fillId="0" borderId="106" xfId="2" applyFont="1" applyBorder="1" applyAlignment="1">
      <alignment horizontal="center" vertical="center" wrapText="1"/>
    </xf>
    <xf numFmtId="0" fontId="29" fillId="0" borderId="107" xfId="2" applyFont="1" applyBorder="1" applyAlignment="1">
      <alignment horizontal="center" vertical="center" wrapText="1"/>
    </xf>
    <xf numFmtId="0" fontId="29" fillId="0" borderId="108" xfId="2" applyFont="1" applyBorder="1" applyAlignment="1">
      <alignment horizontal="center" vertical="center" wrapText="1"/>
    </xf>
    <xf numFmtId="0" fontId="28" fillId="0" borderId="0" xfId="2" applyFont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172" fontId="13" fillId="0" borderId="5" xfId="0" applyNumberFormat="1" applyFont="1" applyBorder="1" applyAlignment="1">
      <alignment horizontal="center" vertical="center"/>
    </xf>
    <xf numFmtId="173" fontId="13" fillId="0" borderId="5" xfId="0" applyNumberFormat="1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left" vertical="center"/>
    </xf>
    <xf numFmtId="0" fontId="13" fillId="3" borderId="9" xfId="0" applyFont="1" applyFill="1" applyBorder="1" applyAlignment="1">
      <alignment horizontal="left" vertical="center"/>
    </xf>
    <xf numFmtId="0" fontId="13" fillId="3" borderId="16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/>
    </xf>
    <xf numFmtId="0" fontId="11" fillId="2" borderId="9" xfId="0" applyFont="1" applyFill="1" applyBorder="1" applyAlignment="1">
      <alignment horizontal="left" vertical="center"/>
    </xf>
    <xf numFmtId="0" fontId="11" fillId="2" borderId="16" xfId="0" applyFont="1" applyFill="1" applyBorder="1" applyAlignment="1">
      <alignment horizontal="left" vertical="center"/>
    </xf>
    <xf numFmtId="0" fontId="13" fillId="3" borderId="2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justify" vertical="top" wrapText="1"/>
    </xf>
    <xf numFmtId="0" fontId="11" fillId="0" borderId="9" xfId="0" applyFont="1" applyBorder="1" applyAlignment="1">
      <alignment horizontal="justify" vertical="top" wrapText="1"/>
    </xf>
    <xf numFmtId="0" fontId="11" fillId="0" borderId="16" xfId="0" applyFont="1" applyBorder="1" applyAlignment="1">
      <alignment horizontal="justify" vertical="top" wrapText="1"/>
    </xf>
    <xf numFmtId="0" fontId="11" fillId="2" borderId="2" xfId="0" applyFont="1" applyFill="1" applyBorder="1" applyAlignment="1">
      <alignment horizontal="center" vertical="center"/>
    </xf>
    <xf numFmtId="10" fontId="16" fillId="11" borderId="24" xfId="0" applyNumberFormat="1" applyFont="1" applyFill="1" applyBorder="1" applyAlignment="1">
      <alignment horizontal="center" vertical="center"/>
    </xf>
    <xf numFmtId="10" fontId="16" fillId="11" borderId="27" xfId="0" applyNumberFormat="1" applyFont="1" applyFill="1" applyBorder="1" applyAlignment="1">
      <alignment horizontal="center" vertical="center"/>
    </xf>
    <xf numFmtId="10" fontId="16" fillId="11" borderId="15" xfId="0" applyNumberFormat="1" applyFont="1" applyFill="1" applyBorder="1" applyAlignment="1">
      <alignment horizontal="center" vertical="center"/>
    </xf>
    <xf numFmtId="0" fontId="11" fillId="0" borderId="19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0" fontId="11" fillId="0" borderId="20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0" fontId="27" fillId="11" borderId="2" xfId="0" applyFont="1" applyFill="1" applyBorder="1" applyAlignment="1">
      <alignment horizontal="center" vertical="center" wrapText="1"/>
    </xf>
    <xf numFmtId="0" fontId="13" fillId="13" borderId="2" xfId="0" applyFont="1" applyFill="1" applyBorder="1" applyAlignment="1">
      <alignment horizontal="left" vertical="center"/>
    </xf>
    <xf numFmtId="0" fontId="11" fillId="13" borderId="2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11" fillId="0" borderId="19" xfId="0" applyFont="1" applyBorder="1" applyAlignment="1">
      <alignment horizontal="justify" vertical="top" wrapText="1"/>
    </xf>
    <xf numFmtId="0" fontId="11" fillId="0" borderId="3" xfId="0" applyFont="1" applyBorder="1" applyAlignment="1">
      <alignment horizontal="justify" vertical="top" wrapText="1"/>
    </xf>
    <xf numFmtId="0" fontId="11" fillId="0" borderId="4" xfId="0" applyFont="1" applyBorder="1" applyAlignment="1">
      <alignment horizontal="justify" vertical="top" wrapText="1"/>
    </xf>
    <xf numFmtId="0" fontId="11" fillId="0" borderId="20" xfId="0" applyFont="1" applyBorder="1" applyAlignment="1">
      <alignment horizontal="justify" vertical="top" wrapText="1"/>
    </xf>
    <xf numFmtId="0" fontId="11" fillId="0" borderId="14" xfId="0" applyFont="1" applyBorder="1" applyAlignment="1">
      <alignment horizontal="justify" vertical="top" wrapText="1"/>
    </xf>
    <xf numFmtId="0" fontId="11" fillId="0" borderId="21" xfId="0" applyFont="1" applyBorder="1" applyAlignment="1">
      <alignment horizontal="justify" vertical="top" wrapText="1"/>
    </xf>
    <xf numFmtId="168" fontId="11" fillId="14" borderId="9" xfId="0" applyNumberFormat="1" applyFont="1" applyFill="1" applyBorder="1" applyAlignment="1" applyProtection="1">
      <alignment horizontal="center" vertical="center"/>
      <protection locked="0"/>
    </xf>
    <xf numFmtId="168" fontId="11" fillId="14" borderId="16" xfId="0" applyNumberFormat="1" applyFont="1" applyFill="1" applyBorder="1" applyAlignment="1" applyProtection="1">
      <alignment horizontal="center" vertical="center"/>
      <protection locked="0"/>
    </xf>
    <xf numFmtId="0" fontId="13" fillId="13" borderId="2" xfId="0" applyFont="1" applyFill="1" applyBorder="1" applyAlignment="1">
      <alignment horizontal="left" vertical="center" wrapText="1"/>
    </xf>
    <xf numFmtId="0" fontId="11" fillId="14" borderId="9" xfId="0" applyFont="1" applyFill="1" applyBorder="1" applyAlignment="1" applyProtection="1">
      <alignment horizontal="center" vertical="center"/>
      <protection locked="0"/>
    </xf>
    <xf numFmtId="0" fontId="11" fillId="14" borderId="16" xfId="0" applyFont="1" applyFill="1" applyBorder="1" applyAlignment="1" applyProtection="1">
      <alignment horizontal="center" vertical="center"/>
      <protection locked="0"/>
    </xf>
    <xf numFmtId="0" fontId="11" fillId="0" borderId="11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justify" vertical="top" wrapText="1"/>
    </xf>
    <xf numFmtId="0" fontId="11" fillId="0" borderId="7" xfId="0" applyFont="1" applyBorder="1" applyAlignment="1">
      <alignment horizontal="justify" vertical="top" wrapText="1"/>
    </xf>
    <xf numFmtId="169" fontId="11" fillId="14" borderId="9" xfId="0" applyNumberFormat="1" applyFont="1" applyFill="1" applyBorder="1" applyAlignment="1" applyProtection="1">
      <alignment horizontal="center" vertical="center"/>
      <protection locked="0"/>
    </xf>
    <xf numFmtId="169" fontId="11" fillId="14" borderId="16" xfId="0" applyNumberFormat="1" applyFont="1" applyFill="1" applyBorder="1" applyAlignment="1" applyProtection="1">
      <alignment horizontal="center" vertical="center"/>
      <protection locked="0"/>
    </xf>
    <xf numFmtId="170" fontId="11" fillId="14" borderId="9" xfId="0" applyNumberFormat="1" applyFont="1" applyFill="1" applyBorder="1" applyAlignment="1" applyProtection="1">
      <alignment horizontal="center" vertical="center"/>
      <protection locked="0"/>
    </xf>
    <xf numFmtId="170" fontId="11" fillId="14" borderId="16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3" borderId="19" xfId="0" applyFont="1" applyFill="1" applyBorder="1" applyAlignment="1">
      <alignment horizontal="justify" vertical="top" wrapText="1"/>
    </xf>
    <xf numFmtId="0" fontId="13" fillId="3" borderId="3" xfId="0" applyFont="1" applyFill="1" applyBorder="1" applyAlignment="1">
      <alignment horizontal="justify" vertical="top" wrapText="1"/>
    </xf>
    <xf numFmtId="0" fontId="13" fillId="3" borderId="4" xfId="0" applyFont="1" applyFill="1" applyBorder="1" applyAlignment="1">
      <alignment horizontal="justify" vertical="top" wrapText="1"/>
    </xf>
    <xf numFmtId="0" fontId="13" fillId="3" borderId="11" xfId="0" applyFont="1" applyFill="1" applyBorder="1" applyAlignment="1">
      <alignment horizontal="justify" vertical="top" wrapText="1"/>
    </xf>
    <xf numFmtId="0" fontId="13" fillId="3" borderId="0" xfId="0" applyFont="1" applyFill="1" applyBorder="1" applyAlignment="1">
      <alignment horizontal="justify" vertical="top" wrapText="1"/>
    </xf>
    <xf numFmtId="0" fontId="13" fillId="3" borderId="7" xfId="0" applyFont="1" applyFill="1" applyBorder="1" applyAlignment="1">
      <alignment horizontal="justify" vertical="top" wrapText="1"/>
    </xf>
    <xf numFmtId="0" fontId="13" fillId="3" borderId="20" xfId="0" applyFont="1" applyFill="1" applyBorder="1" applyAlignment="1">
      <alignment horizontal="justify" vertical="top" wrapText="1"/>
    </xf>
    <xf numFmtId="0" fontId="13" fillId="3" borderId="14" xfId="0" applyFont="1" applyFill="1" applyBorder="1" applyAlignment="1">
      <alignment horizontal="justify" vertical="top" wrapText="1"/>
    </xf>
    <xf numFmtId="0" fontId="13" fillId="3" borderId="21" xfId="0" applyFont="1" applyFill="1" applyBorder="1" applyAlignment="1">
      <alignment horizontal="justify" vertical="top" wrapText="1"/>
    </xf>
    <xf numFmtId="0" fontId="13" fillId="3" borderId="25" xfId="0" applyFont="1" applyFill="1" applyBorder="1" applyAlignment="1">
      <alignment horizontal="left" vertical="center"/>
    </xf>
    <xf numFmtId="0" fontId="13" fillId="3" borderId="22" xfId="0" applyFont="1" applyFill="1" applyBorder="1" applyAlignment="1">
      <alignment horizontal="left" vertical="center"/>
    </xf>
    <xf numFmtId="0" fontId="13" fillId="3" borderId="10" xfId="0" applyFont="1" applyFill="1" applyBorder="1" applyAlignment="1">
      <alignment horizontal="left" vertical="center"/>
    </xf>
    <xf numFmtId="0" fontId="13" fillId="3" borderId="26" xfId="0" applyFont="1" applyFill="1" applyBorder="1" applyAlignment="1">
      <alignment horizontal="left" vertical="center"/>
    </xf>
    <xf numFmtId="167" fontId="13" fillId="29" borderId="22" xfId="0" applyNumberFormat="1" applyFont="1" applyFill="1" applyBorder="1" applyAlignment="1" applyProtection="1">
      <alignment horizontal="center" vertical="center"/>
      <protection locked="0"/>
    </xf>
    <xf numFmtId="167" fontId="13" fillId="29" borderId="26" xfId="0" applyNumberFormat="1" applyFont="1" applyFill="1" applyBorder="1" applyAlignment="1" applyProtection="1">
      <alignment horizontal="center" vertical="center"/>
      <protection locked="0"/>
    </xf>
    <xf numFmtId="0" fontId="13" fillId="13" borderId="23" xfId="0" applyFont="1" applyFill="1" applyBorder="1" applyAlignment="1">
      <alignment horizontal="left" vertical="center"/>
    </xf>
    <xf numFmtId="0" fontId="11" fillId="2" borderId="23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justify" vertical="center" wrapText="1"/>
    </xf>
    <xf numFmtId="0" fontId="10" fillId="0" borderId="0" xfId="0" applyFont="1" applyAlignment="1">
      <alignment horizontal="justify" vertical="center" wrapText="1"/>
    </xf>
    <xf numFmtId="0" fontId="10" fillId="0" borderId="7" xfId="0" applyFont="1" applyBorder="1" applyAlignment="1">
      <alignment horizontal="justify" vertical="center" wrapText="1"/>
    </xf>
    <xf numFmtId="0" fontId="13" fillId="13" borderId="14" xfId="0" applyFont="1" applyFill="1" applyBorder="1" applyAlignment="1">
      <alignment horizontal="left" vertical="center"/>
    </xf>
    <xf numFmtId="0" fontId="13" fillId="13" borderId="9" xfId="0" applyFont="1" applyFill="1" applyBorder="1" applyAlignment="1">
      <alignment horizontal="left" vertical="center"/>
    </xf>
    <xf numFmtId="0" fontId="13" fillId="13" borderId="16" xfId="0" applyFont="1" applyFill="1" applyBorder="1" applyAlignment="1">
      <alignment horizontal="left" vertical="center"/>
    </xf>
    <xf numFmtId="0" fontId="13" fillId="3" borderId="12" xfId="0" applyFont="1" applyFill="1" applyBorder="1" applyAlignment="1">
      <alignment horizontal="left" vertical="center"/>
    </xf>
    <xf numFmtId="0" fontId="13" fillId="3" borderId="17" xfId="0" applyFont="1" applyFill="1" applyBorder="1" applyAlignment="1">
      <alignment horizontal="left" vertical="center"/>
    </xf>
    <xf numFmtId="0" fontId="11" fillId="3" borderId="19" xfId="0" applyFont="1" applyFill="1" applyBorder="1" applyAlignment="1">
      <alignment horizontal="justify" vertical="top" wrapText="1"/>
    </xf>
    <xf numFmtId="0" fontId="11" fillId="3" borderId="3" xfId="0" applyFont="1" applyFill="1" applyBorder="1" applyAlignment="1">
      <alignment horizontal="justify" vertical="top" wrapText="1"/>
    </xf>
    <xf numFmtId="0" fontId="11" fillId="3" borderId="4" xfId="0" applyFont="1" applyFill="1" applyBorder="1" applyAlignment="1">
      <alignment horizontal="justify" vertical="top" wrapText="1"/>
    </xf>
    <xf numFmtId="0" fontId="11" fillId="3" borderId="11" xfId="0" applyFont="1" applyFill="1" applyBorder="1" applyAlignment="1">
      <alignment horizontal="justify" vertical="top" wrapText="1"/>
    </xf>
    <xf numFmtId="0" fontId="11" fillId="3" borderId="0" xfId="0" applyFont="1" applyFill="1" applyAlignment="1">
      <alignment horizontal="justify" vertical="top" wrapText="1"/>
    </xf>
    <xf numFmtId="0" fontId="11" fillId="3" borderId="7" xfId="0" applyFont="1" applyFill="1" applyBorder="1" applyAlignment="1">
      <alignment horizontal="justify" vertical="top" wrapText="1"/>
    </xf>
    <xf numFmtId="0" fontId="11" fillId="3" borderId="20" xfId="0" applyFont="1" applyFill="1" applyBorder="1" applyAlignment="1">
      <alignment horizontal="justify" vertical="top" wrapText="1"/>
    </xf>
    <xf numFmtId="0" fontId="11" fillId="3" borderId="14" xfId="0" applyFont="1" applyFill="1" applyBorder="1" applyAlignment="1">
      <alignment horizontal="justify" vertical="top" wrapText="1"/>
    </xf>
    <xf numFmtId="0" fontId="11" fillId="3" borderId="21" xfId="0" applyFont="1" applyFill="1" applyBorder="1" applyAlignment="1">
      <alignment horizontal="justify" vertical="top" wrapText="1"/>
    </xf>
    <xf numFmtId="9" fontId="19" fillId="3" borderId="22" xfId="0" applyNumberFormat="1" applyFont="1" applyFill="1" applyBorder="1" applyAlignment="1">
      <alignment horizontal="center" vertical="center"/>
    </xf>
    <xf numFmtId="0" fontId="19" fillId="3" borderId="9" xfId="0" applyFont="1" applyFill="1" applyBorder="1" applyAlignment="1">
      <alignment horizontal="center" vertical="center"/>
    </xf>
    <xf numFmtId="0" fontId="19" fillId="3" borderId="16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left" vertical="center"/>
    </xf>
    <xf numFmtId="164" fontId="18" fillId="13" borderId="2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/>
    </xf>
    <xf numFmtId="0" fontId="13" fillId="3" borderId="2" xfId="0" applyFont="1" applyFill="1" applyBorder="1" applyAlignment="1">
      <alignment vertical="center" wrapText="1"/>
    </xf>
    <xf numFmtId="0" fontId="13" fillId="3" borderId="83" xfId="0" applyFont="1" applyFill="1" applyBorder="1" applyAlignment="1">
      <alignment horizontal="left" vertical="center"/>
    </xf>
    <xf numFmtId="0" fontId="15" fillId="11" borderId="83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justify" vertical="top" wrapText="1"/>
    </xf>
    <xf numFmtId="0" fontId="13" fillId="3" borderId="9" xfId="0" applyFont="1" applyFill="1" applyBorder="1" applyAlignment="1">
      <alignment horizontal="justify" vertical="top"/>
    </xf>
    <xf numFmtId="0" fontId="13" fillId="3" borderId="16" xfId="0" applyFont="1" applyFill="1" applyBorder="1" applyAlignment="1">
      <alignment horizontal="justify" vertical="top"/>
    </xf>
    <xf numFmtId="0" fontId="13" fillId="3" borderId="1" xfId="0" applyFont="1" applyFill="1" applyBorder="1" applyAlignment="1">
      <alignment horizontal="justify" vertical="top"/>
    </xf>
    <xf numFmtId="0" fontId="11" fillId="2" borderId="1" xfId="0" applyFont="1" applyFill="1" applyBorder="1" applyAlignment="1">
      <alignment vertical="center"/>
    </xf>
    <xf numFmtId="0" fontId="13" fillId="11" borderId="5" xfId="0" applyFont="1" applyFill="1" applyBorder="1" applyAlignment="1">
      <alignment vertical="center"/>
    </xf>
    <xf numFmtId="0" fontId="13" fillId="11" borderId="6" xfId="0" applyFont="1" applyFill="1" applyBorder="1" applyAlignment="1">
      <alignment vertical="center"/>
    </xf>
    <xf numFmtId="0" fontId="13" fillId="12" borderId="5" xfId="0" applyFont="1" applyFill="1" applyBorder="1" applyAlignment="1">
      <alignment horizontal="left" vertical="center"/>
    </xf>
    <xf numFmtId="0" fontId="13" fillId="12" borderId="6" xfId="0" applyFont="1" applyFill="1" applyBorder="1" applyAlignment="1">
      <alignment horizontal="left" vertical="center"/>
    </xf>
    <xf numFmtId="14" fontId="13" fillId="11" borderId="8" xfId="0" applyNumberFormat="1" applyFont="1" applyFill="1" applyBorder="1" applyAlignment="1">
      <alignment horizontal="center" vertical="center"/>
    </xf>
    <xf numFmtId="14" fontId="13" fillId="11" borderId="9" xfId="0" applyNumberFormat="1" applyFont="1" applyFill="1" applyBorder="1" applyAlignment="1">
      <alignment horizontal="center" vertical="center"/>
    </xf>
    <xf numFmtId="14" fontId="13" fillId="11" borderId="10" xfId="0" applyNumberFormat="1" applyFont="1" applyFill="1" applyBorder="1" applyAlignment="1">
      <alignment horizontal="center" vertical="center"/>
    </xf>
    <xf numFmtId="20" fontId="13" fillId="11" borderId="5" xfId="0" applyNumberFormat="1" applyFont="1" applyFill="1" applyBorder="1" applyAlignment="1">
      <alignment vertical="center"/>
    </xf>
    <xf numFmtId="0" fontId="13" fillId="3" borderId="9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172" fontId="3" fillId="0" borderId="5" xfId="0" applyNumberFormat="1" applyFont="1" applyBorder="1" applyAlignment="1">
      <alignment horizontal="center" vertical="center"/>
    </xf>
    <xf numFmtId="173" fontId="3" fillId="0" borderId="5" xfId="0" applyNumberFormat="1" applyFont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3" fillId="3" borderId="16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2" fillId="0" borderId="19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justify" vertical="top"/>
    </xf>
    <xf numFmtId="0" fontId="2" fillId="0" borderId="4" xfId="0" applyFont="1" applyBorder="1" applyAlignment="1">
      <alignment horizontal="justify" vertical="top"/>
    </xf>
    <xf numFmtId="10" fontId="4" fillId="4" borderId="24" xfId="0" applyNumberFormat="1" applyFont="1" applyFill="1" applyBorder="1" applyAlignment="1">
      <alignment horizontal="center" vertical="center"/>
    </xf>
    <xf numFmtId="10" fontId="4" fillId="4" borderId="27" xfId="0" applyNumberFormat="1" applyFont="1" applyFill="1" applyBorder="1" applyAlignment="1">
      <alignment horizontal="center" vertical="center"/>
    </xf>
    <xf numFmtId="10" fontId="4" fillId="4" borderId="15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6" fillId="4" borderId="2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left" vertical="center"/>
    </xf>
    <xf numFmtId="0" fontId="2" fillId="8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2" fillId="2" borderId="24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justify" vertical="top"/>
    </xf>
    <xf numFmtId="0" fontId="2" fillId="0" borderId="0" xfId="0" applyFont="1" applyAlignment="1">
      <alignment horizontal="justify" vertical="top"/>
    </xf>
    <xf numFmtId="0" fontId="2" fillId="0" borderId="7" xfId="0" applyFont="1" applyBorder="1" applyAlignment="1">
      <alignment horizontal="justify" vertical="top"/>
    </xf>
    <xf numFmtId="168" fontId="2" fillId="9" borderId="9" xfId="0" applyNumberFormat="1" applyFont="1" applyFill="1" applyBorder="1" applyAlignment="1" applyProtection="1">
      <alignment horizontal="center" vertical="center"/>
      <protection locked="0"/>
    </xf>
    <xf numFmtId="168" fontId="2" fillId="9" borderId="16" xfId="0" applyNumberFormat="1" applyFont="1" applyFill="1" applyBorder="1" applyAlignment="1" applyProtection="1">
      <alignment horizontal="center" vertical="center"/>
      <protection locked="0"/>
    </xf>
    <xf numFmtId="0" fontId="3" fillId="8" borderId="2" xfId="0" applyFont="1" applyFill="1" applyBorder="1" applyAlignment="1">
      <alignment horizontal="left" vertical="center" wrapText="1"/>
    </xf>
    <xf numFmtId="0" fontId="2" fillId="9" borderId="9" xfId="0" applyFont="1" applyFill="1" applyBorder="1" applyAlignment="1" applyProtection="1">
      <alignment horizontal="center" vertical="center"/>
      <protection locked="0"/>
    </xf>
    <xf numFmtId="0" fontId="2" fillId="9" borderId="16" xfId="0" applyFont="1" applyFill="1" applyBorder="1" applyAlignment="1" applyProtection="1">
      <alignment horizontal="center" vertical="center"/>
      <protection locked="0"/>
    </xf>
    <xf numFmtId="0" fontId="2" fillId="0" borderId="20" xfId="0" applyFont="1" applyBorder="1" applyAlignment="1">
      <alignment horizontal="justify" vertical="top"/>
    </xf>
    <xf numFmtId="0" fontId="2" fillId="0" borderId="14" xfId="0" applyFont="1" applyBorder="1" applyAlignment="1">
      <alignment horizontal="justify" vertical="top"/>
    </xf>
    <xf numFmtId="0" fontId="2" fillId="0" borderId="21" xfId="0" applyFont="1" applyBorder="1" applyAlignment="1">
      <alignment horizontal="justify" vertical="top"/>
    </xf>
    <xf numFmtId="169" fontId="2" fillId="9" borderId="9" xfId="0" applyNumberFormat="1" applyFont="1" applyFill="1" applyBorder="1" applyAlignment="1" applyProtection="1">
      <alignment horizontal="center" vertical="center"/>
      <protection locked="0"/>
    </xf>
    <xf numFmtId="169" fontId="2" fillId="9" borderId="16" xfId="0" applyNumberFormat="1" applyFont="1" applyFill="1" applyBorder="1" applyAlignment="1" applyProtection="1">
      <alignment horizontal="center" vertical="center"/>
      <protection locked="0"/>
    </xf>
    <xf numFmtId="170" fontId="2" fillId="9" borderId="9" xfId="0" applyNumberFormat="1" applyFont="1" applyFill="1" applyBorder="1" applyAlignment="1" applyProtection="1">
      <alignment horizontal="center" vertical="center"/>
      <protection locked="0"/>
    </xf>
    <xf numFmtId="170" fontId="2" fillId="9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3" borderId="19" xfId="0" applyFont="1" applyFill="1" applyBorder="1" applyAlignment="1">
      <alignment horizontal="justify" vertical="top" wrapText="1"/>
    </xf>
    <xf numFmtId="0" fontId="3" fillId="3" borderId="3" xfId="0" applyFont="1" applyFill="1" applyBorder="1" applyAlignment="1">
      <alignment horizontal="justify" vertical="top" wrapText="1"/>
    </xf>
    <xf numFmtId="0" fontId="3" fillId="3" borderId="4" xfId="0" applyFont="1" applyFill="1" applyBorder="1" applyAlignment="1">
      <alignment horizontal="justify" vertical="top" wrapText="1"/>
    </xf>
    <xf numFmtId="0" fontId="3" fillId="3" borderId="11" xfId="0" applyFont="1" applyFill="1" applyBorder="1" applyAlignment="1">
      <alignment horizontal="justify" vertical="top" wrapText="1"/>
    </xf>
    <xf numFmtId="0" fontId="3" fillId="3" borderId="0" xfId="0" applyFont="1" applyFill="1" applyAlignment="1">
      <alignment horizontal="justify" vertical="top" wrapText="1"/>
    </xf>
    <xf numFmtId="0" fontId="3" fillId="3" borderId="7" xfId="0" applyFont="1" applyFill="1" applyBorder="1" applyAlignment="1">
      <alignment horizontal="justify" vertical="top" wrapText="1"/>
    </xf>
    <xf numFmtId="0" fontId="3" fillId="3" borderId="20" xfId="0" applyFont="1" applyFill="1" applyBorder="1" applyAlignment="1">
      <alignment horizontal="justify" vertical="top" wrapText="1"/>
    </xf>
    <xf numFmtId="0" fontId="3" fillId="3" borderId="14" xfId="0" applyFont="1" applyFill="1" applyBorder="1" applyAlignment="1">
      <alignment horizontal="justify" vertical="top" wrapText="1"/>
    </xf>
    <xf numFmtId="0" fontId="3" fillId="3" borderId="21" xfId="0" applyFont="1" applyFill="1" applyBorder="1" applyAlignment="1">
      <alignment horizontal="justify" vertical="top" wrapText="1"/>
    </xf>
    <xf numFmtId="167" fontId="13" fillId="11" borderId="22" xfId="0" applyNumberFormat="1" applyFont="1" applyFill="1" applyBorder="1" applyAlignment="1" applyProtection="1">
      <alignment horizontal="center" vertical="center"/>
      <protection locked="0"/>
    </xf>
    <xf numFmtId="167" fontId="13" fillId="11" borderId="26" xfId="0" applyNumberFormat="1" applyFont="1" applyFill="1" applyBorder="1" applyAlignment="1" applyProtection="1">
      <alignment horizontal="center" vertical="center"/>
      <protection locked="0"/>
    </xf>
    <xf numFmtId="0" fontId="3" fillId="8" borderId="23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justify" vertical="top" wrapText="1"/>
    </xf>
    <xf numFmtId="0" fontId="2" fillId="0" borderId="20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justify" vertical="top" wrapText="1"/>
    </xf>
    <xf numFmtId="0" fontId="2" fillId="0" borderId="21" xfId="0" applyFont="1" applyBorder="1" applyAlignment="1">
      <alignment horizontal="justify" vertical="top" wrapText="1"/>
    </xf>
    <xf numFmtId="0" fontId="3" fillId="6" borderId="9" xfId="0" applyFont="1" applyFill="1" applyBorder="1" applyAlignment="1">
      <alignment horizontal="left" vertical="center"/>
    </xf>
    <xf numFmtId="0" fontId="3" fillId="6" borderId="16" xfId="0" applyFont="1" applyFill="1" applyBorder="1" applyAlignment="1">
      <alignment horizontal="left" vertical="center"/>
    </xf>
    <xf numFmtId="0" fontId="7" fillId="0" borderId="11" xfId="0" applyFont="1" applyBorder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0" fontId="7" fillId="0" borderId="7" xfId="0" applyFont="1" applyBorder="1" applyAlignment="1">
      <alignment horizontal="justify" vertical="center" wrapText="1"/>
    </xf>
    <xf numFmtId="0" fontId="7" fillId="8" borderId="9" xfId="0" applyFont="1" applyFill="1" applyBorder="1" applyAlignment="1">
      <alignment horizontal="left" vertical="center"/>
    </xf>
    <xf numFmtId="0" fontId="7" fillId="8" borderId="16" xfId="0" applyFont="1" applyFill="1" applyBorder="1" applyAlignment="1">
      <alignment horizontal="left" vertical="center"/>
    </xf>
    <xf numFmtId="0" fontId="3" fillId="6" borderId="12" xfId="0" applyFont="1" applyFill="1" applyBorder="1" applyAlignment="1">
      <alignment horizontal="left" vertical="center"/>
    </xf>
    <xf numFmtId="0" fontId="3" fillId="6" borderId="17" xfId="0" applyFont="1" applyFill="1" applyBorder="1" applyAlignment="1">
      <alignment horizontal="left" vertical="center"/>
    </xf>
    <xf numFmtId="0" fontId="2" fillId="6" borderId="19" xfId="0" applyFont="1" applyFill="1" applyBorder="1" applyAlignment="1">
      <alignment horizontal="justify" vertical="top" wrapText="1"/>
    </xf>
    <xf numFmtId="0" fontId="2" fillId="6" borderId="3" xfId="0" applyFont="1" applyFill="1" applyBorder="1" applyAlignment="1">
      <alignment horizontal="justify" vertical="top" wrapText="1"/>
    </xf>
    <xf numFmtId="0" fontId="2" fillId="6" borderId="4" xfId="0" applyFont="1" applyFill="1" applyBorder="1" applyAlignment="1">
      <alignment horizontal="justify" vertical="top" wrapText="1"/>
    </xf>
    <xf numFmtId="0" fontId="2" fillId="6" borderId="11" xfId="0" applyFont="1" applyFill="1" applyBorder="1" applyAlignment="1">
      <alignment horizontal="justify" vertical="top" wrapText="1"/>
    </xf>
    <xf numFmtId="0" fontId="2" fillId="6" borderId="0" xfId="0" applyFont="1" applyFill="1" applyAlignment="1">
      <alignment horizontal="justify" vertical="top" wrapText="1"/>
    </xf>
    <xf numFmtId="0" fontId="2" fillId="6" borderId="7" xfId="0" applyFont="1" applyFill="1" applyBorder="1" applyAlignment="1">
      <alignment horizontal="justify" vertical="top" wrapText="1"/>
    </xf>
    <xf numFmtId="0" fontId="2" fillId="6" borderId="20" xfId="0" applyFont="1" applyFill="1" applyBorder="1" applyAlignment="1">
      <alignment horizontal="justify" vertical="top" wrapText="1"/>
    </xf>
    <xf numFmtId="0" fontId="2" fillId="6" borderId="14" xfId="0" applyFont="1" applyFill="1" applyBorder="1" applyAlignment="1">
      <alignment horizontal="justify" vertical="top" wrapText="1"/>
    </xf>
    <xf numFmtId="0" fontId="2" fillId="6" borderId="21" xfId="0" applyFont="1" applyFill="1" applyBorder="1" applyAlignment="1">
      <alignment horizontal="justify" vertical="top" wrapText="1"/>
    </xf>
    <xf numFmtId="9" fontId="3" fillId="6" borderId="22" xfId="0" applyNumberFormat="1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3" fillId="6" borderId="95" xfId="0" applyFont="1" applyFill="1" applyBorder="1" applyAlignment="1">
      <alignment horizontal="left" vertical="center"/>
    </xf>
    <xf numFmtId="0" fontId="3" fillId="6" borderId="3" xfId="0" applyFont="1" applyFill="1" applyBorder="1" applyAlignment="1">
      <alignment horizontal="left" vertical="center"/>
    </xf>
    <xf numFmtId="0" fontId="3" fillId="6" borderId="96" xfId="0" applyFont="1" applyFill="1" applyBorder="1" applyAlignment="1">
      <alignment horizontal="left" vertical="center"/>
    </xf>
    <xf numFmtId="0" fontId="3" fillId="6" borderId="84" xfId="0" applyFont="1" applyFill="1" applyBorder="1" applyAlignment="1">
      <alignment horizontal="left" vertical="center"/>
    </xf>
    <xf numFmtId="0" fontId="3" fillId="6" borderId="14" xfId="0" applyFont="1" applyFill="1" applyBorder="1" applyAlignment="1">
      <alignment horizontal="left" vertical="center"/>
    </xf>
    <xf numFmtId="0" fontId="3" fillId="6" borderId="97" xfId="0" applyFont="1" applyFill="1" applyBorder="1" applyAlignment="1">
      <alignment horizontal="left" vertical="center"/>
    </xf>
    <xf numFmtId="164" fontId="6" fillId="8" borderId="2" xfId="0" applyNumberFormat="1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vertical="center"/>
    </xf>
    <xf numFmtId="0" fontId="3" fillId="3" borderId="24" xfId="0" applyFont="1" applyFill="1" applyBorder="1" applyAlignment="1">
      <alignment vertical="center" wrapText="1"/>
    </xf>
    <xf numFmtId="0" fontId="3" fillId="6" borderId="94" xfId="0" applyFont="1" applyFill="1" applyBorder="1" applyAlignment="1">
      <alignment horizontal="left" vertical="center"/>
    </xf>
    <xf numFmtId="0" fontId="4" fillId="4" borderId="9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justify" vertical="top" wrapText="1"/>
    </xf>
    <xf numFmtId="0" fontId="3" fillId="3" borderId="9" xfId="0" applyFont="1" applyFill="1" applyBorder="1" applyAlignment="1">
      <alignment horizontal="justify" vertical="top"/>
    </xf>
    <xf numFmtId="0" fontId="3" fillId="3" borderId="16" xfId="0" applyFont="1" applyFill="1" applyBorder="1" applyAlignment="1">
      <alignment horizontal="justify" vertical="top"/>
    </xf>
    <xf numFmtId="0" fontId="3" fillId="3" borderId="1" xfId="0" applyFont="1" applyFill="1" applyBorder="1" applyAlignment="1">
      <alignment horizontal="justify" vertical="top"/>
    </xf>
    <xf numFmtId="0" fontId="2" fillId="2" borderId="1" xfId="0" applyFont="1" applyFill="1" applyBorder="1" applyAlignment="1">
      <alignment vertical="center"/>
    </xf>
    <xf numFmtId="0" fontId="3" fillId="4" borderId="5" xfId="0" applyFont="1" applyFill="1" applyBorder="1" applyAlignment="1">
      <alignment vertical="center"/>
    </xf>
    <xf numFmtId="0" fontId="3" fillId="4" borderId="6" xfId="0" applyFont="1" applyFill="1" applyBorder="1" applyAlignment="1">
      <alignment vertical="center"/>
    </xf>
    <xf numFmtId="0" fontId="3" fillId="5" borderId="5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left" vertical="center"/>
    </xf>
    <xf numFmtId="14" fontId="3" fillId="4" borderId="8" xfId="0" applyNumberFormat="1" applyFont="1" applyFill="1" applyBorder="1" applyAlignment="1">
      <alignment horizontal="center" vertical="center"/>
    </xf>
    <xf numFmtId="14" fontId="3" fillId="4" borderId="9" xfId="0" applyNumberFormat="1" applyFont="1" applyFill="1" applyBorder="1" applyAlignment="1">
      <alignment horizontal="center" vertical="center"/>
    </xf>
    <xf numFmtId="14" fontId="3" fillId="4" borderId="10" xfId="0" applyNumberFormat="1" applyFont="1" applyFill="1" applyBorder="1" applyAlignment="1">
      <alignment horizontal="center" vertical="center"/>
    </xf>
    <xf numFmtId="178" fontId="3" fillId="4" borderId="5" xfId="0" applyNumberFormat="1" applyFont="1" applyFill="1" applyBorder="1" applyAlignment="1">
      <alignment vertical="center"/>
    </xf>
    <xf numFmtId="178" fontId="3" fillId="4" borderId="6" xfId="0" applyNumberFormat="1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3" fillId="6" borderId="22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16" fillId="11" borderId="9" xfId="0" applyFont="1" applyFill="1" applyBorder="1" applyAlignment="1">
      <alignment horizontal="center" vertical="center"/>
    </xf>
    <xf numFmtId="0" fontId="16" fillId="11" borderId="16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right" vertical="center"/>
    </xf>
    <xf numFmtId="0" fontId="13" fillId="3" borderId="16" xfId="0" applyFont="1" applyFill="1" applyBorder="1" applyAlignment="1">
      <alignment horizontal="right" vertical="center"/>
    </xf>
    <xf numFmtId="0" fontId="11" fillId="0" borderId="32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 wrapText="1"/>
    </xf>
    <xf numFmtId="0" fontId="11" fillId="19" borderId="32" xfId="0" applyFont="1" applyFill="1" applyBorder="1" applyAlignment="1">
      <alignment horizontal="center" vertical="center"/>
    </xf>
    <xf numFmtId="0" fontId="11" fillId="19" borderId="32" xfId="0" applyFont="1" applyFill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9" fillId="17" borderId="37" xfId="0" applyFont="1" applyFill="1" applyBorder="1" applyAlignment="1">
      <alignment horizontal="center" vertical="center"/>
    </xf>
    <xf numFmtId="0" fontId="29" fillId="17" borderId="38" xfId="0" applyFont="1" applyFill="1" applyBorder="1" applyAlignment="1">
      <alignment horizontal="center" vertical="center"/>
    </xf>
    <xf numFmtId="0" fontId="29" fillId="17" borderId="29" xfId="0" applyFont="1" applyFill="1" applyBorder="1" applyAlignment="1">
      <alignment horizontal="center" vertical="center"/>
    </xf>
    <xf numFmtId="0" fontId="29" fillId="17" borderId="30" xfId="0" applyFont="1" applyFill="1" applyBorder="1" applyAlignment="1">
      <alignment horizontal="center" vertical="center"/>
    </xf>
    <xf numFmtId="0" fontId="29" fillId="17" borderId="31" xfId="0" applyFont="1" applyFill="1" applyBorder="1" applyAlignment="1">
      <alignment horizontal="center" vertical="center"/>
    </xf>
    <xf numFmtId="0" fontId="29" fillId="0" borderId="32" xfId="0" applyFont="1" applyBorder="1" applyAlignment="1">
      <alignment horizontal="center" vertical="center"/>
    </xf>
    <xf numFmtId="38" fontId="0" fillId="0" borderId="32" xfId="0" applyNumberFormat="1" applyBorder="1" applyAlignment="1">
      <alignment horizontal="right" vertical="center" wrapText="1"/>
    </xf>
    <xf numFmtId="0" fontId="0" fillId="0" borderId="32" xfId="0" applyBorder="1" applyAlignment="1">
      <alignment horizontal="right" vertical="center"/>
    </xf>
    <xf numFmtId="0" fontId="29" fillId="0" borderId="29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0" fontId="29" fillId="17" borderId="32" xfId="0" applyFont="1" applyFill="1" applyBorder="1" applyAlignment="1">
      <alignment horizontal="center" vertical="center"/>
    </xf>
    <xf numFmtId="2" fontId="13" fillId="4" borderId="22" xfId="0" applyNumberFormat="1" applyFont="1" applyFill="1" applyBorder="1" applyAlignment="1">
      <alignment horizontal="center" vertical="center"/>
    </xf>
    <xf numFmtId="2" fontId="13" fillId="4" borderId="26" xfId="0" applyNumberFormat="1" applyFont="1" applyFill="1" applyBorder="1" applyAlignment="1">
      <alignment horizontal="center" vertical="center"/>
    </xf>
    <xf numFmtId="0" fontId="28" fillId="16" borderId="0" xfId="0" applyFont="1" applyFill="1" applyAlignment="1">
      <alignment horizontal="center" vertical="center"/>
    </xf>
    <xf numFmtId="0" fontId="29" fillId="18" borderId="33" xfId="0" applyFont="1" applyFill="1" applyBorder="1" applyAlignment="1">
      <alignment horizontal="center" vertical="center"/>
    </xf>
    <xf numFmtId="0" fontId="29" fillId="18" borderId="34" xfId="0" applyFont="1" applyFill="1" applyBorder="1" applyAlignment="1">
      <alignment horizontal="center" vertical="center"/>
    </xf>
    <xf numFmtId="0" fontId="29" fillId="18" borderId="35" xfId="0" applyFont="1" applyFill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36" xfId="0" applyFont="1" applyBorder="1" applyAlignment="1">
      <alignment horizontal="center" vertical="center"/>
    </xf>
    <xf numFmtId="0" fontId="10" fillId="0" borderId="64" xfId="2" applyBorder="1" applyAlignment="1">
      <alignment horizontal="left" vertical="center" wrapText="1"/>
    </xf>
    <xf numFmtId="0" fontId="10" fillId="0" borderId="69" xfId="2" applyBorder="1" applyAlignment="1">
      <alignment horizontal="left" vertical="center" wrapText="1"/>
    </xf>
    <xf numFmtId="0" fontId="10" fillId="0" borderId="65" xfId="2" applyBorder="1" applyAlignment="1">
      <alignment horizontal="left" vertical="center" wrapText="1"/>
    </xf>
    <xf numFmtId="0" fontId="29" fillId="20" borderId="55" xfId="2" applyFont="1" applyFill="1" applyBorder="1" applyAlignment="1">
      <alignment horizontal="center" vertical="center"/>
    </xf>
    <xf numFmtId="0" fontId="29" fillId="20" borderId="68" xfId="2" applyFont="1" applyFill="1" applyBorder="1" applyAlignment="1">
      <alignment horizontal="center" vertical="center"/>
    </xf>
    <xf numFmtId="0" fontId="29" fillId="20" borderId="56" xfId="2" applyFont="1" applyFill="1" applyBorder="1" applyAlignment="1">
      <alignment horizontal="center" vertical="center"/>
    </xf>
    <xf numFmtId="0" fontId="29" fillId="20" borderId="57" xfId="2" applyFont="1" applyFill="1" applyBorder="1" applyAlignment="1">
      <alignment horizontal="center" vertical="center"/>
    </xf>
    <xf numFmtId="0" fontId="29" fillId="20" borderId="13" xfId="2" applyFont="1" applyFill="1" applyBorder="1" applyAlignment="1">
      <alignment horizontal="center" vertical="center"/>
    </xf>
    <xf numFmtId="0" fontId="29" fillId="20" borderId="45" xfId="2" applyFont="1" applyFill="1" applyBorder="1" applyAlignment="1">
      <alignment horizontal="center" vertical="center"/>
    </xf>
    <xf numFmtId="0" fontId="32" fillId="8" borderId="57" xfId="2" applyFont="1" applyFill="1" applyBorder="1" applyAlignment="1">
      <alignment horizontal="center" vertical="center" wrapText="1"/>
    </xf>
    <xf numFmtId="0" fontId="32" fillId="8" borderId="58" xfId="2" applyFont="1" applyFill="1" applyBorder="1" applyAlignment="1">
      <alignment horizontal="center" vertical="center" wrapText="1"/>
    </xf>
    <xf numFmtId="0" fontId="32" fillId="8" borderId="60" xfId="2" applyFont="1" applyFill="1" applyBorder="1" applyAlignment="1">
      <alignment horizontal="center" vertical="center" wrapText="1"/>
    </xf>
    <xf numFmtId="2" fontId="10" fillId="8" borderId="43" xfId="2" applyNumberFormat="1" applyFill="1" applyBorder="1" applyAlignment="1">
      <alignment horizontal="center" vertical="center"/>
    </xf>
    <xf numFmtId="2" fontId="10" fillId="8" borderId="44" xfId="2" applyNumberFormat="1" applyFill="1" applyBorder="1" applyAlignment="1">
      <alignment horizontal="center" vertical="center"/>
    </xf>
    <xf numFmtId="2" fontId="10" fillId="8" borderId="39" xfId="2" applyNumberFormat="1" applyFill="1" applyBorder="1" applyAlignment="1">
      <alignment horizontal="center" vertical="center"/>
    </xf>
    <xf numFmtId="0" fontId="10" fillId="0" borderId="73" xfId="2" applyBorder="1" applyAlignment="1">
      <alignment horizontal="left" vertical="center" wrapText="1"/>
    </xf>
    <xf numFmtId="2" fontId="10" fillId="8" borderId="59" xfId="2" applyNumberFormat="1" applyFill="1" applyBorder="1" applyAlignment="1">
      <alignment horizontal="center" vertical="center"/>
    </xf>
    <xf numFmtId="2" fontId="10" fillId="8" borderId="61" xfId="2" applyNumberFormat="1" applyFill="1" applyBorder="1" applyAlignment="1">
      <alignment horizontal="center" vertical="center"/>
    </xf>
    <xf numFmtId="2" fontId="10" fillId="8" borderId="63" xfId="2" applyNumberFormat="1" applyFill="1" applyBorder="1" applyAlignment="1">
      <alignment horizontal="center" vertical="center"/>
    </xf>
    <xf numFmtId="0" fontId="10" fillId="8" borderId="43" xfId="2" applyFill="1" applyBorder="1" applyAlignment="1">
      <alignment horizontal="center" vertical="center"/>
    </xf>
    <xf numFmtId="0" fontId="10" fillId="8" borderId="44" xfId="2" applyFill="1" applyBorder="1" applyAlignment="1">
      <alignment horizontal="center" vertical="center"/>
    </xf>
    <xf numFmtId="0" fontId="10" fillId="8" borderId="39" xfId="2" applyFill="1" applyBorder="1" applyAlignment="1">
      <alignment horizontal="center" vertical="center"/>
    </xf>
    <xf numFmtId="0" fontId="33" fillId="8" borderId="70" xfId="2" applyFont="1" applyFill="1" applyBorder="1" applyAlignment="1">
      <alignment horizontal="center" vertical="center" wrapText="1"/>
    </xf>
    <xf numFmtId="0" fontId="33" fillId="8" borderId="79" xfId="2" applyFont="1" applyFill="1" applyBorder="1" applyAlignment="1">
      <alignment horizontal="center" vertical="center" wrapText="1"/>
    </xf>
    <xf numFmtId="0" fontId="33" fillId="8" borderId="54" xfId="2" applyFont="1" applyFill="1" applyBorder="1" applyAlignment="1">
      <alignment horizontal="center" vertical="center" wrapText="1"/>
    </xf>
    <xf numFmtId="2" fontId="10" fillId="8" borderId="58" xfId="2" applyNumberFormat="1" applyFill="1" applyBorder="1" applyAlignment="1">
      <alignment horizontal="center" vertical="center"/>
    </xf>
    <xf numFmtId="2" fontId="10" fillId="8" borderId="60" xfId="2" applyNumberFormat="1" applyFill="1" applyBorder="1" applyAlignment="1">
      <alignment horizontal="center" vertical="center"/>
    </xf>
    <xf numFmtId="2" fontId="10" fillId="8" borderId="62" xfId="2" applyNumberFormat="1" applyFill="1" applyBorder="1" applyAlignment="1">
      <alignment horizontal="center" vertical="center"/>
    </xf>
    <xf numFmtId="2" fontId="10" fillId="8" borderId="52" xfId="2" applyNumberFormat="1" applyFill="1" applyBorder="1" applyAlignment="1">
      <alignment horizontal="center" vertical="center"/>
    </xf>
    <xf numFmtId="2" fontId="10" fillId="8" borderId="53" xfId="2" applyNumberFormat="1" applyFill="1" applyBorder="1" applyAlignment="1">
      <alignment horizontal="center" vertical="center"/>
    </xf>
    <xf numFmtId="2" fontId="10" fillId="8" borderId="54" xfId="2" applyNumberFormat="1" applyFill="1" applyBorder="1" applyAlignment="1">
      <alignment horizontal="center" vertical="center"/>
    </xf>
    <xf numFmtId="0" fontId="28" fillId="0" borderId="92" xfId="2" applyFont="1" applyBorder="1" applyAlignment="1">
      <alignment horizontal="center"/>
    </xf>
    <xf numFmtId="0" fontId="28" fillId="0" borderId="100" xfId="2" applyFont="1" applyBorder="1" applyAlignment="1">
      <alignment horizontal="center"/>
    </xf>
    <xf numFmtId="0" fontId="28" fillId="0" borderId="93" xfId="2" applyFont="1" applyBorder="1" applyAlignment="1">
      <alignment horizontal="center"/>
    </xf>
    <xf numFmtId="2" fontId="10" fillId="8" borderId="49" xfId="2" applyNumberFormat="1" applyFill="1" applyBorder="1" applyAlignment="1">
      <alignment horizontal="center" vertical="center"/>
    </xf>
    <xf numFmtId="2" fontId="10" fillId="8" borderId="50" xfId="2" applyNumberFormat="1" applyFill="1" applyBorder="1" applyAlignment="1">
      <alignment horizontal="center" vertical="center"/>
    </xf>
    <xf numFmtId="2" fontId="10" fillId="8" borderId="51" xfId="2" applyNumberFormat="1" applyFill="1" applyBorder="1" applyAlignment="1">
      <alignment horizontal="center" vertical="center"/>
    </xf>
    <xf numFmtId="0" fontId="32" fillId="8" borderId="71" xfId="2" applyFont="1" applyFill="1" applyBorder="1" applyAlignment="1">
      <alignment horizontal="center" vertical="center" wrapText="1"/>
    </xf>
    <xf numFmtId="0" fontId="32" fillId="8" borderId="72" xfId="2" applyFont="1" applyFill="1" applyBorder="1" applyAlignment="1">
      <alignment horizontal="center" vertical="center" wrapText="1"/>
    </xf>
    <xf numFmtId="0" fontId="32" fillId="8" borderId="70" xfId="2" applyFont="1" applyFill="1" applyBorder="1" applyAlignment="1">
      <alignment horizontal="center" vertical="center" wrapText="1"/>
    </xf>
    <xf numFmtId="0" fontId="32" fillId="8" borderId="77" xfId="2" applyFont="1" applyFill="1" applyBorder="1" applyAlignment="1">
      <alignment horizontal="center" vertical="center" wrapText="1"/>
    </xf>
    <xf numFmtId="0" fontId="32" fillId="8" borderId="81" xfId="2" applyFont="1" applyFill="1" applyBorder="1" applyAlignment="1">
      <alignment horizontal="center" vertical="center" wrapText="1"/>
    </xf>
    <xf numFmtId="0" fontId="10" fillId="8" borderId="102" xfId="2" applyFill="1" applyBorder="1" applyAlignment="1">
      <alignment horizontal="center" vertical="center"/>
    </xf>
    <xf numFmtId="0" fontId="10" fillId="8" borderId="81" xfId="2" applyFill="1" applyBorder="1" applyAlignment="1">
      <alignment horizontal="center" vertical="center"/>
    </xf>
    <xf numFmtId="0" fontId="10" fillId="8" borderId="80" xfId="2" applyFill="1" applyBorder="1" applyAlignment="1">
      <alignment horizontal="center" vertical="center"/>
    </xf>
    <xf numFmtId="0" fontId="29" fillId="20" borderId="76" xfId="2" applyFont="1" applyFill="1" applyBorder="1" applyAlignment="1">
      <alignment horizontal="center" vertical="center"/>
    </xf>
    <xf numFmtId="0" fontId="29" fillId="20" borderId="40" xfId="2" applyFont="1" applyFill="1" applyBorder="1" applyAlignment="1">
      <alignment horizontal="center" vertical="center"/>
    </xf>
    <xf numFmtId="0" fontId="29" fillId="20" borderId="66" xfId="2" applyFont="1" applyFill="1" applyBorder="1" applyAlignment="1">
      <alignment horizontal="center" vertical="center"/>
    </xf>
    <xf numFmtId="0" fontId="29" fillId="20" borderId="42" xfId="2" applyFont="1" applyFill="1" applyBorder="1" applyAlignment="1">
      <alignment horizontal="center" vertical="center"/>
    </xf>
    <xf numFmtId="0" fontId="10" fillId="0" borderId="13" xfId="2" applyBorder="1" applyAlignment="1">
      <alignment horizontal="center"/>
    </xf>
    <xf numFmtId="176" fontId="10" fillId="0" borderId="13" xfId="2" applyNumberFormat="1" applyBorder="1" applyAlignment="1">
      <alignment horizontal="center" vertical="center" wrapText="1"/>
    </xf>
    <xf numFmtId="0" fontId="29" fillId="0" borderId="13" xfId="2" applyFont="1" applyBorder="1" applyAlignment="1">
      <alignment horizontal="center" vertical="center"/>
    </xf>
    <xf numFmtId="0" fontId="29" fillId="0" borderId="40" xfId="2" applyFont="1" applyBorder="1" applyAlignment="1">
      <alignment horizontal="center" vertical="center"/>
    </xf>
    <xf numFmtId="0" fontId="29" fillId="0" borderId="41" xfId="2" applyFont="1" applyBorder="1" applyAlignment="1">
      <alignment horizontal="center" vertical="center"/>
    </xf>
    <xf numFmtId="0" fontId="29" fillId="0" borderId="42" xfId="2" applyFont="1" applyBorder="1" applyAlignment="1">
      <alignment horizontal="center" vertical="center"/>
    </xf>
    <xf numFmtId="4" fontId="10" fillId="0" borderId="43" xfId="3" applyNumberFormat="1" applyBorder="1" applyAlignment="1">
      <alignment horizontal="center" vertical="center"/>
    </xf>
    <xf numFmtId="4" fontId="10" fillId="0" borderId="13" xfId="3" applyNumberFormat="1" applyBorder="1" applyAlignment="1">
      <alignment horizontal="center" vertical="center"/>
    </xf>
    <xf numFmtId="4" fontId="10" fillId="0" borderId="39" xfId="3" applyNumberFormat="1" applyBorder="1" applyAlignment="1">
      <alignment horizontal="center" vertical="center"/>
    </xf>
    <xf numFmtId="4" fontId="10" fillId="8" borderId="43" xfId="2" applyNumberFormat="1" applyFill="1" applyBorder="1" applyAlignment="1">
      <alignment horizontal="center" vertical="center"/>
    </xf>
    <xf numFmtId="4" fontId="10" fillId="8" borderId="44" xfId="2" applyNumberFormat="1" applyFill="1" applyBorder="1" applyAlignment="1">
      <alignment horizontal="center" vertical="center"/>
    </xf>
    <xf numFmtId="4" fontId="10" fillId="8" borderId="39" xfId="2" applyNumberFormat="1" applyFill="1" applyBorder="1" applyAlignment="1">
      <alignment horizontal="center" vertical="center"/>
    </xf>
    <xf numFmtId="0" fontId="10" fillId="0" borderId="43" xfId="2" applyBorder="1" applyAlignment="1">
      <alignment horizontal="center" vertical="center" wrapText="1"/>
    </xf>
    <xf numFmtId="0" fontId="10" fillId="0" borderId="44" xfId="2" applyBorder="1" applyAlignment="1">
      <alignment horizontal="center" vertical="center" wrapText="1"/>
    </xf>
    <xf numFmtId="0" fontId="10" fillId="0" borderId="39" xfId="2" applyBorder="1" applyAlignment="1">
      <alignment horizontal="center" vertical="center" wrapText="1"/>
    </xf>
    <xf numFmtId="0" fontId="34" fillId="21" borderId="13" xfId="2" applyFont="1" applyFill="1" applyBorder="1" applyAlignment="1">
      <alignment horizontal="center" vertical="center"/>
    </xf>
    <xf numFmtId="0" fontId="29" fillId="0" borderId="43" xfId="2" applyFont="1" applyBorder="1" applyAlignment="1">
      <alignment horizontal="center" vertical="center" wrapText="1"/>
    </xf>
    <xf numFmtId="0" fontId="29" fillId="0" borderId="13" xfId="2" applyFont="1" applyBorder="1" applyAlignment="1">
      <alignment horizontal="center" vertical="center" wrapText="1"/>
    </xf>
    <xf numFmtId="0" fontId="29" fillId="0" borderId="39" xfId="2" applyFont="1" applyBorder="1" applyAlignment="1">
      <alignment horizontal="center" vertical="center" wrapText="1"/>
    </xf>
    <xf numFmtId="172" fontId="10" fillId="0" borderId="43" xfId="3" applyBorder="1" applyAlignment="1">
      <alignment horizontal="center" vertical="center"/>
    </xf>
    <xf numFmtId="172" fontId="10" fillId="0" borderId="13" xfId="3" applyBorder="1" applyAlignment="1">
      <alignment horizontal="center" vertical="center"/>
    </xf>
    <xf numFmtId="172" fontId="10" fillId="0" borderId="39" xfId="3" applyBorder="1" applyAlignment="1">
      <alignment horizontal="center" vertical="center"/>
    </xf>
    <xf numFmtId="0" fontId="32" fillId="8" borderId="43" xfId="2" applyFont="1" applyFill="1" applyBorder="1" applyAlignment="1">
      <alignment horizontal="center" vertical="center"/>
    </xf>
    <xf numFmtId="0" fontId="32" fillId="8" borderId="44" xfId="2" applyFont="1" applyFill="1" applyBorder="1" applyAlignment="1">
      <alignment horizontal="center" vertical="center"/>
    </xf>
    <xf numFmtId="0" fontId="32" fillId="8" borderId="39" xfId="2" applyFont="1" applyFill="1" applyBorder="1" applyAlignment="1">
      <alignment horizontal="center" vertical="center"/>
    </xf>
    <xf numFmtId="0" fontId="29" fillId="0" borderId="40" xfId="2" applyFont="1" applyBorder="1" applyAlignment="1">
      <alignment horizontal="center" vertical="center" wrapText="1"/>
    </xf>
    <xf numFmtId="0" fontId="29" fillId="0" borderId="41" xfId="2" applyFont="1" applyBorder="1" applyAlignment="1">
      <alignment horizontal="center" vertical="center" wrapText="1"/>
    </xf>
    <xf numFmtId="1" fontId="10" fillId="0" borderId="43" xfId="2" applyNumberFormat="1" applyBorder="1" applyAlignment="1">
      <alignment horizontal="center" vertical="center"/>
    </xf>
    <xf numFmtId="1" fontId="10" fillId="0" borderId="39" xfId="2" applyNumberFormat="1" applyBorder="1" applyAlignment="1">
      <alignment horizontal="center" vertical="center"/>
    </xf>
    <xf numFmtId="4" fontId="10" fillId="0" borderId="13" xfId="3" applyNumberFormat="1" applyBorder="1" applyAlignment="1">
      <alignment horizontal="center" vertical="center" wrapText="1"/>
    </xf>
    <xf numFmtId="0" fontId="29" fillId="0" borderId="42" xfId="2" applyFont="1" applyBorder="1" applyAlignment="1">
      <alignment horizontal="center" vertical="center" wrapText="1"/>
    </xf>
    <xf numFmtId="0" fontId="28" fillId="0" borderId="79" xfId="2" applyFont="1" applyBorder="1" applyAlignment="1">
      <alignment horizontal="center"/>
    </xf>
    <xf numFmtId="0" fontId="38" fillId="25" borderId="32" xfId="4" applyFont="1" applyFill="1" applyBorder="1" applyAlignment="1">
      <alignment horizontal="center" vertical="center" wrapText="1"/>
    </xf>
    <xf numFmtId="0" fontId="38" fillId="25" borderId="29" xfId="4" applyFont="1" applyFill="1" applyBorder="1" applyAlignment="1">
      <alignment horizontal="center" vertical="center" wrapText="1"/>
    </xf>
    <xf numFmtId="0" fontId="29" fillId="25" borderId="29" xfId="4" applyFont="1" applyFill="1" applyBorder="1" applyAlignment="1">
      <alignment horizontal="center" vertical="center" wrapText="1"/>
    </xf>
    <xf numFmtId="0" fontId="29" fillId="25" borderId="33" xfId="4" applyFont="1" applyFill="1" applyBorder="1" applyAlignment="1">
      <alignment horizontal="center" vertical="center" wrapText="1"/>
    </xf>
    <xf numFmtId="0" fontId="38" fillId="25" borderId="33" xfId="4" applyFont="1" applyFill="1" applyBorder="1" applyAlignment="1">
      <alignment horizontal="center" vertical="center" wrapText="1"/>
    </xf>
    <xf numFmtId="0" fontId="38" fillId="25" borderId="34" xfId="4" applyFont="1" applyFill="1" applyBorder="1" applyAlignment="1">
      <alignment horizontal="center" vertical="center" wrapText="1"/>
    </xf>
    <xf numFmtId="0" fontId="38" fillId="25" borderId="38" xfId="4" applyFont="1" applyFill="1" applyBorder="1" applyAlignment="1">
      <alignment horizontal="center" vertical="center" wrapText="1"/>
    </xf>
    <xf numFmtId="0" fontId="38" fillId="25" borderId="37" xfId="4" applyFont="1" applyFill="1" applyBorder="1" applyAlignment="1">
      <alignment horizontal="center" vertical="center" wrapText="1"/>
    </xf>
    <xf numFmtId="0" fontId="38" fillId="25" borderId="98" xfId="4" applyFont="1" applyFill="1" applyBorder="1" applyAlignment="1">
      <alignment horizontal="center" vertical="center" wrapText="1"/>
    </xf>
    <xf numFmtId="0" fontId="38" fillId="25" borderId="99" xfId="4" applyFont="1" applyFill="1" applyBorder="1" applyAlignment="1">
      <alignment horizontal="center" vertical="center" wrapText="1"/>
    </xf>
    <xf numFmtId="0" fontId="38" fillId="25" borderId="92" xfId="4" applyFont="1" applyFill="1" applyBorder="1" applyAlignment="1">
      <alignment horizontal="center" vertical="center" wrapText="1"/>
    </xf>
    <xf numFmtId="0" fontId="38" fillId="25" borderId="100" xfId="4" applyFont="1" applyFill="1" applyBorder="1" applyAlignment="1">
      <alignment horizontal="center" vertical="center" wrapText="1"/>
    </xf>
    <xf numFmtId="0" fontId="38" fillId="25" borderId="93" xfId="4" applyFont="1" applyFill="1" applyBorder="1" applyAlignment="1">
      <alignment horizontal="center" vertical="center" wrapText="1"/>
    </xf>
    <xf numFmtId="164" fontId="38" fillId="24" borderId="87" xfId="4" applyNumberFormat="1" applyFont="1" applyFill="1" applyBorder="1" applyAlignment="1">
      <alignment horizontal="center" vertical="center" wrapText="1"/>
    </xf>
    <xf numFmtId="164" fontId="38" fillId="24" borderId="90" xfId="4" applyNumberFormat="1" applyFont="1" applyFill="1" applyBorder="1" applyAlignment="1">
      <alignment horizontal="center" vertical="center" wrapText="1"/>
    </xf>
    <xf numFmtId="164" fontId="38" fillId="24" borderId="36" xfId="4" applyNumberFormat="1" applyFont="1" applyFill="1" applyBorder="1" applyAlignment="1">
      <alignment horizontal="center" vertical="center" wrapText="1"/>
    </xf>
    <xf numFmtId="0" fontId="38" fillId="25" borderId="48" xfId="4" applyFont="1" applyFill="1" applyBorder="1" applyAlignment="1">
      <alignment horizontal="center" vertical="center" wrapText="1"/>
    </xf>
    <xf numFmtId="172" fontId="0" fillId="0" borderId="48" xfId="5" applyFont="1" applyBorder="1" applyAlignment="1">
      <alignment horizontal="center" vertical="center" wrapText="1"/>
    </xf>
    <xf numFmtId="164" fontId="38" fillId="24" borderId="32" xfId="4" applyNumberFormat="1" applyFont="1" applyFill="1" applyBorder="1" applyAlignment="1">
      <alignment horizontal="center" vertical="center" wrapText="1"/>
    </xf>
    <xf numFmtId="0" fontId="38" fillId="25" borderId="91" xfId="4" applyFont="1" applyFill="1" applyBorder="1" applyAlignment="1">
      <alignment horizontal="center" vertical="center" wrapText="1"/>
    </xf>
    <xf numFmtId="0" fontId="38" fillId="25" borderId="78" xfId="4" applyFont="1" applyFill="1" applyBorder="1" applyAlignment="1">
      <alignment horizontal="center" vertical="center" wrapText="1"/>
    </xf>
    <xf numFmtId="172" fontId="38" fillId="25" borderId="48" xfId="4" applyNumberFormat="1" applyFont="1" applyFill="1" applyBorder="1" applyAlignment="1">
      <alignment horizontal="center" vertical="center" wrapText="1"/>
    </xf>
    <xf numFmtId="0" fontId="38" fillId="25" borderId="87" xfId="4" applyFont="1" applyFill="1" applyBorder="1" applyAlignment="1">
      <alignment horizontal="center" vertical="center" wrapText="1"/>
    </xf>
    <xf numFmtId="0" fontId="38" fillId="25" borderId="81" xfId="4" applyFont="1" applyFill="1" applyBorder="1" applyAlignment="1">
      <alignment vertical="center" wrapText="1"/>
    </xf>
    <xf numFmtId="4" fontId="0" fillId="0" borderId="68" xfId="5" applyNumberFormat="1" applyFont="1" applyBorder="1" applyAlignment="1">
      <alignment vertical="center" wrapText="1"/>
    </xf>
    <xf numFmtId="4" fontId="38" fillId="25" borderId="78" xfId="4" applyNumberFormat="1" applyFont="1" applyFill="1" applyBorder="1" applyAlignment="1">
      <alignment vertical="center" wrapText="1"/>
    </xf>
    <xf numFmtId="4" fontId="0" fillId="0" borderId="109" xfId="5" applyNumberFormat="1" applyFont="1" applyBorder="1" applyAlignment="1">
      <alignment horizontal="center" vertical="center" wrapText="1"/>
    </xf>
    <xf numFmtId="4" fontId="0" fillId="0" borderId="93" xfId="5" applyNumberFormat="1" applyFont="1" applyBorder="1" applyAlignment="1">
      <alignment horizontal="center" vertical="center" wrapText="1"/>
    </xf>
    <xf numFmtId="4" fontId="0" fillId="0" borderId="110" xfId="5" applyNumberFormat="1" applyFont="1" applyBorder="1" applyAlignment="1">
      <alignment horizontal="center" vertical="center" wrapText="1"/>
    </xf>
    <xf numFmtId="4" fontId="0" fillId="0" borderId="111" xfId="5" applyNumberFormat="1" applyFont="1" applyBorder="1" applyAlignment="1">
      <alignment horizontal="center" vertical="center" wrapText="1"/>
    </xf>
    <xf numFmtId="4" fontId="38" fillId="25" borderId="112" xfId="4" applyNumberFormat="1" applyFont="1" applyFill="1" applyBorder="1" applyAlignment="1">
      <alignment horizontal="center" vertical="center" wrapText="1"/>
    </xf>
    <xf numFmtId="4" fontId="38" fillId="25" borderId="113" xfId="4" applyNumberFormat="1" applyFont="1" applyFill="1" applyBorder="1" applyAlignment="1">
      <alignment horizontal="center" vertical="center" wrapText="1"/>
    </xf>
    <xf numFmtId="4" fontId="0" fillId="0" borderId="76" xfId="5" applyNumberFormat="1" applyFont="1" applyBorder="1" applyAlignment="1">
      <alignment horizontal="center" vertical="center" wrapText="1"/>
    </xf>
    <xf numFmtId="4" fontId="0" fillId="0" borderId="114" xfId="5" applyNumberFormat="1" applyFont="1" applyBorder="1" applyAlignment="1">
      <alignment horizontal="center" vertical="center" wrapText="1"/>
    </xf>
    <xf numFmtId="0" fontId="10" fillId="0" borderId="0" xfId="2" applyBorder="1" applyAlignment="1">
      <alignment horizontal="center"/>
    </xf>
  </cellXfs>
  <cellStyles count="6">
    <cellStyle name="Moeda 2" xfId="3" xr:uid="{4B7B52D3-68D3-405A-88CD-EEF4CF0E084F}"/>
    <cellStyle name="Moeda 3" xfId="5" xr:uid="{A44BCDBB-A594-44AC-B0F7-01160288BA58}"/>
    <cellStyle name="Normal" xfId="0" builtinId="0"/>
    <cellStyle name="Normal 2" xfId="2" xr:uid="{BE1EC587-757C-4392-9E9C-88689B44D40C}"/>
    <cellStyle name="Normal 3" xfId="4" xr:uid="{E7419A58-FD6D-41A1-A325-8902B6E6F5B9}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cio.lopes/Documents/2019/SCC/Terceiriza&#231;&#227;o%202019/Planilhas%20de%20Custos/Planilha%20de%20Custos%20-%20Todos%20-%20Nova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cio.lopes/Documents/2019/SCC/Terceiriza&#231;&#227;o%202019/Planilhas%20de%20Custos/Planilha%20de%20Custos%20-%20Todo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cio.lopes/Documents/2019/SCC/Terceiriza&#231;&#227;o%202019/Planilha%20de%20Custos%20-%2018-03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eira"/>
      <sheetName val="Servente"/>
      <sheetName val="Jardineiro"/>
      <sheetName val="Oficial Pleno"/>
      <sheetName val="Equipamentos_Materiais Limpeza"/>
      <sheetName val="Memória de Calculo"/>
      <sheetName val="BDI "/>
      <sheetName val="Benefícios"/>
      <sheetName val="Metragem Geral do Campus"/>
      <sheetName val="Área efetiva"/>
      <sheetName val="Valor do M² (IN 05)"/>
      <sheetName val="Valores por m²"/>
      <sheetName val="Quantitativo de pessoal"/>
      <sheetName val="Valor Mensal-Anual"/>
      <sheetName val="Resumo-Valor Mensal e Anual"/>
    </sheetNames>
    <sheetDataSet>
      <sheetData sheetId="0" refreshError="1">
        <row r="24">
          <cell r="K24">
            <v>987</v>
          </cell>
        </row>
      </sheetData>
      <sheetData sheetId="1" refreshError="1">
        <row r="44">
          <cell r="J44">
            <v>0.39800000000000008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osta"/>
      <sheetName val="Quadro Resumo Grupo 1"/>
      <sheetName val="1 - Servente Sede"/>
      <sheetName val="2 - Servente Porto Recife"/>
      <sheetName val="3 - Servente Aeroporto do Recif"/>
      <sheetName val="4 - Servente Porto Suape"/>
      <sheetName val="5 - Servente Garanhuns"/>
      <sheetName val="6 - Servente Petrolina"/>
      <sheetName val="7 - Copeira (o)"/>
      <sheetName val="8 - Encarregado"/>
      <sheetName val="9 - Motorista"/>
      <sheetName val="10 - Auxiliar T. Administrativo"/>
      <sheetName val="11 - Recepcionista"/>
      <sheetName val="19 - Encarregado"/>
      <sheetName val="Insumos"/>
      <sheetName val="Insumos Porto de Suape"/>
      <sheetName val="Insumos Aeroporto do Recife"/>
      <sheetName val="Insumos Porto do Recife"/>
      <sheetName val="Insumos Petrolina"/>
      <sheetName val="Insumos Garanhuns"/>
    </sheetNames>
    <sheetDataSet>
      <sheetData sheetId="0"/>
      <sheetData sheetId="1">
        <row r="7">
          <cell r="F7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-Valor Mensal e Anual"/>
      <sheetName val="1 - Servente Sede"/>
      <sheetName val="2 - Copeira (o)"/>
      <sheetName val="3 - Encarregado"/>
      <sheetName val="4 - Servente Porto de SUAPE"/>
      <sheetName val="5 - Servente Aeroporto Recife"/>
      <sheetName val="6 - Servente Porto do Recife"/>
      <sheetName val="7 - Servente Petrolina"/>
      <sheetName val="8 - Servente Garanhuns"/>
      <sheetName val="9 - Motoristas"/>
      <sheetName val="10 - Recepcionista"/>
      <sheetName val="11 - Auxiliar Administrativo"/>
      <sheetName val="Memória de Cálculo"/>
      <sheetName val="Quantitativo de pessoal"/>
      <sheetName val="Valor do M² (IN 05) - Sede"/>
      <sheetName val="Valor Mensal Anual"/>
      <sheetName val="Insumos Sede"/>
      <sheetName val="Insumos Porto de Suape"/>
      <sheetName val="Insumos Aeroporto do Recife"/>
      <sheetName val="Insumos Porto do Recife"/>
      <sheetName val="Insumos Petrolina"/>
      <sheetName val="Insumos Garanhu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98556-9ADC-4E98-BAFF-CE69D199DDF4}">
  <sheetPr codeName="Planilha15">
    <pageSetUpPr fitToPage="1"/>
  </sheetPr>
  <dimension ref="B1:G14"/>
  <sheetViews>
    <sheetView topLeftCell="A10" zoomScaleNormal="100" workbookViewId="0">
      <selection activeCell="C17" sqref="C17"/>
    </sheetView>
  </sheetViews>
  <sheetFormatPr defaultRowHeight="12.75" x14ac:dyDescent="0.2"/>
  <cols>
    <col min="1" max="2" width="9.140625" style="212"/>
    <col min="3" max="3" width="38.28515625" style="212" customWidth="1"/>
    <col min="4" max="4" width="14" style="212" customWidth="1"/>
    <col min="5" max="5" width="7.7109375" style="212" customWidth="1"/>
    <col min="6" max="6" width="17.7109375" style="212" customWidth="1"/>
    <col min="7" max="7" width="19" style="212" customWidth="1"/>
    <col min="8" max="16384" width="9.140625" style="212"/>
  </cols>
  <sheetData>
    <row r="1" spans="2:7" ht="18" x14ac:dyDescent="0.25">
      <c r="B1" s="417" t="s">
        <v>426</v>
      </c>
      <c r="C1" s="417"/>
      <c r="D1" s="417"/>
      <c r="E1" s="417"/>
      <c r="F1" s="417"/>
      <c r="G1" s="417"/>
    </row>
    <row r="2" spans="2:7" ht="18" x14ac:dyDescent="0.25">
      <c r="B2" s="417" t="s">
        <v>427</v>
      </c>
      <c r="C2" s="417"/>
      <c r="D2" s="417"/>
      <c r="E2" s="417"/>
      <c r="F2" s="417"/>
      <c r="G2" s="417"/>
    </row>
    <row r="3" spans="2:7" ht="13.5" thickBot="1" x14ac:dyDescent="0.25"/>
    <row r="4" spans="2:7" ht="30" customHeight="1" thickBot="1" x14ac:dyDescent="0.25">
      <c r="B4" s="411" t="s">
        <v>418</v>
      </c>
      <c r="C4" s="412"/>
      <c r="D4" s="412"/>
      <c r="E4" s="412"/>
      <c r="F4" s="412"/>
      <c r="G4" s="413"/>
    </row>
    <row r="5" spans="2:7" ht="39" thickBot="1" x14ac:dyDescent="0.25">
      <c r="B5" s="398" t="s">
        <v>208</v>
      </c>
      <c r="C5" s="399" t="s">
        <v>220</v>
      </c>
      <c r="D5" s="400" t="s">
        <v>221</v>
      </c>
      <c r="E5" s="400" t="s">
        <v>222</v>
      </c>
      <c r="F5" s="399" t="s">
        <v>223</v>
      </c>
      <c r="G5" s="401" t="s">
        <v>224</v>
      </c>
    </row>
    <row r="6" spans="2:7" ht="122.25" customHeight="1" x14ac:dyDescent="0.2">
      <c r="B6" s="394">
        <v>1</v>
      </c>
      <c r="C6" s="395" t="s">
        <v>428</v>
      </c>
      <c r="D6" s="373" t="s">
        <v>410</v>
      </c>
      <c r="E6" s="402">
        <v>12</v>
      </c>
      <c r="F6" s="396">
        <f>'Valor Mensal Anual'!J73</f>
        <v>0</v>
      </c>
      <c r="G6" s="397">
        <f>ROUND(F6*E6,2)</f>
        <v>0</v>
      </c>
    </row>
    <row r="7" spans="2:7" ht="44.25" customHeight="1" x14ac:dyDescent="0.2">
      <c r="B7" s="394">
        <v>2</v>
      </c>
      <c r="C7" s="395" t="s">
        <v>429</v>
      </c>
      <c r="D7" s="410" t="s">
        <v>410</v>
      </c>
      <c r="E7" s="402">
        <v>12</v>
      </c>
      <c r="F7" s="396">
        <f>'3 - Encarregado'!K139</f>
        <v>0</v>
      </c>
      <c r="G7" s="397">
        <f>ROUND(F7*E7,2)</f>
        <v>0</v>
      </c>
    </row>
    <row r="8" spans="2:7" ht="83.25" customHeight="1" x14ac:dyDescent="0.2">
      <c r="B8" s="394">
        <v>3</v>
      </c>
      <c r="C8" s="248" t="s">
        <v>389</v>
      </c>
      <c r="D8" s="406" t="s">
        <v>410</v>
      </c>
      <c r="E8" s="245">
        <v>12</v>
      </c>
      <c r="F8" s="388">
        <f>'2 - Copeira (o)'!K139</f>
        <v>0</v>
      </c>
      <c r="G8" s="389">
        <f>ROUND(F8*E8,2)</f>
        <v>0</v>
      </c>
    </row>
    <row r="9" spans="2:7" ht="78.75" customHeight="1" x14ac:dyDescent="0.2">
      <c r="B9" s="394">
        <v>4</v>
      </c>
      <c r="C9" s="248" t="s">
        <v>387</v>
      </c>
      <c r="D9" s="406" t="s">
        <v>410</v>
      </c>
      <c r="E9" s="241">
        <v>12</v>
      </c>
      <c r="F9" s="388">
        <f>'9 - Motoristas'!K139</f>
        <v>0</v>
      </c>
      <c r="G9" s="389">
        <f>F9*E9</f>
        <v>0</v>
      </c>
    </row>
    <row r="10" spans="2:7" ht="82.5" customHeight="1" x14ac:dyDescent="0.2">
      <c r="B10" s="394">
        <v>5</v>
      </c>
      <c r="C10" s="248" t="s">
        <v>388</v>
      </c>
      <c r="D10" s="406" t="s">
        <v>410</v>
      </c>
      <c r="E10" s="241">
        <v>12</v>
      </c>
      <c r="F10" s="388">
        <f>'10 - Recepcionista'!K139</f>
        <v>0</v>
      </c>
      <c r="G10" s="389">
        <f>F10*E10</f>
        <v>0</v>
      </c>
    </row>
    <row r="11" spans="2:7" ht="92.25" customHeight="1" thickBot="1" x14ac:dyDescent="0.25">
      <c r="B11" s="394">
        <v>6</v>
      </c>
      <c r="C11" s="393" t="s">
        <v>390</v>
      </c>
      <c r="D11" s="406" t="s">
        <v>410</v>
      </c>
      <c r="E11" s="371">
        <v>12</v>
      </c>
      <c r="F11" s="390">
        <f>'11 - Auxiliar Administrativo'!K139</f>
        <v>0</v>
      </c>
      <c r="G11" s="391">
        <f>F11*E11</f>
        <v>0</v>
      </c>
    </row>
    <row r="12" spans="2:7" ht="31.5" customHeight="1" thickBot="1" x14ac:dyDescent="0.25">
      <c r="B12" s="414"/>
      <c r="C12" s="415"/>
      <c r="D12" s="415"/>
      <c r="E12" s="416"/>
      <c r="F12" s="392">
        <f>SUM(F6:F11)</f>
        <v>0</v>
      </c>
      <c r="G12" s="392">
        <f>SUM(G6:G11)</f>
        <v>0</v>
      </c>
    </row>
    <row r="14" spans="2:7" x14ac:dyDescent="0.2">
      <c r="B14" s="828"/>
      <c r="C14" s="828"/>
      <c r="D14" s="828"/>
      <c r="E14" s="828"/>
      <c r="F14" s="828"/>
      <c r="G14" s="828"/>
    </row>
  </sheetData>
  <mergeCells count="5">
    <mergeCell ref="B4:G4"/>
    <mergeCell ref="B12:E12"/>
    <mergeCell ref="B2:G2"/>
    <mergeCell ref="B1:G1"/>
    <mergeCell ref="B14:G14"/>
  </mergeCells>
  <pageMargins left="0.511811024" right="0.511811024" top="0.78740157499999996" bottom="0.78740157499999996" header="0.31496062000000002" footer="0.31496062000000002"/>
  <pageSetup paperSize="9" scale="80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6749A-92B1-44F2-B6B4-C4373600F92E}">
  <sheetPr>
    <pageSetUpPr fitToPage="1"/>
  </sheetPr>
  <dimension ref="A1:IV1048556"/>
  <sheetViews>
    <sheetView topLeftCell="A128" workbookViewId="0">
      <selection activeCell="K104" sqref="K104"/>
    </sheetView>
  </sheetViews>
  <sheetFormatPr defaultRowHeight="15.75" x14ac:dyDescent="0.2"/>
  <cols>
    <col min="1" max="10" width="12.42578125" style="76" customWidth="1"/>
    <col min="11" max="11" width="18.140625" style="76" bestFit="1" customWidth="1"/>
    <col min="12" max="12" width="18.28515625" style="76" customWidth="1"/>
    <col min="13" max="256" width="12.42578125" style="76" customWidth="1"/>
    <col min="257" max="1024" width="12.42578125" style="77" customWidth="1"/>
    <col min="1025" max="16384" width="9.140625" style="77"/>
  </cols>
  <sheetData>
    <row r="1" spans="1:11" ht="21.75" customHeight="1" thickTop="1" thickBot="1" x14ac:dyDescent="0.25">
      <c r="A1" s="423" t="s">
        <v>0</v>
      </c>
      <c r="B1" s="423"/>
      <c r="C1" s="423"/>
      <c r="D1" s="423"/>
      <c r="E1" s="423"/>
      <c r="F1" s="423"/>
      <c r="G1" s="423"/>
      <c r="H1" s="423"/>
      <c r="I1" s="442"/>
      <c r="J1" s="74"/>
      <c r="K1" s="75"/>
    </row>
    <row r="2" spans="1:11" ht="21.75" customHeight="1" thickTop="1" thickBot="1" x14ac:dyDescent="0.25">
      <c r="A2" s="534" t="s">
        <v>1</v>
      </c>
      <c r="B2" s="534"/>
      <c r="C2" s="534"/>
      <c r="D2" s="535" t="s">
        <v>330</v>
      </c>
      <c r="E2" s="535"/>
      <c r="F2" s="535"/>
      <c r="G2" s="535"/>
      <c r="H2" s="535"/>
      <c r="I2" s="536"/>
      <c r="J2" s="78"/>
      <c r="K2" s="79"/>
    </row>
    <row r="3" spans="1:11" ht="21.75" customHeight="1" thickTop="1" thickBot="1" x14ac:dyDescent="0.25">
      <c r="A3" s="534" t="s">
        <v>2</v>
      </c>
      <c r="B3" s="534"/>
      <c r="C3" s="534"/>
      <c r="D3" s="537" t="str">
        <f>'1 - Servente Sede'!D3</f>
        <v>Pregão Eletrônico nº XX/2020</v>
      </c>
      <c r="E3" s="537"/>
      <c r="F3" s="537"/>
      <c r="G3" s="537"/>
      <c r="H3" s="537"/>
      <c r="I3" s="538"/>
      <c r="J3" s="78"/>
      <c r="K3" s="79"/>
    </row>
    <row r="4" spans="1:11" ht="21.75" customHeight="1" thickTop="1" thickBot="1" x14ac:dyDescent="0.25">
      <c r="A4" s="534" t="s">
        <v>3</v>
      </c>
      <c r="B4" s="534"/>
      <c r="C4" s="534"/>
      <c r="D4" s="539"/>
      <c r="E4" s="540"/>
      <c r="F4" s="541"/>
      <c r="G4" s="80" t="s">
        <v>4</v>
      </c>
      <c r="H4" s="542"/>
      <c r="I4" s="536"/>
      <c r="J4" s="78"/>
      <c r="K4" s="79"/>
    </row>
    <row r="5" spans="1:11" ht="21.75" customHeight="1" thickTop="1" thickBot="1" x14ac:dyDescent="0.25">
      <c r="A5" s="526" t="s">
        <v>5</v>
      </c>
      <c r="B5" s="526"/>
      <c r="C5" s="526"/>
      <c r="D5" s="527" t="s">
        <v>371</v>
      </c>
      <c r="E5" s="527"/>
      <c r="F5" s="527"/>
      <c r="G5" s="527"/>
      <c r="H5" s="527"/>
      <c r="I5" s="527"/>
      <c r="J5" s="277"/>
      <c r="K5" s="79"/>
    </row>
    <row r="6" spans="1:11" ht="21.75" customHeight="1" thickTop="1" thickBot="1" x14ac:dyDescent="0.25">
      <c r="A6" s="81"/>
      <c r="B6" s="82"/>
      <c r="C6" s="82"/>
      <c r="D6" s="82"/>
      <c r="E6" s="82"/>
      <c r="F6" s="82"/>
      <c r="G6" s="82"/>
      <c r="H6" s="82"/>
      <c r="I6" s="279"/>
      <c r="J6" s="279"/>
      <c r="K6" s="278"/>
    </row>
    <row r="7" spans="1:11" ht="21.75" customHeight="1" thickTop="1" thickBot="1" x14ac:dyDescent="0.25">
      <c r="A7" s="274" t="s">
        <v>7</v>
      </c>
      <c r="B7" s="528" t="s">
        <v>8</v>
      </c>
      <c r="C7" s="528"/>
      <c r="D7" s="528"/>
      <c r="E7" s="528"/>
      <c r="F7" s="529" t="s">
        <v>140</v>
      </c>
      <c r="G7" s="529"/>
      <c r="H7" s="529"/>
      <c r="I7" s="529"/>
      <c r="J7" s="529"/>
      <c r="K7" s="529"/>
    </row>
    <row r="8" spans="1:11" ht="21.75" customHeight="1" thickTop="1" thickBot="1" x14ac:dyDescent="0.25">
      <c r="A8" s="274" t="s">
        <v>7</v>
      </c>
      <c r="B8" s="275" t="s">
        <v>9</v>
      </c>
      <c r="C8" s="84"/>
      <c r="D8" s="84"/>
      <c r="E8" s="84"/>
      <c r="F8" s="84"/>
      <c r="G8" s="84"/>
      <c r="H8" s="84"/>
      <c r="I8" s="84"/>
      <c r="J8" s="276"/>
      <c r="K8" s="85">
        <v>12</v>
      </c>
    </row>
    <row r="9" spans="1:11" ht="21.75" customHeight="1" thickTop="1" thickBot="1" x14ac:dyDescent="0.25">
      <c r="A9" s="83" t="s">
        <v>7</v>
      </c>
      <c r="B9" s="496" t="s">
        <v>10</v>
      </c>
      <c r="C9" s="428"/>
      <c r="D9" s="428"/>
      <c r="E9" s="428"/>
      <c r="F9" s="428"/>
      <c r="G9" s="428"/>
      <c r="H9" s="428"/>
      <c r="I9" s="681"/>
      <c r="J9" s="681"/>
      <c r="K9" s="682"/>
    </row>
    <row r="10" spans="1:11" ht="21.75" customHeight="1" thickTop="1" thickBot="1" x14ac:dyDescent="0.25">
      <c r="A10" s="83" t="s">
        <v>7</v>
      </c>
      <c r="B10" s="86" t="s">
        <v>11</v>
      </c>
      <c r="C10" s="86"/>
      <c r="D10" s="86"/>
      <c r="E10" s="86"/>
      <c r="F10" s="86"/>
      <c r="G10" s="86"/>
      <c r="H10" s="86"/>
      <c r="I10" s="86"/>
      <c r="J10" s="86"/>
      <c r="K10" s="87" t="s">
        <v>335</v>
      </c>
    </row>
    <row r="11" spans="1:11" ht="21.75" customHeight="1" thickTop="1" thickBot="1" x14ac:dyDescent="0.25">
      <c r="A11" s="83" t="s">
        <v>7</v>
      </c>
      <c r="B11" s="86" t="s">
        <v>142</v>
      </c>
      <c r="C11" s="86"/>
      <c r="D11" s="86"/>
      <c r="E11" s="86"/>
      <c r="F11" s="86"/>
      <c r="G11" s="86"/>
      <c r="H11" s="86"/>
      <c r="I11" s="86"/>
      <c r="J11" s="86"/>
      <c r="K11" s="88">
        <v>4</v>
      </c>
    </row>
    <row r="12" spans="1:11" ht="21.75" customHeight="1" thickTop="1" thickBot="1" x14ac:dyDescent="0.25">
      <c r="A12" s="530" t="s">
        <v>147</v>
      </c>
      <c r="B12" s="531"/>
      <c r="C12" s="531"/>
      <c r="D12" s="531"/>
      <c r="E12" s="531"/>
      <c r="F12" s="531"/>
      <c r="G12" s="531"/>
      <c r="H12" s="531"/>
      <c r="I12" s="531"/>
      <c r="J12" s="531"/>
      <c r="K12" s="532"/>
    </row>
    <row r="13" spans="1:11" ht="21.75" customHeight="1" thickTop="1" thickBot="1" x14ac:dyDescent="0.25">
      <c r="A13" s="533"/>
      <c r="B13" s="531"/>
      <c r="C13" s="531"/>
      <c r="D13" s="531"/>
      <c r="E13" s="531"/>
      <c r="F13" s="531"/>
      <c r="G13" s="531"/>
      <c r="H13" s="531"/>
      <c r="I13" s="531"/>
      <c r="J13" s="531"/>
      <c r="K13" s="532"/>
    </row>
    <row r="14" spans="1:11" ht="21.75" customHeight="1" thickTop="1" thickBot="1" x14ac:dyDescent="0.25">
      <c r="A14" s="533"/>
      <c r="B14" s="531"/>
      <c r="C14" s="531"/>
      <c r="D14" s="531"/>
      <c r="E14" s="531"/>
      <c r="F14" s="531"/>
      <c r="G14" s="531"/>
      <c r="H14" s="531"/>
      <c r="I14" s="531"/>
      <c r="J14" s="531"/>
      <c r="K14" s="532"/>
    </row>
    <row r="15" spans="1:11" ht="21.75" customHeight="1" thickTop="1" thickBot="1" x14ac:dyDescent="0.25">
      <c r="A15" s="442" t="s">
        <v>15</v>
      </c>
      <c r="B15" s="442"/>
      <c r="C15" s="442"/>
      <c r="D15" s="442"/>
      <c r="E15" s="442"/>
      <c r="F15" s="442"/>
      <c r="G15" s="442"/>
      <c r="H15" s="442"/>
      <c r="I15" s="442"/>
      <c r="J15" s="442"/>
      <c r="K15" s="442"/>
    </row>
    <row r="16" spans="1:11" ht="21.75" customHeight="1" thickTop="1" thickBot="1" x14ac:dyDescent="0.25">
      <c r="A16" s="100">
        <v>1</v>
      </c>
      <c r="B16" s="86" t="s">
        <v>16</v>
      </c>
      <c r="C16" s="86"/>
      <c r="D16" s="86"/>
      <c r="E16" s="86"/>
      <c r="F16" s="86"/>
      <c r="G16" s="86"/>
      <c r="H16" s="86"/>
      <c r="I16" s="86"/>
      <c r="J16" s="86"/>
      <c r="K16" s="90"/>
    </row>
    <row r="17" spans="1:18" ht="21.75" customHeight="1" thickTop="1" thickBot="1" x14ac:dyDescent="0.25">
      <c r="A17" s="100">
        <v>2</v>
      </c>
      <c r="B17" s="86" t="s">
        <v>17</v>
      </c>
      <c r="C17" s="86"/>
      <c r="D17" s="86"/>
      <c r="E17" s="86"/>
      <c r="F17" s="86"/>
      <c r="G17" s="86"/>
      <c r="H17" s="86"/>
      <c r="I17" s="86"/>
      <c r="J17" s="86"/>
      <c r="K17" s="91" t="s">
        <v>371</v>
      </c>
    </row>
    <row r="18" spans="1:18" ht="21.75" customHeight="1" thickTop="1" thickBot="1" x14ac:dyDescent="0.25">
      <c r="A18" s="100">
        <v>3</v>
      </c>
      <c r="B18" s="86" t="s">
        <v>18</v>
      </c>
      <c r="C18" s="86"/>
      <c r="D18" s="86"/>
      <c r="E18" s="86"/>
      <c r="F18" s="86"/>
      <c r="G18" s="86"/>
      <c r="H18" s="86"/>
      <c r="I18" s="86"/>
      <c r="J18" s="86"/>
      <c r="K18" s="92">
        <v>43862</v>
      </c>
    </row>
    <row r="19" spans="1:18" ht="21.75" customHeight="1" thickTop="1" thickBot="1" x14ac:dyDescent="0.25">
      <c r="A19" s="93">
        <v>4</v>
      </c>
      <c r="B19" s="509" t="s">
        <v>19</v>
      </c>
      <c r="C19" s="510"/>
      <c r="D19" s="510"/>
      <c r="E19" s="510"/>
      <c r="F19" s="510"/>
      <c r="G19" s="510"/>
      <c r="H19" s="510"/>
      <c r="I19" s="510"/>
      <c r="J19" s="496"/>
      <c r="K19" s="365" t="s">
        <v>372</v>
      </c>
    </row>
    <row r="20" spans="1:18" ht="21.75" customHeight="1" thickTop="1" x14ac:dyDescent="0.2">
      <c r="A20" s="511" t="s">
        <v>148</v>
      </c>
      <c r="B20" s="512"/>
      <c r="C20" s="512"/>
      <c r="D20" s="512"/>
      <c r="E20" s="512"/>
      <c r="F20" s="512"/>
      <c r="G20" s="512"/>
      <c r="H20" s="512"/>
      <c r="I20" s="512"/>
      <c r="J20" s="512"/>
      <c r="K20" s="513"/>
    </row>
    <row r="21" spans="1:18" ht="19.149999999999999" customHeight="1" thickBot="1" x14ac:dyDescent="0.25">
      <c r="A21" s="514"/>
      <c r="B21" s="515"/>
      <c r="C21" s="515"/>
      <c r="D21" s="515"/>
      <c r="E21" s="515"/>
      <c r="F21" s="515"/>
      <c r="G21" s="515"/>
      <c r="H21" s="515"/>
      <c r="I21" s="515"/>
      <c r="J21" s="515"/>
      <c r="K21" s="516"/>
    </row>
    <row r="22" spans="1:18" ht="21.6" hidden="1" customHeight="1" x14ac:dyDescent="0.2">
      <c r="A22" s="517"/>
      <c r="B22" s="518"/>
      <c r="C22" s="518"/>
      <c r="D22" s="518"/>
      <c r="E22" s="518"/>
      <c r="F22" s="518"/>
      <c r="G22" s="518"/>
      <c r="H22" s="518"/>
      <c r="I22" s="518"/>
      <c r="J22" s="518"/>
      <c r="K22" s="519"/>
    </row>
    <row r="23" spans="1:18" ht="21.75" customHeight="1" thickTop="1" thickBot="1" x14ac:dyDescent="0.25">
      <c r="A23" s="442" t="s">
        <v>21</v>
      </c>
      <c r="B23" s="442"/>
      <c r="C23" s="442"/>
      <c r="D23" s="442"/>
      <c r="E23" s="442"/>
      <c r="F23" s="442"/>
      <c r="G23" s="442"/>
      <c r="H23" s="442"/>
      <c r="I23" s="442"/>
      <c r="J23" s="442"/>
      <c r="K23" s="95" t="s">
        <v>22</v>
      </c>
    </row>
    <row r="24" spans="1:18" ht="21.75" customHeight="1" thickTop="1" thickBot="1" x14ac:dyDescent="0.25">
      <c r="A24" s="100" t="s">
        <v>23</v>
      </c>
      <c r="B24" s="86" t="s">
        <v>24</v>
      </c>
      <c r="C24" s="86"/>
      <c r="D24" s="86"/>
      <c r="E24" s="86"/>
      <c r="F24" s="86"/>
      <c r="G24" s="86"/>
      <c r="H24" s="86"/>
      <c r="I24" s="86"/>
      <c r="J24" s="96"/>
      <c r="K24" s="342">
        <f>K16</f>
        <v>0</v>
      </c>
    </row>
    <row r="25" spans="1:18" ht="21.75" customHeight="1" thickTop="1" thickBot="1" x14ac:dyDescent="0.25">
      <c r="A25" s="100" t="s">
        <v>25</v>
      </c>
      <c r="B25" s="98" t="s">
        <v>26</v>
      </c>
      <c r="C25" s="98"/>
      <c r="D25" s="98"/>
      <c r="E25" s="99" t="s">
        <v>27</v>
      </c>
      <c r="F25" s="99"/>
      <c r="G25" s="86"/>
      <c r="H25" s="520">
        <v>0</v>
      </c>
      <c r="I25" s="521"/>
      <c r="J25" s="522"/>
      <c r="K25" s="102">
        <f>K24*H25</f>
        <v>0</v>
      </c>
    </row>
    <row r="26" spans="1:18" ht="21.75" customHeight="1" thickTop="1" thickBot="1" x14ac:dyDescent="0.3">
      <c r="A26" s="523" t="s">
        <v>28</v>
      </c>
      <c r="B26" s="524" t="s">
        <v>29</v>
      </c>
      <c r="C26" s="524"/>
      <c r="D26" s="524"/>
      <c r="E26" s="99" t="s">
        <v>30</v>
      </c>
      <c r="F26" s="99"/>
      <c r="G26" s="86"/>
      <c r="H26" s="86"/>
      <c r="I26" s="86"/>
      <c r="J26" s="101"/>
      <c r="K26" s="525">
        <f>L27*0.4</f>
        <v>0</v>
      </c>
      <c r="L26"/>
      <c r="M26"/>
      <c r="N26"/>
      <c r="O26"/>
      <c r="P26"/>
      <c r="Q26"/>
      <c r="R26"/>
    </row>
    <row r="27" spans="1:18" ht="21.75" customHeight="1" thickTop="1" thickBot="1" x14ac:dyDescent="0.3">
      <c r="A27" s="523"/>
      <c r="B27" s="524"/>
      <c r="C27" s="524"/>
      <c r="D27" s="524"/>
      <c r="E27" s="99" t="s">
        <v>31</v>
      </c>
      <c r="F27" s="99"/>
      <c r="G27" s="86"/>
      <c r="H27" s="99" t="s">
        <v>32</v>
      </c>
      <c r="I27" s="86"/>
      <c r="J27" s="96"/>
      <c r="K27" s="525"/>
      <c r="L27"/>
      <c r="M27"/>
      <c r="N27"/>
      <c r="O27"/>
      <c r="P27"/>
      <c r="Q27"/>
      <c r="R27"/>
    </row>
    <row r="28" spans="1:18" ht="21.75" customHeight="1" thickTop="1" thickBot="1" x14ac:dyDescent="0.3">
      <c r="A28" s="100" t="s">
        <v>33</v>
      </c>
      <c r="B28" s="506" t="s">
        <v>34</v>
      </c>
      <c r="C28" s="506"/>
      <c r="D28" s="506"/>
      <c r="E28" s="507"/>
      <c r="F28" s="507"/>
      <c r="G28" s="507"/>
      <c r="H28" s="507"/>
      <c r="I28" s="507"/>
      <c r="J28" s="508"/>
      <c r="K28" s="102">
        <v>0</v>
      </c>
      <c r="L28"/>
      <c r="M28"/>
      <c r="N28"/>
      <c r="O28"/>
      <c r="P28"/>
      <c r="Q28"/>
      <c r="R28"/>
    </row>
    <row r="29" spans="1:18" ht="21.75" customHeight="1" thickTop="1" thickBot="1" x14ac:dyDescent="0.25">
      <c r="A29" s="100" t="s">
        <v>35</v>
      </c>
      <c r="B29" s="428" t="s">
        <v>36</v>
      </c>
      <c r="C29" s="428"/>
      <c r="D29" s="428"/>
      <c r="E29" s="428"/>
      <c r="F29" s="428"/>
      <c r="G29" s="428"/>
      <c r="H29" s="428"/>
      <c r="I29" s="428"/>
      <c r="J29" s="429"/>
      <c r="K29" s="102">
        <v>0</v>
      </c>
      <c r="L29" s="103"/>
    </row>
    <row r="30" spans="1:18" ht="21.75" customHeight="1" thickTop="1" thickBot="1" x14ac:dyDescent="0.25">
      <c r="A30" s="100" t="s">
        <v>37</v>
      </c>
      <c r="B30" s="428" t="s">
        <v>38</v>
      </c>
      <c r="C30" s="428"/>
      <c r="D30" s="428"/>
      <c r="E30" s="428"/>
      <c r="F30" s="428"/>
      <c r="G30" s="428"/>
      <c r="H30" s="428"/>
      <c r="I30" s="428"/>
      <c r="J30" s="429"/>
      <c r="K30" s="102">
        <v>0</v>
      </c>
    </row>
    <row r="31" spans="1:18" ht="21.75" customHeight="1" thickTop="1" thickBot="1" x14ac:dyDescent="0.25">
      <c r="A31" s="100" t="s">
        <v>39</v>
      </c>
      <c r="B31" s="428" t="s">
        <v>87</v>
      </c>
      <c r="C31" s="428"/>
      <c r="D31" s="428"/>
      <c r="E31" s="428"/>
      <c r="F31" s="428"/>
      <c r="G31" s="428"/>
      <c r="H31" s="428"/>
      <c r="I31" s="428"/>
      <c r="J31" s="429"/>
      <c r="K31" s="104">
        <v>0</v>
      </c>
    </row>
    <row r="32" spans="1:18" ht="21.6" hidden="1" customHeight="1" x14ac:dyDescent="0.2">
      <c r="A32" s="503"/>
      <c r="B32" s="504"/>
      <c r="C32" s="504"/>
      <c r="D32" s="504"/>
      <c r="E32" s="504"/>
      <c r="F32" s="504"/>
      <c r="G32" s="504"/>
      <c r="H32" s="504"/>
      <c r="I32" s="504"/>
      <c r="J32" s="504"/>
      <c r="K32" s="505"/>
    </row>
    <row r="33" spans="1:13" ht="21.75" customHeight="1" thickTop="1" thickBot="1" x14ac:dyDescent="0.25">
      <c r="A33" s="423" t="s">
        <v>41</v>
      </c>
      <c r="B33" s="424"/>
      <c r="C33" s="424"/>
      <c r="D33" s="424"/>
      <c r="E33" s="424"/>
      <c r="F33" s="424"/>
      <c r="G33" s="424"/>
      <c r="H33" s="424"/>
      <c r="I33" s="424"/>
      <c r="J33" s="426"/>
      <c r="K33" s="105">
        <f>SUM(K24:K31)</f>
        <v>0</v>
      </c>
      <c r="M33" s="106"/>
    </row>
    <row r="34" spans="1:13" ht="21.75" customHeight="1" thickTop="1" x14ac:dyDescent="0.2">
      <c r="A34" s="464" t="s">
        <v>149</v>
      </c>
      <c r="B34" s="465"/>
      <c r="C34" s="465"/>
      <c r="D34" s="465"/>
      <c r="E34" s="465"/>
      <c r="F34" s="465"/>
      <c r="G34" s="465"/>
      <c r="H34" s="465"/>
      <c r="I34" s="465"/>
      <c r="J34" s="465"/>
      <c r="K34" s="466"/>
    </row>
    <row r="35" spans="1:13" ht="55.5" customHeight="1" thickBot="1" x14ac:dyDescent="0.25">
      <c r="A35" s="467"/>
      <c r="B35" s="468"/>
      <c r="C35" s="468"/>
      <c r="D35" s="468"/>
      <c r="E35" s="468"/>
      <c r="F35" s="468"/>
      <c r="G35" s="468"/>
      <c r="H35" s="468"/>
      <c r="I35" s="468"/>
      <c r="J35" s="468"/>
      <c r="K35" s="469"/>
    </row>
    <row r="36" spans="1:13" ht="21.75" customHeight="1" thickTop="1" thickBot="1" x14ac:dyDescent="0.25">
      <c r="A36" s="423" t="s">
        <v>43</v>
      </c>
      <c r="B36" s="423"/>
      <c r="C36" s="423"/>
      <c r="D36" s="423"/>
      <c r="E36" s="423"/>
      <c r="F36" s="423"/>
      <c r="G36" s="423"/>
      <c r="H36" s="423"/>
      <c r="I36" s="423"/>
      <c r="J36" s="423"/>
      <c r="K36" s="442"/>
    </row>
    <row r="37" spans="1:13" ht="21.75" customHeight="1" thickTop="1" thickBot="1" x14ac:dyDescent="0.25">
      <c r="A37" s="423" t="s">
        <v>150</v>
      </c>
      <c r="B37" s="423"/>
      <c r="C37" s="423"/>
      <c r="D37" s="423"/>
      <c r="E37" s="423"/>
      <c r="F37" s="423"/>
      <c r="G37" s="423"/>
      <c r="H37" s="423"/>
      <c r="I37" s="423"/>
      <c r="J37" s="423"/>
      <c r="K37" s="442"/>
    </row>
    <row r="38" spans="1:13" ht="21.75" customHeight="1" thickTop="1" thickBot="1" x14ac:dyDescent="0.25">
      <c r="A38" s="107" t="s">
        <v>23</v>
      </c>
      <c r="B38" s="501" t="s">
        <v>45</v>
      </c>
      <c r="C38" s="501"/>
      <c r="D38" s="501"/>
      <c r="E38" s="501"/>
      <c r="F38" s="501"/>
      <c r="G38" s="501"/>
      <c r="H38" s="501"/>
      <c r="I38" s="501"/>
      <c r="J38" s="108">
        <v>8.3299999999999999E-2</v>
      </c>
      <c r="K38" s="109">
        <f>K33*(1/12)</f>
        <v>0</v>
      </c>
      <c r="L38" s="110"/>
    </row>
    <row r="39" spans="1:13" ht="21.75" customHeight="1" thickTop="1" thickBot="1" x14ac:dyDescent="0.25">
      <c r="A39" s="107" t="s">
        <v>25</v>
      </c>
      <c r="B39" s="501" t="s">
        <v>46</v>
      </c>
      <c r="C39" s="501"/>
      <c r="D39" s="501"/>
      <c r="E39" s="501"/>
      <c r="F39" s="501"/>
      <c r="G39" s="501"/>
      <c r="H39" s="501"/>
      <c r="I39" s="501"/>
      <c r="J39" s="108">
        <v>0.1111</v>
      </c>
      <c r="K39" s="109">
        <f>(K33*(1/12))+(K33*1/12*1/3)</f>
        <v>0</v>
      </c>
      <c r="L39" s="111"/>
    </row>
    <row r="40" spans="1:13" ht="21.75" customHeight="1" thickTop="1" thickBot="1" x14ac:dyDescent="0.25">
      <c r="A40" s="155"/>
      <c r="B40" s="502" t="s">
        <v>47</v>
      </c>
      <c r="C40" s="502"/>
      <c r="D40" s="502"/>
      <c r="E40" s="502"/>
      <c r="F40" s="502"/>
      <c r="G40" s="502"/>
      <c r="H40" s="502"/>
      <c r="I40" s="502"/>
      <c r="J40" s="113">
        <f>J38+J39</f>
        <v>0.19440000000000002</v>
      </c>
      <c r="K40" s="105">
        <f>ROUND(SUM(K38+K39),2)</f>
        <v>0</v>
      </c>
    </row>
    <row r="41" spans="1:13" ht="21.75" customHeight="1" thickTop="1" x14ac:dyDescent="0.2">
      <c r="A41" s="464" t="s">
        <v>151</v>
      </c>
      <c r="B41" s="465"/>
      <c r="C41" s="465"/>
      <c r="D41" s="465"/>
      <c r="E41" s="465"/>
      <c r="F41" s="465"/>
      <c r="G41" s="465"/>
      <c r="H41" s="465"/>
      <c r="I41" s="465"/>
      <c r="J41" s="465"/>
      <c r="K41" s="466"/>
    </row>
    <row r="42" spans="1:13" ht="55.15" customHeight="1" thickBot="1" x14ac:dyDescent="0.25">
      <c r="A42" s="467"/>
      <c r="B42" s="468"/>
      <c r="C42" s="468"/>
      <c r="D42" s="468"/>
      <c r="E42" s="468"/>
      <c r="F42" s="468"/>
      <c r="G42" s="468"/>
      <c r="H42" s="468"/>
      <c r="I42" s="468"/>
      <c r="J42" s="468"/>
      <c r="K42" s="469"/>
    </row>
    <row r="43" spans="1:13" ht="21.75" customHeight="1" thickTop="1" thickBot="1" x14ac:dyDescent="0.25">
      <c r="A43" s="423" t="s">
        <v>49</v>
      </c>
      <c r="B43" s="424"/>
      <c r="C43" s="424"/>
      <c r="D43" s="424"/>
      <c r="E43" s="424"/>
      <c r="F43" s="424"/>
      <c r="G43" s="424"/>
      <c r="H43" s="424"/>
      <c r="I43" s="424"/>
      <c r="J43" s="424"/>
      <c r="K43" s="426"/>
    </row>
    <row r="44" spans="1:13" ht="21.75" customHeight="1" thickTop="1" thickBot="1" x14ac:dyDescent="0.25">
      <c r="A44" s="100" t="s">
        <v>23</v>
      </c>
      <c r="B44" s="495" t="s">
        <v>50</v>
      </c>
      <c r="C44" s="495"/>
      <c r="D44" s="495"/>
      <c r="E44" s="495"/>
      <c r="F44" s="495"/>
      <c r="G44" s="495"/>
      <c r="H44" s="495"/>
      <c r="I44" s="495"/>
      <c r="J44" s="115">
        <v>0.2</v>
      </c>
      <c r="K44" s="102">
        <f>J44*(K33+K40)</f>
        <v>0</v>
      </c>
    </row>
    <row r="45" spans="1:13" ht="21.75" customHeight="1" thickTop="1" thickBot="1" x14ac:dyDescent="0.25">
      <c r="A45" s="100" t="s">
        <v>25</v>
      </c>
      <c r="B45" s="496" t="s">
        <v>54</v>
      </c>
      <c r="C45" s="428"/>
      <c r="D45" s="428"/>
      <c r="E45" s="428"/>
      <c r="F45" s="428"/>
      <c r="G45" s="428"/>
      <c r="H45" s="428"/>
      <c r="I45" s="497"/>
      <c r="J45" s="115">
        <v>2.5000000000000001E-2</v>
      </c>
      <c r="K45" s="102">
        <f>J45*(K33+K40)</f>
        <v>0</v>
      </c>
    </row>
    <row r="46" spans="1:13" ht="21.75" customHeight="1" thickTop="1" thickBot="1" x14ac:dyDescent="0.25">
      <c r="A46" s="100" t="s">
        <v>28</v>
      </c>
      <c r="B46" s="496" t="s">
        <v>243</v>
      </c>
      <c r="C46" s="428"/>
      <c r="D46" s="428"/>
      <c r="E46" s="498"/>
      <c r="F46" s="341">
        <v>0.03</v>
      </c>
      <c r="G46" s="281" t="s">
        <v>57</v>
      </c>
      <c r="H46" s="499">
        <v>1</v>
      </c>
      <c r="I46" s="500"/>
      <c r="J46" s="115">
        <f>F46*H46</f>
        <v>0.03</v>
      </c>
      <c r="K46" s="102">
        <f>J46*(K33+K40)</f>
        <v>0</v>
      </c>
    </row>
    <row r="47" spans="1:13" ht="21.75" customHeight="1" thickTop="1" thickBot="1" x14ac:dyDescent="0.25">
      <c r="A47" s="100" t="s">
        <v>33</v>
      </c>
      <c r="B47" s="496" t="s">
        <v>51</v>
      </c>
      <c r="C47" s="428"/>
      <c r="D47" s="428"/>
      <c r="E47" s="428"/>
      <c r="F47" s="428"/>
      <c r="G47" s="428"/>
      <c r="H47" s="428"/>
      <c r="I47" s="497"/>
      <c r="J47" s="115">
        <v>1.4999999999999999E-2</v>
      </c>
      <c r="K47" s="102">
        <f>J47*(K33+K40)</f>
        <v>0</v>
      </c>
    </row>
    <row r="48" spans="1:13" ht="21.75" customHeight="1" thickTop="1" thickBot="1" x14ac:dyDescent="0.25">
      <c r="A48" s="100" t="s">
        <v>35</v>
      </c>
      <c r="B48" s="496" t="s">
        <v>52</v>
      </c>
      <c r="C48" s="428"/>
      <c r="D48" s="428"/>
      <c r="E48" s="428"/>
      <c r="F48" s="428"/>
      <c r="G48" s="428"/>
      <c r="H48" s="428"/>
      <c r="I48" s="497"/>
      <c r="J48" s="115">
        <v>0.01</v>
      </c>
      <c r="K48" s="102">
        <f>J48*(K33+K40)</f>
        <v>0</v>
      </c>
    </row>
    <row r="49" spans="1:16" ht="21.75" customHeight="1" thickTop="1" thickBot="1" x14ac:dyDescent="0.25">
      <c r="A49" s="100" t="s">
        <v>37</v>
      </c>
      <c r="B49" s="86" t="s">
        <v>59</v>
      </c>
      <c r="C49" s="86"/>
      <c r="D49" s="86"/>
      <c r="E49" s="86"/>
      <c r="F49" s="86"/>
      <c r="G49" s="86"/>
      <c r="H49" s="86"/>
      <c r="I49" s="86"/>
      <c r="J49" s="115">
        <v>6.0000000000000001E-3</v>
      </c>
      <c r="K49" s="102">
        <f>J49*(K33+K40)</f>
        <v>0</v>
      </c>
    </row>
    <row r="50" spans="1:16" ht="21.75" customHeight="1" thickTop="1" thickBot="1" x14ac:dyDescent="0.25">
      <c r="A50" s="100" t="s">
        <v>39</v>
      </c>
      <c r="B50" s="496" t="s">
        <v>53</v>
      </c>
      <c r="C50" s="428"/>
      <c r="D50" s="428"/>
      <c r="E50" s="428"/>
      <c r="F50" s="428"/>
      <c r="G50" s="428"/>
      <c r="H50" s="428"/>
      <c r="I50" s="497"/>
      <c r="J50" s="116">
        <v>2E-3</v>
      </c>
      <c r="K50" s="102">
        <f>J50*(K$33+K$40)</f>
        <v>0</v>
      </c>
    </row>
    <row r="51" spans="1:16" ht="21.75" customHeight="1" thickTop="1" thickBot="1" x14ac:dyDescent="0.25">
      <c r="A51" s="100" t="s">
        <v>58</v>
      </c>
      <c r="B51" s="496" t="s">
        <v>55</v>
      </c>
      <c r="C51" s="428"/>
      <c r="D51" s="428"/>
      <c r="E51" s="428"/>
      <c r="F51" s="428"/>
      <c r="G51" s="428"/>
      <c r="H51" s="428"/>
      <c r="I51" s="497"/>
      <c r="J51" s="116">
        <v>0.08</v>
      </c>
      <c r="K51" s="408">
        <f>J51*(K$33+K$40)</f>
        <v>0</v>
      </c>
    </row>
    <row r="52" spans="1:16" ht="21.75" customHeight="1" thickTop="1" thickBot="1" x14ac:dyDescent="0.25">
      <c r="A52" s="154"/>
      <c r="B52" s="423" t="s">
        <v>47</v>
      </c>
      <c r="C52" s="424"/>
      <c r="D52" s="424"/>
      <c r="E52" s="424"/>
      <c r="F52" s="424"/>
      <c r="G52" s="424"/>
      <c r="H52" s="424"/>
      <c r="I52" s="426"/>
      <c r="J52" s="114">
        <f>SUM(J44:J51)</f>
        <v>0.36800000000000005</v>
      </c>
      <c r="K52" s="282">
        <f>SUM(K44:K51)</f>
        <v>0</v>
      </c>
    </row>
    <row r="53" spans="1:16" ht="21.75" customHeight="1" thickTop="1" x14ac:dyDescent="0.2">
      <c r="A53" s="486" t="s">
        <v>152</v>
      </c>
      <c r="B53" s="487"/>
      <c r="C53" s="487"/>
      <c r="D53" s="487"/>
      <c r="E53" s="487"/>
      <c r="F53" s="487"/>
      <c r="G53" s="487"/>
      <c r="H53" s="487"/>
      <c r="I53" s="487"/>
      <c r="J53" s="487"/>
      <c r="K53" s="488"/>
    </row>
    <row r="54" spans="1:16" ht="21.75" customHeight="1" x14ac:dyDescent="0.2">
      <c r="A54" s="489"/>
      <c r="B54" s="490"/>
      <c r="C54" s="490"/>
      <c r="D54" s="490"/>
      <c r="E54" s="490"/>
      <c r="F54" s="490"/>
      <c r="G54" s="490"/>
      <c r="H54" s="490"/>
      <c r="I54" s="490"/>
      <c r="J54" s="490"/>
      <c r="K54" s="491"/>
    </row>
    <row r="55" spans="1:16" ht="12.6" customHeight="1" thickBot="1" x14ac:dyDescent="0.25">
      <c r="A55" s="492"/>
      <c r="B55" s="493"/>
      <c r="C55" s="493"/>
      <c r="D55" s="493"/>
      <c r="E55" s="493"/>
      <c r="F55" s="493"/>
      <c r="G55" s="493"/>
      <c r="H55" s="493"/>
      <c r="I55" s="493"/>
      <c r="J55" s="493"/>
      <c r="K55" s="494"/>
    </row>
    <row r="56" spans="1:16" ht="21.75" customHeight="1" thickTop="1" thickBot="1" x14ac:dyDescent="0.25">
      <c r="A56" s="423" t="s">
        <v>61</v>
      </c>
      <c r="B56" s="424"/>
      <c r="C56" s="424"/>
      <c r="D56" s="424"/>
      <c r="E56" s="424"/>
      <c r="F56" s="424"/>
      <c r="G56" s="424"/>
      <c r="H56" s="424"/>
      <c r="I56" s="424"/>
      <c r="J56" s="424"/>
      <c r="K56" s="426"/>
    </row>
    <row r="57" spans="1:16" ht="21.75" customHeight="1" thickTop="1" thickBot="1" x14ac:dyDescent="0.25">
      <c r="A57" s="95" t="s">
        <v>23</v>
      </c>
      <c r="B57" s="459" t="s">
        <v>424</v>
      </c>
      <c r="C57" s="459"/>
      <c r="D57" s="459"/>
      <c r="E57" s="459"/>
      <c r="F57" s="459"/>
      <c r="G57" s="459"/>
      <c r="H57" s="459"/>
      <c r="I57" s="459"/>
      <c r="J57" s="459"/>
      <c r="K57" s="117">
        <v>0</v>
      </c>
      <c r="L57" s="111"/>
    </row>
    <row r="58" spans="1:16" ht="21.75" customHeight="1" thickTop="1" thickBot="1" x14ac:dyDescent="0.25">
      <c r="A58" s="95" t="s">
        <v>25</v>
      </c>
      <c r="B58" s="459" t="s">
        <v>423</v>
      </c>
      <c r="C58" s="459"/>
      <c r="D58" s="459"/>
      <c r="E58" s="459"/>
      <c r="F58" s="459"/>
      <c r="G58" s="459"/>
      <c r="H58" s="459"/>
      <c r="I58" s="459"/>
      <c r="J58" s="459"/>
      <c r="K58" s="109">
        <v>0</v>
      </c>
      <c r="L58" s="484"/>
      <c r="M58" s="485"/>
      <c r="N58" s="485"/>
      <c r="O58" s="485"/>
    </row>
    <row r="59" spans="1:16" ht="21.75" customHeight="1" thickTop="1" thickBot="1" x14ac:dyDescent="0.25">
      <c r="A59" s="95" t="s">
        <v>28</v>
      </c>
      <c r="B59" s="459" t="s">
        <v>421</v>
      </c>
      <c r="C59" s="459"/>
      <c r="D59" s="459"/>
      <c r="E59" s="459"/>
      <c r="F59" s="459"/>
      <c r="G59" s="459"/>
      <c r="H59" s="459"/>
      <c r="I59" s="459"/>
      <c r="J59" s="459"/>
      <c r="K59" s="109">
        <v>0</v>
      </c>
      <c r="L59" s="484"/>
      <c r="M59" s="485"/>
      <c r="N59" s="485"/>
      <c r="O59" s="485"/>
      <c r="P59" s="111"/>
    </row>
    <row r="60" spans="1:16" ht="21.75" customHeight="1" thickTop="1" thickBot="1" x14ac:dyDescent="0.25">
      <c r="A60" s="95" t="s">
        <v>33</v>
      </c>
      <c r="B60" s="459" t="s">
        <v>420</v>
      </c>
      <c r="C60" s="459"/>
      <c r="D60" s="459"/>
      <c r="E60" s="459"/>
      <c r="F60" s="459"/>
      <c r="G60" s="459"/>
      <c r="H60" s="459"/>
      <c r="I60" s="459"/>
      <c r="J60" s="459"/>
      <c r="K60" s="109">
        <v>0</v>
      </c>
      <c r="L60" s="484"/>
      <c r="M60" s="485"/>
      <c r="N60" s="485"/>
      <c r="O60" s="485"/>
    </row>
    <row r="61" spans="1:16" ht="21.75" customHeight="1" thickTop="1" thickBot="1" x14ac:dyDescent="0.25">
      <c r="A61" s="95" t="s">
        <v>35</v>
      </c>
      <c r="B61" s="459" t="s">
        <v>87</v>
      </c>
      <c r="C61" s="459"/>
      <c r="D61" s="459"/>
      <c r="E61" s="459"/>
      <c r="F61" s="459"/>
      <c r="G61" s="459"/>
      <c r="H61" s="459"/>
      <c r="I61" s="459"/>
      <c r="J61" s="459"/>
      <c r="K61" s="109">
        <v>0</v>
      </c>
      <c r="L61" s="484"/>
      <c r="M61" s="485"/>
      <c r="N61" s="485"/>
      <c r="O61" s="485"/>
    </row>
    <row r="62" spans="1:16" ht="21.75" customHeight="1" thickTop="1" thickBot="1" x14ac:dyDescent="0.25">
      <c r="A62" s="95"/>
      <c r="B62" s="442" t="s">
        <v>47</v>
      </c>
      <c r="C62" s="442"/>
      <c r="D62" s="442"/>
      <c r="E62" s="442"/>
      <c r="F62" s="442"/>
      <c r="G62" s="442"/>
      <c r="H62" s="442"/>
      <c r="I62" s="442"/>
      <c r="J62" s="442"/>
      <c r="K62" s="105">
        <f>SUM(K57:K61)</f>
        <v>0</v>
      </c>
    </row>
    <row r="63" spans="1:16" ht="21.75" customHeight="1" thickTop="1" x14ac:dyDescent="0.2">
      <c r="A63" s="464" t="s">
        <v>153</v>
      </c>
      <c r="B63" s="465"/>
      <c r="C63" s="465"/>
      <c r="D63" s="465"/>
      <c r="E63" s="465"/>
      <c r="F63" s="465"/>
      <c r="G63" s="465"/>
      <c r="H63" s="465"/>
      <c r="I63" s="465"/>
      <c r="J63" s="465"/>
      <c r="K63" s="466"/>
    </row>
    <row r="64" spans="1:16" ht="37.15" customHeight="1" thickBot="1" x14ac:dyDescent="0.25">
      <c r="A64" s="467"/>
      <c r="B64" s="468"/>
      <c r="C64" s="468"/>
      <c r="D64" s="468"/>
      <c r="E64" s="468"/>
      <c r="F64" s="468"/>
      <c r="G64" s="468"/>
      <c r="H64" s="468"/>
      <c r="I64" s="468"/>
      <c r="J64" s="468"/>
      <c r="K64" s="469"/>
    </row>
    <row r="65" spans="1:18" ht="21.75" customHeight="1" thickTop="1" thickBot="1" x14ac:dyDescent="0.25">
      <c r="A65" s="423" t="s">
        <v>64</v>
      </c>
      <c r="B65" s="424"/>
      <c r="C65" s="424"/>
      <c r="D65" s="424"/>
      <c r="E65" s="424"/>
      <c r="F65" s="424"/>
      <c r="G65" s="424"/>
      <c r="H65" s="424"/>
      <c r="I65" s="424"/>
      <c r="J65" s="424"/>
      <c r="K65" s="426"/>
    </row>
    <row r="66" spans="1:18" ht="21.75" customHeight="1" thickTop="1" thickBot="1" x14ac:dyDescent="0.25">
      <c r="A66" s="118" t="s">
        <v>65</v>
      </c>
      <c r="B66" s="455" t="s">
        <v>154</v>
      </c>
      <c r="C66" s="455"/>
      <c r="D66" s="455"/>
      <c r="E66" s="455"/>
      <c r="F66" s="455"/>
      <c r="G66" s="455"/>
      <c r="H66" s="455"/>
      <c r="I66" s="455"/>
      <c r="J66" s="119">
        <f>J40</f>
        <v>0.19440000000000002</v>
      </c>
      <c r="K66" s="120">
        <f>K40</f>
        <v>0</v>
      </c>
    </row>
    <row r="67" spans="1:18" ht="21.75" customHeight="1" thickTop="1" thickBot="1" x14ac:dyDescent="0.25">
      <c r="A67" s="118" t="s">
        <v>67</v>
      </c>
      <c r="B67" s="455" t="s">
        <v>68</v>
      </c>
      <c r="C67" s="455"/>
      <c r="D67" s="455"/>
      <c r="E67" s="455"/>
      <c r="F67" s="455"/>
      <c r="G67" s="455"/>
      <c r="H67" s="455"/>
      <c r="I67" s="455"/>
      <c r="J67" s="119">
        <f>J52</f>
        <v>0.36800000000000005</v>
      </c>
      <c r="K67" s="120">
        <f>K52</f>
        <v>0</v>
      </c>
    </row>
    <row r="68" spans="1:18" ht="21.75" customHeight="1" thickTop="1" thickBot="1" x14ac:dyDescent="0.25">
      <c r="A68" s="118" t="s">
        <v>69</v>
      </c>
      <c r="B68" s="455" t="s">
        <v>70</v>
      </c>
      <c r="C68" s="455"/>
      <c r="D68" s="455"/>
      <c r="E68" s="455"/>
      <c r="F68" s="455"/>
      <c r="G68" s="455"/>
      <c r="H68" s="455"/>
      <c r="I68" s="455"/>
      <c r="J68" s="455"/>
      <c r="K68" s="120">
        <f>K62</f>
        <v>0</v>
      </c>
    </row>
    <row r="69" spans="1:18" ht="21.75" customHeight="1" thickTop="1" thickBot="1" x14ac:dyDescent="0.25">
      <c r="A69" s="95"/>
      <c r="B69" s="442" t="s">
        <v>47</v>
      </c>
      <c r="C69" s="442"/>
      <c r="D69" s="442"/>
      <c r="E69" s="442"/>
      <c r="F69" s="442"/>
      <c r="G69" s="442"/>
      <c r="H69" s="442"/>
      <c r="I69" s="442"/>
      <c r="J69" s="442"/>
      <c r="K69" s="105">
        <f>ROUND((K66+K67+K68),2)</f>
        <v>0</v>
      </c>
    </row>
    <row r="70" spans="1:18" s="121" customFormat="1" ht="21.75" customHeight="1" thickTop="1" thickBot="1" x14ac:dyDescent="0.3">
      <c r="A70" s="482"/>
      <c r="B70" s="483"/>
      <c r="C70" s="483"/>
      <c r="D70" s="483"/>
      <c r="E70" s="483"/>
      <c r="F70" s="483"/>
      <c r="G70" s="483"/>
      <c r="H70" s="483"/>
      <c r="I70" s="483"/>
      <c r="J70" s="483"/>
      <c r="K70" s="483"/>
    </row>
    <row r="71" spans="1:18" s="121" customFormat="1" ht="21.75" customHeight="1" thickTop="1" thickBot="1" x14ac:dyDescent="0.3">
      <c r="A71" s="423" t="s">
        <v>71</v>
      </c>
      <c r="B71" s="424"/>
      <c r="C71" s="424"/>
      <c r="D71" s="424"/>
      <c r="E71" s="424"/>
      <c r="F71" s="424"/>
      <c r="G71" s="424"/>
      <c r="H71" s="424"/>
      <c r="I71" s="424"/>
      <c r="J71" s="424"/>
      <c r="K71" s="426"/>
    </row>
    <row r="72" spans="1:18" s="121" customFormat="1" ht="21.75" customHeight="1" thickTop="1" thickBot="1" x14ac:dyDescent="0.3">
      <c r="A72" s="122" t="s">
        <v>23</v>
      </c>
      <c r="B72" s="459" t="s">
        <v>72</v>
      </c>
      <c r="C72" s="459"/>
      <c r="D72" s="459"/>
      <c r="E72" s="459"/>
      <c r="F72" s="459"/>
      <c r="G72" s="459"/>
      <c r="H72" s="459"/>
      <c r="I72" s="459"/>
      <c r="J72" s="123">
        <f>L72</f>
        <v>4.1666666666666666E-3</v>
      </c>
      <c r="K72" s="124">
        <f>J72*$K$33</f>
        <v>0</v>
      </c>
      <c r="L72" s="478">
        <f>0.05*(1/12)</f>
        <v>4.1666666666666666E-3</v>
      </c>
      <c r="M72" s="479"/>
      <c r="N72" s="121" t="s">
        <v>73</v>
      </c>
    </row>
    <row r="73" spans="1:18" s="121" customFormat="1" ht="21.75" customHeight="1" thickTop="1" thickBot="1" x14ac:dyDescent="0.3">
      <c r="A73" s="122" t="s">
        <v>25</v>
      </c>
      <c r="B73" s="459" t="s">
        <v>74</v>
      </c>
      <c r="C73" s="459"/>
      <c r="D73" s="459"/>
      <c r="E73" s="459"/>
      <c r="F73" s="459"/>
      <c r="G73" s="459"/>
      <c r="H73" s="459"/>
      <c r="I73" s="459"/>
      <c r="J73" s="123">
        <f>L73</f>
        <v>3.3333333333333332E-4</v>
      </c>
      <c r="K73" s="124">
        <f t="shared" ref="K73:K75" si="0">J73*$K$33</f>
        <v>0</v>
      </c>
      <c r="L73" s="480">
        <f>0.08*J72</f>
        <v>3.3333333333333332E-4</v>
      </c>
      <c r="M73" s="481"/>
    </row>
    <row r="74" spans="1:18" s="121" customFormat="1" ht="28.15" customHeight="1" thickTop="1" thickBot="1" x14ac:dyDescent="0.3">
      <c r="A74" s="122" t="s">
        <v>28</v>
      </c>
      <c r="B74" s="472" t="s">
        <v>75</v>
      </c>
      <c r="C74" s="472"/>
      <c r="D74" s="472"/>
      <c r="E74" s="472"/>
      <c r="F74" s="472"/>
      <c r="G74" s="472"/>
      <c r="H74" s="472"/>
      <c r="I74" s="472"/>
      <c r="J74" s="125">
        <f>L74</f>
        <v>3.4799999999999998E-2</v>
      </c>
      <c r="K74" s="124">
        <f t="shared" si="0"/>
        <v>0</v>
      </c>
      <c r="L74" s="473">
        <f>(0.08*(0.4)*0.9)*((1+5/56+5/56)+(1/3*5/56))</f>
        <v>3.4799999999999998E-2</v>
      </c>
      <c r="M74" s="474"/>
      <c r="N74" s="126"/>
      <c r="O74" s="127"/>
      <c r="P74" s="127"/>
      <c r="Q74" s="127"/>
      <c r="R74" s="127"/>
    </row>
    <row r="75" spans="1:18" s="121" customFormat="1" ht="21.75" customHeight="1" thickTop="1" thickBot="1" x14ac:dyDescent="0.3">
      <c r="A75" s="122" t="s">
        <v>33</v>
      </c>
      <c r="B75" s="459" t="s">
        <v>76</v>
      </c>
      <c r="C75" s="459"/>
      <c r="D75" s="459"/>
      <c r="E75" s="459"/>
      <c r="F75" s="459"/>
      <c r="G75" s="459"/>
      <c r="H75" s="459"/>
      <c r="I75" s="459"/>
      <c r="J75" s="125">
        <f>L75</f>
        <v>1.9444444444444445E-2</v>
      </c>
      <c r="K75" s="124">
        <f t="shared" si="0"/>
        <v>0</v>
      </c>
      <c r="L75" s="473">
        <f>(7/30)/12</f>
        <v>1.9444444444444445E-2</v>
      </c>
      <c r="M75" s="474"/>
    </row>
    <row r="76" spans="1:18" s="121" customFormat="1" ht="30" customHeight="1" thickTop="1" thickBot="1" x14ac:dyDescent="0.3">
      <c r="A76" s="122" t="s">
        <v>35</v>
      </c>
      <c r="B76" s="459" t="s">
        <v>77</v>
      </c>
      <c r="C76" s="459"/>
      <c r="D76" s="459"/>
      <c r="E76" s="459"/>
      <c r="F76" s="459"/>
      <c r="G76" s="459"/>
      <c r="H76" s="459"/>
      <c r="I76" s="459"/>
      <c r="J76" s="123">
        <f>J52*J75</f>
        <v>7.1555555555555565E-3</v>
      </c>
      <c r="K76" s="124">
        <f>K33*J76</f>
        <v>0</v>
      </c>
      <c r="L76" s="470">
        <f>J75*J52</f>
        <v>7.1555555555555565E-3</v>
      </c>
      <c r="M76" s="471"/>
      <c r="N76" s="128"/>
    </row>
    <row r="77" spans="1:18" s="121" customFormat="1" ht="30" customHeight="1" thickTop="1" thickBot="1" x14ac:dyDescent="0.3">
      <c r="A77" s="122" t="s">
        <v>37</v>
      </c>
      <c r="B77" s="472" t="s">
        <v>78</v>
      </c>
      <c r="C77" s="472"/>
      <c r="D77" s="472"/>
      <c r="E77" s="472"/>
      <c r="F77" s="472"/>
      <c r="G77" s="472"/>
      <c r="H77" s="472"/>
      <c r="I77" s="472"/>
      <c r="J77" s="123">
        <f>L77</f>
        <v>6.2222222222222225E-4</v>
      </c>
      <c r="K77" s="124">
        <f>J77*(K33+K40)</f>
        <v>0</v>
      </c>
      <c r="L77" s="473">
        <f>0.08*(0.4)*J75</f>
        <v>6.2222222222222225E-4</v>
      </c>
      <c r="M77" s="474"/>
      <c r="O77" s="129"/>
    </row>
    <row r="78" spans="1:18" s="121" customFormat="1" ht="21.75" customHeight="1" thickTop="1" thickBot="1" x14ac:dyDescent="0.3">
      <c r="A78" s="423" t="s">
        <v>47</v>
      </c>
      <c r="B78" s="424"/>
      <c r="C78" s="424"/>
      <c r="D78" s="424"/>
      <c r="E78" s="424"/>
      <c r="F78" s="424"/>
      <c r="G78" s="424"/>
      <c r="H78" s="424"/>
      <c r="I78" s="424"/>
      <c r="J78" s="130"/>
      <c r="K78" s="131">
        <f>ROUND(K72+K73+K74+K75+K76+K77,2)</f>
        <v>0</v>
      </c>
    </row>
    <row r="79" spans="1:18" s="121" customFormat="1" ht="21.75" customHeight="1" thickTop="1" x14ac:dyDescent="0.25">
      <c r="A79" s="464" t="s">
        <v>155</v>
      </c>
      <c r="B79" s="465"/>
      <c r="C79" s="465"/>
      <c r="D79" s="465"/>
      <c r="E79" s="465"/>
      <c r="F79" s="465"/>
      <c r="G79" s="465"/>
      <c r="H79" s="465"/>
      <c r="I79" s="465"/>
      <c r="J79" s="465"/>
      <c r="K79" s="466"/>
    </row>
    <row r="80" spans="1:18" s="121" customFormat="1" ht="21.75" customHeight="1" x14ac:dyDescent="0.25">
      <c r="A80" s="475"/>
      <c r="B80" s="476"/>
      <c r="C80" s="476"/>
      <c r="D80" s="476"/>
      <c r="E80" s="476"/>
      <c r="F80" s="476"/>
      <c r="G80" s="476"/>
      <c r="H80" s="476"/>
      <c r="I80" s="476"/>
      <c r="J80" s="476"/>
      <c r="K80" s="477"/>
    </row>
    <row r="81" spans="1:18" s="121" customFormat="1" ht="12.6" customHeight="1" thickBot="1" x14ac:dyDescent="0.3">
      <c r="A81" s="467"/>
      <c r="B81" s="468"/>
      <c r="C81" s="468"/>
      <c r="D81" s="468"/>
      <c r="E81" s="468"/>
      <c r="F81" s="468"/>
      <c r="G81" s="468"/>
      <c r="H81" s="468"/>
      <c r="I81" s="468"/>
      <c r="J81" s="468"/>
      <c r="K81" s="469"/>
    </row>
    <row r="82" spans="1:18" s="121" customFormat="1" ht="21.75" customHeight="1" thickTop="1" thickBot="1" x14ac:dyDescent="0.3">
      <c r="A82" s="423" t="s">
        <v>80</v>
      </c>
      <c r="B82" s="424"/>
      <c r="C82" s="424"/>
      <c r="D82" s="424"/>
      <c r="E82" s="424"/>
      <c r="F82" s="424"/>
      <c r="G82" s="424"/>
      <c r="H82" s="424"/>
      <c r="I82" s="424"/>
      <c r="J82" s="424"/>
      <c r="K82" s="426"/>
    </row>
    <row r="83" spans="1:18" s="121" customFormat="1" ht="21.75" customHeight="1" thickTop="1" thickBot="1" x14ac:dyDescent="0.3">
      <c r="A83" s="423" t="s">
        <v>144</v>
      </c>
      <c r="B83" s="424"/>
      <c r="C83" s="424"/>
      <c r="D83" s="424"/>
      <c r="E83" s="424"/>
      <c r="F83" s="424"/>
      <c r="G83" s="424"/>
      <c r="H83" s="424"/>
      <c r="I83" s="424"/>
      <c r="J83" s="424"/>
      <c r="K83" s="426"/>
    </row>
    <row r="84" spans="1:18" s="121" customFormat="1" ht="21.75" customHeight="1" thickTop="1" thickBot="1" x14ac:dyDescent="0.3">
      <c r="A84" s="132" t="s">
        <v>23</v>
      </c>
      <c r="B84" s="459" t="s">
        <v>82</v>
      </c>
      <c r="C84" s="459"/>
      <c r="D84" s="459"/>
      <c r="E84" s="459"/>
      <c r="F84" s="459"/>
      <c r="G84" s="459"/>
      <c r="H84" s="459"/>
      <c r="I84" s="459"/>
      <c r="J84" s="125">
        <f>L84</f>
        <v>9.0909090909090912E-2</v>
      </c>
      <c r="K84" s="124">
        <f>J84*$K$33</f>
        <v>0</v>
      </c>
      <c r="L84" s="133">
        <f>(5/55)</f>
        <v>9.0909090909090912E-2</v>
      </c>
      <c r="M84" s="134"/>
    </row>
    <row r="85" spans="1:18" s="121" customFormat="1" ht="21.75" customHeight="1" thickTop="1" thickBot="1" x14ac:dyDescent="0.3">
      <c r="A85" s="132" t="s">
        <v>25</v>
      </c>
      <c r="B85" s="459" t="s">
        <v>83</v>
      </c>
      <c r="C85" s="459"/>
      <c r="D85" s="459"/>
      <c r="E85" s="459"/>
      <c r="F85" s="459"/>
      <c r="G85" s="459"/>
      <c r="H85" s="459"/>
      <c r="I85" s="459"/>
      <c r="J85" s="123">
        <f>L85</f>
        <v>1.3698630136986301E-2</v>
      </c>
      <c r="K85" s="124">
        <f t="shared" ref="K85:K89" si="1">J85*$K$33</f>
        <v>0</v>
      </c>
      <c r="L85" s="133">
        <f>5/365</f>
        <v>1.3698630136986301E-2</v>
      </c>
      <c r="M85" s="135"/>
      <c r="N85" s="136"/>
      <c r="O85" s="136"/>
      <c r="P85" s="136"/>
    </row>
    <row r="86" spans="1:18" s="121" customFormat="1" ht="21.75" customHeight="1" thickTop="1" thickBot="1" x14ac:dyDescent="0.3">
      <c r="A86" s="132" t="s">
        <v>28</v>
      </c>
      <c r="B86" s="459" t="s">
        <v>84</v>
      </c>
      <c r="C86" s="459"/>
      <c r="D86" s="459"/>
      <c r="E86" s="459"/>
      <c r="F86" s="459"/>
      <c r="G86" s="459"/>
      <c r="H86" s="459"/>
      <c r="I86" s="459"/>
      <c r="J86" s="123">
        <f>L86</f>
        <v>2.0547945205479451E-4</v>
      </c>
      <c r="K86" s="124">
        <f t="shared" si="1"/>
        <v>0</v>
      </c>
      <c r="L86" s="133">
        <f>5/365*0.015</f>
        <v>2.0547945205479451E-4</v>
      </c>
      <c r="M86" s="137"/>
    </row>
    <row r="87" spans="1:18" s="121" customFormat="1" ht="21.75" customHeight="1" thickTop="1" thickBot="1" x14ac:dyDescent="0.3">
      <c r="A87" s="132" t="s">
        <v>33</v>
      </c>
      <c r="B87" s="459" t="s">
        <v>85</v>
      </c>
      <c r="C87" s="459"/>
      <c r="D87" s="459"/>
      <c r="E87" s="459"/>
      <c r="F87" s="459"/>
      <c r="G87" s="459"/>
      <c r="H87" s="459"/>
      <c r="I87" s="459"/>
      <c r="J87" s="123">
        <f>L87</f>
        <v>3.2876712328767121E-3</v>
      </c>
      <c r="K87" s="124">
        <f t="shared" si="1"/>
        <v>0</v>
      </c>
      <c r="L87" s="133">
        <f>15/365*0.08</f>
        <v>3.2876712328767121E-3</v>
      </c>
      <c r="M87" s="137"/>
    </row>
    <row r="88" spans="1:18" s="121" customFormat="1" ht="21.75" customHeight="1" thickTop="1" thickBot="1" x14ac:dyDescent="0.3">
      <c r="A88" s="132" t="s">
        <v>35</v>
      </c>
      <c r="B88" s="459" t="s">
        <v>86</v>
      </c>
      <c r="C88" s="459"/>
      <c r="D88" s="459"/>
      <c r="E88" s="459"/>
      <c r="F88" s="459"/>
      <c r="G88" s="459"/>
      <c r="H88" s="459"/>
      <c r="I88" s="459"/>
      <c r="J88" s="123">
        <f>M88</f>
        <v>1.6133333333333334E-3</v>
      </c>
      <c r="K88" s="124">
        <f t="shared" si="1"/>
        <v>0</v>
      </c>
      <c r="L88"/>
      <c r="M88" s="138">
        <f>((0.121*4)/12*0.04)</f>
        <v>1.6133333333333334E-3</v>
      </c>
      <c r="N88" s="139"/>
      <c r="Q88" s="140"/>
      <c r="R88" s="141"/>
    </row>
    <row r="89" spans="1:18" s="121" customFormat="1" ht="21.75" customHeight="1" thickTop="1" thickBot="1" x14ac:dyDescent="0.3">
      <c r="A89" s="132" t="s">
        <v>37</v>
      </c>
      <c r="B89" s="459" t="s">
        <v>87</v>
      </c>
      <c r="C89" s="459"/>
      <c r="D89" s="459"/>
      <c r="E89" s="459"/>
      <c r="F89" s="459"/>
      <c r="G89" s="459"/>
      <c r="H89" s="459"/>
      <c r="I89" s="459"/>
      <c r="J89" s="125">
        <v>0</v>
      </c>
      <c r="K89" s="124">
        <f t="shared" si="1"/>
        <v>0</v>
      </c>
      <c r="L89"/>
      <c r="M89" s="137"/>
    </row>
    <row r="90" spans="1:18" s="121" customFormat="1" ht="21.75" customHeight="1" thickTop="1" thickBot="1" x14ac:dyDescent="0.3">
      <c r="A90" s="132" t="s">
        <v>39</v>
      </c>
      <c r="B90" s="459" t="s">
        <v>88</v>
      </c>
      <c r="C90" s="459"/>
      <c r="D90" s="459"/>
      <c r="E90" s="459"/>
      <c r="F90" s="459"/>
      <c r="G90" s="459"/>
      <c r="H90" s="459"/>
      <c r="I90" s="459"/>
      <c r="J90" s="125">
        <f>(J84+J85+J86+J87+J88+J89)*J52</f>
        <v>4.0374827463677876E-2</v>
      </c>
      <c r="K90" s="124">
        <f>K33*J90</f>
        <v>0</v>
      </c>
      <c r="L90" s="137"/>
      <c r="M90" s="137"/>
      <c r="Q90" s="142"/>
    </row>
    <row r="91" spans="1:18" s="121" customFormat="1" ht="21.75" customHeight="1" thickTop="1" thickBot="1" x14ac:dyDescent="0.3">
      <c r="A91" s="423" t="s">
        <v>47</v>
      </c>
      <c r="B91" s="424"/>
      <c r="C91" s="424"/>
      <c r="D91" s="424"/>
      <c r="E91" s="424"/>
      <c r="F91" s="424"/>
      <c r="G91" s="424"/>
      <c r="H91" s="424"/>
      <c r="I91" s="426"/>
      <c r="J91" s="143">
        <f>SUM(J84:J90)</f>
        <v>0.15008903252801992</v>
      </c>
      <c r="K91" s="131">
        <f>ROUND(K84+K85+K86+K87+K88+K90,2)</f>
        <v>0</v>
      </c>
    </row>
    <row r="92" spans="1:18" s="121" customFormat="1" ht="21.75" customHeight="1" thickTop="1" x14ac:dyDescent="0.25">
      <c r="A92" s="464" t="s">
        <v>156</v>
      </c>
      <c r="B92" s="465"/>
      <c r="C92" s="465"/>
      <c r="D92" s="465"/>
      <c r="E92" s="465"/>
      <c r="F92" s="465"/>
      <c r="G92" s="465"/>
      <c r="H92" s="465"/>
      <c r="I92" s="465"/>
      <c r="J92" s="465"/>
      <c r="K92" s="466"/>
    </row>
    <row r="93" spans="1:18" s="121" customFormat="1" ht="27" customHeight="1" thickBot="1" x14ac:dyDescent="0.3">
      <c r="A93" s="467"/>
      <c r="B93" s="468"/>
      <c r="C93" s="468"/>
      <c r="D93" s="468"/>
      <c r="E93" s="468"/>
      <c r="F93" s="468"/>
      <c r="G93" s="468"/>
      <c r="H93" s="468"/>
      <c r="I93" s="468"/>
      <c r="J93" s="468"/>
      <c r="K93" s="469"/>
    </row>
    <row r="94" spans="1:18" s="121" customFormat="1" ht="21.75" customHeight="1" thickTop="1" thickBot="1" x14ac:dyDescent="0.3">
      <c r="A94" s="423" t="s">
        <v>90</v>
      </c>
      <c r="B94" s="424"/>
      <c r="C94" s="424"/>
      <c r="D94" s="424"/>
      <c r="E94" s="424"/>
      <c r="F94" s="424"/>
      <c r="G94" s="424"/>
      <c r="H94" s="424"/>
      <c r="I94" s="424"/>
      <c r="J94" s="424"/>
      <c r="K94" s="426"/>
    </row>
    <row r="95" spans="1:18" s="121" customFormat="1" ht="21.75" customHeight="1" thickTop="1" thickBot="1" x14ac:dyDescent="0.25">
      <c r="A95" s="95" t="s">
        <v>23</v>
      </c>
      <c r="B95" s="459" t="s">
        <v>91</v>
      </c>
      <c r="C95" s="459"/>
      <c r="D95" s="459"/>
      <c r="E95" s="459"/>
      <c r="F95" s="459"/>
      <c r="G95" s="459"/>
      <c r="H95" s="459"/>
      <c r="I95" s="459"/>
      <c r="J95" s="144">
        <v>0</v>
      </c>
      <c r="K95" s="102">
        <f>J95*L95</f>
        <v>0</v>
      </c>
      <c r="L95" s="136"/>
      <c r="M95" s="127"/>
      <c r="R95" s="145"/>
    </row>
    <row r="96" spans="1:18" s="121" customFormat="1" ht="21.75" customHeight="1" thickTop="1" thickBot="1" x14ac:dyDescent="0.3">
      <c r="A96" s="95"/>
      <c r="B96" s="460" t="s">
        <v>47</v>
      </c>
      <c r="C96" s="460"/>
      <c r="D96" s="460"/>
      <c r="E96" s="460"/>
      <c r="F96" s="460"/>
      <c r="G96" s="460"/>
      <c r="H96" s="460"/>
      <c r="I96" s="460"/>
      <c r="J96" s="146"/>
      <c r="K96" s="102">
        <f>K95</f>
        <v>0</v>
      </c>
      <c r="L96" s="136"/>
    </row>
    <row r="97" spans="1:13" s="121" customFormat="1" ht="35.450000000000003" customHeight="1" thickTop="1" thickBot="1" x14ac:dyDescent="0.3">
      <c r="A97" s="439" t="s">
        <v>157</v>
      </c>
      <c r="B97" s="440"/>
      <c r="C97" s="440"/>
      <c r="D97" s="440"/>
      <c r="E97" s="440"/>
      <c r="F97" s="440"/>
      <c r="G97" s="440"/>
      <c r="H97" s="440"/>
      <c r="I97" s="440"/>
      <c r="J97" s="440"/>
      <c r="K97" s="441"/>
    </row>
    <row r="98" spans="1:13" s="121" customFormat="1" ht="21.75" customHeight="1" thickTop="1" thickBot="1" x14ac:dyDescent="0.3">
      <c r="A98" s="423" t="s">
        <v>93</v>
      </c>
      <c r="B98" s="424"/>
      <c r="C98" s="424"/>
      <c r="D98" s="424"/>
      <c r="E98" s="424"/>
      <c r="F98" s="424"/>
      <c r="G98" s="424"/>
      <c r="H98" s="424"/>
      <c r="I98" s="424"/>
      <c r="J98" s="424"/>
      <c r="K98" s="426"/>
    </row>
    <row r="99" spans="1:13" s="121" customFormat="1" ht="21.75" customHeight="1" thickTop="1" thickBot="1" x14ac:dyDescent="0.3">
      <c r="A99" s="95" t="s">
        <v>94</v>
      </c>
      <c r="B99" s="461" t="s">
        <v>95</v>
      </c>
      <c r="C99" s="462"/>
      <c r="D99" s="462"/>
      <c r="E99" s="462"/>
      <c r="F99" s="462"/>
      <c r="G99" s="462"/>
      <c r="H99" s="462"/>
      <c r="I99" s="462"/>
      <c r="J99" s="463"/>
      <c r="K99" s="104">
        <f>K91</f>
        <v>0</v>
      </c>
    </row>
    <row r="100" spans="1:13" s="121" customFormat="1" ht="21.75" customHeight="1" thickTop="1" thickBot="1" x14ac:dyDescent="0.3">
      <c r="A100" s="95" t="s">
        <v>96</v>
      </c>
      <c r="B100" s="461" t="s">
        <v>97</v>
      </c>
      <c r="C100" s="462"/>
      <c r="D100" s="462"/>
      <c r="E100" s="462"/>
      <c r="F100" s="462"/>
      <c r="G100" s="462"/>
      <c r="H100" s="462"/>
      <c r="I100" s="462"/>
      <c r="J100" s="463"/>
      <c r="K100" s="104">
        <f>K96</f>
        <v>0</v>
      </c>
    </row>
    <row r="101" spans="1:13" s="121" customFormat="1" ht="21.75" customHeight="1" thickTop="1" thickBot="1" x14ac:dyDescent="0.3">
      <c r="A101" s="95"/>
      <c r="B101" s="442" t="s">
        <v>47</v>
      </c>
      <c r="C101" s="442"/>
      <c r="D101" s="442"/>
      <c r="E101" s="442"/>
      <c r="F101" s="442"/>
      <c r="G101" s="442"/>
      <c r="H101" s="442"/>
      <c r="I101" s="442"/>
      <c r="J101" s="442"/>
      <c r="K101" s="131">
        <f>K99+K100</f>
        <v>0</v>
      </c>
    </row>
    <row r="102" spans="1:13" s="121" customFormat="1" ht="21.75" customHeight="1" thickTop="1" thickBot="1" x14ac:dyDescent="0.3">
      <c r="A102" s="439"/>
      <c r="B102" s="440"/>
      <c r="C102" s="440"/>
      <c r="D102" s="440"/>
      <c r="E102" s="440"/>
      <c r="F102" s="440"/>
      <c r="G102" s="440"/>
      <c r="H102" s="440"/>
      <c r="I102" s="440"/>
      <c r="J102" s="440"/>
      <c r="K102" s="441"/>
    </row>
    <row r="103" spans="1:13" ht="21.75" customHeight="1" thickTop="1" thickBot="1" x14ac:dyDescent="0.25">
      <c r="A103" s="423" t="s">
        <v>98</v>
      </c>
      <c r="B103" s="424"/>
      <c r="C103" s="424"/>
      <c r="D103" s="424"/>
      <c r="E103" s="424"/>
      <c r="F103" s="424"/>
      <c r="G103" s="424"/>
      <c r="H103" s="424"/>
      <c r="I103" s="424"/>
      <c r="J103" s="426"/>
      <c r="K103" s="95" t="s">
        <v>99</v>
      </c>
    </row>
    <row r="104" spans="1:13" ht="21.75" customHeight="1" thickTop="1" thickBot="1" x14ac:dyDescent="0.25">
      <c r="A104" s="95" t="s">
        <v>23</v>
      </c>
      <c r="B104" s="455" t="s">
        <v>100</v>
      </c>
      <c r="C104" s="455"/>
      <c r="D104" s="455"/>
      <c r="E104" s="455"/>
      <c r="F104" s="455"/>
      <c r="G104" s="455"/>
      <c r="H104" s="455"/>
      <c r="I104" s="455"/>
      <c r="J104" s="455"/>
      <c r="K104" s="147">
        <f>'Insumos Sede'!I101</f>
        <v>0</v>
      </c>
    </row>
    <row r="105" spans="1:13" ht="21.75" customHeight="1" thickTop="1" thickBot="1" x14ac:dyDescent="0.25">
      <c r="A105" s="95" t="s">
        <v>25</v>
      </c>
      <c r="B105" s="455" t="s">
        <v>101</v>
      </c>
      <c r="C105" s="455"/>
      <c r="D105" s="455"/>
      <c r="E105" s="456" t="s">
        <v>102</v>
      </c>
      <c r="F105" s="456"/>
      <c r="G105" s="456"/>
      <c r="H105" s="456"/>
      <c r="I105" s="456"/>
      <c r="J105" s="456"/>
      <c r="K105" s="147">
        <v>0</v>
      </c>
    </row>
    <row r="106" spans="1:13" ht="21.75" customHeight="1" thickTop="1" thickBot="1" x14ac:dyDescent="0.25">
      <c r="A106" s="95" t="s">
        <v>28</v>
      </c>
      <c r="B106" s="455" t="s">
        <v>103</v>
      </c>
      <c r="C106" s="455"/>
      <c r="D106" s="455"/>
      <c r="E106" s="456" t="s">
        <v>102</v>
      </c>
      <c r="F106" s="456"/>
      <c r="G106" s="456"/>
      <c r="H106" s="456"/>
      <c r="I106" s="456"/>
      <c r="J106" s="456"/>
      <c r="K106" s="147">
        <v>0</v>
      </c>
    </row>
    <row r="107" spans="1:13" ht="21.75" customHeight="1" thickTop="1" thickBot="1" x14ac:dyDescent="0.25">
      <c r="A107" s="442" t="s">
        <v>33</v>
      </c>
      <c r="B107" s="457" t="s">
        <v>87</v>
      </c>
      <c r="C107" s="457"/>
      <c r="D107" s="458" t="s">
        <v>104</v>
      </c>
      <c r="E107" s="458"/>
      <c r="F107" s="458"/>
      <c r="G107" s="458"/>
      <c r="H107" s="458"/>
      <c r="I107" s="458"/>
      <c r="J107" s="458"/>
      <c r="K107" s="147">
        <v>0</v>
      </c>
    </row>
    <row r="108" spans="1:13" ht="21.75" customHeight="1" thickTop="1" thickBot="1" x14ac:dyDescent="0.25">
      <c r="A108" s="442"/>
      <c r="B108" s="457"/>
      <c r="C108" s="457"/>
      <c r="D108" s="458" t="s">
        <v>104</v>
      </c>
      <c r="E108" s="458"/>
      <c r="F108" s="458"/>
      <c r="G108" s="458"/>
      <c r="H108" s="458"/>
      <c r="I108" s="458"/>
      <c r="J108" s="458"/>
      <c r="K108" s="147">
        <f>J108*K33</f>
        <v>0</v>
      </c>
    </row>
    <row r="109" spans="1:13" s="121" customFormat="1" ht="21.75" customHeight="1" thickTop="1" thickBot="1" x14ac:dyDescent="0.3">
      <c r="A109" s="423" t="s">
        <v>105</v>
      </c>
      <c r="B109" s="424"/>
      <c r="C109" s="424"/>
      <c r="D109" s="424"/>
      <c r="E109" s="424"/>
      <c r="F109" s="424"/>
      <c r="G109" s="424"/>
      <c r="H109" s="424"/>
      <c r="I109" s="424"/>
      <c r="J109" s="426"/>
      <c r="K109" s="131">
        <f>SUM(K104:K108)</f>
        <v>0</v>
      </c>
    </row>
    <row r="110" spans="1:13" s="121" customFormat="1" ht="21.75" customHeight="1" thickTop="1" thickBot="1" x14ac:dyDescent="0.3">
      <c r="A110" s="439" t="s">
        <v>158</v>
      </c>
      <c r="B110" s="440"/>
      <c r="C110" s="440"/>
      <c r="D110" s="440"/>
      <c r="E110" s="440"/>
      <c r="F110" s="440"/>
      <c r="G110" s="440"/>
      <c r="H110" s="440"/>
      <c r="I110" s="440"/>
      <c r="J110" s="440"/>
      <c r="K110" s="441"/>
    </row>
    <row r="111" spans="1:13" s="121" customFormat="1" ht="21.75" customHeight="1" thickTop="1" thickBot="1" x14ac:dyDescent="0.3">
      <c r="A111" s="423" t="s">
        <v>107</v>
      </c>
      <c r="B111" s="424"/>
      <c r="C111" s="424"/>
      <c r="D111" s="424"/>
      <c r="E111" s="424"/>
      <c r="F111" s="424"/>
      <c r="G111" s="424"/>
      <c r="H111" s="424"/>
      <c r="I111" s="424"/>
      <c r="J111" s="426"/>
      <c r="K111" s="95" t="s">
        <v>22</v>
      </c>
    </row>
    <row r="112" spans="1:13" s="121" customFormat="1" ht="21.75" customHeight="1" thickTop="1" thickBot="1" x14ac:dyDescent="0.3">
      <c r="A112" s="95" t="s">
        <v>23</v>
      </c>
      <c r="B112" s="86" t="s">
        <v>108</v>
      </c>
      <c r="C112" s="86"/>
      <c r="D112" s="86"/>
      <c r="E112" s="86"/>
      <c r="F112" s="86"/>
      <c r="G112" s="86"/>
      <c r="H112" s="86"/>
      <c r="I112" s="86"/>
      <c r="J112" s="340">
        <v>0.03</v>
      </c>
      <c r="K112" s="124">
        <f>J112*K132</f>
        <v>0</v>
      </c>
      <c r="L112" s="137" t="s">
        <v>109</v>
      </c>
      <c r="M112" s="137"/>
    </row>
    <row r="113" spans="1:13" s="121" customFormat="1" ht="21.75" customHeight="1" thickTop="1" thickBot="1" x14ac:dyDescent="0.3">
      <c r="A113" s="95" t="s">
        <v>25</v>
      </c>
      <c r="B113" s="86" t="s">
        <v>110</v>
      </c>
      <c r="C113" s="86"/>
      <c r="D113" s="86"/>
      <c r="E113" s="86"/>
      <c r="F113" s="86"/>
      <c r="G113" s="86"/>
      <c r="H113" s="86"/>
      <c r="I113" s="86"/>
      <c r="J113" s="340">
        <v>6.7900000000000002E-2</v>
      </c>
      <c r="K113" s="124">
        <f>(K132+K112)*J113</f>
        <v>0</v>
      </c>
      <c r="L113" s="148"/>
      <c r="M113" s="137"/>
    </row>
    <row r="114" spans="1:13" s="121" customFormat="1" ht="21.75" customHeight="1" thickTop="1" thickBot="1" x14ac:dyDescent="0.3">
      <c r="A114" s="442" t="s">
        <v>28</v>
      </c>
      <c r="B114" s="86" t="s">
        <v>111</v>
      </c>
      <c r="C114" s="86"/>
      <c r="D114" s="86"/>
      <c r="E114" s="86"/>
      <c r="F114" s="86"/>
      <c r="G114" s="86"/>
      <c r="H114" s="86"/>
      <c r="I114" s="149" t="s">
        <v>112</v>
      </c>
      <c r="J114" s="136"/>
      <c r="K114" s="146"/>
    </row>
    <row r="115" spans="1:13" s="121" customFormat="1" ht="21.75" customHeight="1" thickTop="1" thickBot="1" x14ac:dyDescent="0.3">
      <c r="A115" s="442"/>
      <c r="B115" s="86"/>
      <c r="C115" s="150" t="s">
        <v>113</v>
      </c>
      <c r="D115" s="150"/>
      <c r="E115" s="150"/>
      <c r="F115" s="86" t="s">
        <v>114</v>
      </c>
      <c r="G115" s="151"/>
      <c r="H115" s="151"/>
      <c r="I115" s="443">
        <f>SUM(J115:J117)</f>
        <v>0.14250000000000002</v>
      </c>
      <c r="J115" s="152">
        <v>1.6500000000000001E-2</v>
      </c>
      <c r="K115" s="153">
        <f>((K132+K112+K113)/(1-I115))*J115</f>
        <v>0</v>
      </c>
    </row>
    <row r="116" spans="1:13" s="121" customFormat="1" ht="21.75" customHeight="1" thickTop="1" thickBot="1" x14ac:dyDescent="0.3">
      <c r="A116" s="442"/>
      <c r="B116" s="86"/>
      <c r="C116" s="86"/>
      <c r="D116" s="86"/>
      <c r="E116" s="86"/>
      <c r="F116" s="86" t="s">
        <v>115</v>
      </c>
      <c r="G116" s="151"/>
      <c r="H116" s="151"/>
      <c r="I116" s="444"/>
      <c r="J116" s="152">
        <v>7.5999999999999998E-2</v>
      </c>
      <c r="K116" s="153">
        <f>((K132+K112+K113)/(1-I115))*J116</f>
        <v>0</v>
      </c>
    </row>
    <row r="117" spans="1:13" s="121" customFormat="1" ht="21.75" customHeight="1" thickTop="1" thickBot="1" x14ac:dyDescent="0.3">
      <c r="A117" s="442"/>
      <c r="B117" s="150"/>
      <c r="C117" s="150" t="s">
        <v>116</v>
      </c>
      <c r="D117" s="150"/>
      <c r="E117" s="86"/>
      <c r="F117" s="86" t="s">
        <v>117</v>
      </c>
      <c r="G117" s="151"/>
      <c r="H117" s="151"/>
      <c r="I117" s="445"/>
      <c r="J117" s="152">
        <v>0.05</v>
      </c>
      <c r="K117" s="153">
        <f>((K132+K112+K113)/(1-I115))*J117</f>
        <v>0</v>
      </c>
    </row>
    <row r="118" spans="1:13" s="121" customFormat="1" ht="21.75" customHeight="1" thickTop="1" thickBot="1" x14ac:dyDescent="0.3">
      <c r="A118" s="154" t="s">
        <v>118</v>
      </c>
      <c r="B118" s="130"/>
      <c r="C118" s="130"/>
      <c r="D118" s="130"/>
      <c r="E118" s="130"/>
      <c r="F118" s="130"/>
      <c r="G118" s="130"/>
      <c r="H118" s="130"/>
      <c r="I118" s="130"/>
      <c r="J118" s="130"/>
      <c r="K118" s="131">
        <f>K112+K113+K115+K116+K117</f>
        <v>0</v>
      </c>
    </row>
    <row r="119" spans="1:13" s="121" customFormat="1" ht="37.15" customHeight="1" thickTop="1" thickBot="1" x14ac:dyDescent="0.3">
      <c r="A119" s="446" t="s">
        <v>159</v>
      </c>
      <c r="B119" s="447"/>
      <c r="C119" s="447"/>
      <c r="D119" s="447"/>
      <c r="E119" s="447"/>
      <c r="F119" s="447"/>
      <c r="G119" s="447"/>
      <c r="H119" s="447"/>
      <c r="I119" s="447"/>
      <c r="J119" s="447"/>
      <c r="K119" s="448"/>
    </row>
    <row r="120" spans="1:13" s="121" customFormat="1" ht="21.6" hidden="1" customHeight="1" x14ac:dyDescent="0.25">
      <c r="A120" s="449"/>
      <c r="B120" s="450"/>
      <c r="C120" s="450"/>
      <c r="D120" s="450"/>
      <c r="E120" s="450"/>
      <c r="F120" s="450"/>
      <c r="G120" s="450"/>
      <c r="H120" s="450"/>
      <c r="I120" s="450"/>
      <c r="J120" s="450"/>
      <c r="K120" s="451"/>
    </row>
    <row r="121" spans="1:13" s="121" customFormat="1" ht="21.6" hidden="1" customHeight="1" x14ac:dyDescent="0.25">
      <c r="A121" s="449"/>
      <c r="B121" s="450"/>
      <c r="C121" s="450"/>
      <c r="D121" s="450"/>
      <c r="E121" s="450"/>
      <c r="F121" s="450"/>
      <c r="G121" s="450"/>
      <c r="H121" s="450"/>
      <c r="I121" s="450"/>
      <c r="J121" s="450"/>
      <c r="K121" s="451"/>
    </row>
    <row r="122" spans="1:13" s="121" customFormat="1" ht="21.6" hidden="1" customHeight="1" x14ac:dyDescent="0.25">
      <c r="A122" s="449"/>
      <c r="B122" s="450"/>
      <c r="C122" s="450"/>
      <c r="D122" s="450"/>
      <c r="E122" s="450"/>
      <c r="F122" s="450"/>
      <c r="G122" s="450"/>
      <c r="H122" s="450"/>
      <c r="I122" s="450"/>
      <c r="J122" s="450"/>
      <c r="K122" s="451"/>
    </row>
    <row r="123" spans="1:13" s="121" customFormat="1" ht="21.6" hidden="1" customHeight="1" x14ac:dyDescent="0.25">
      <c r="A123" s="449"/>
      <c r="B123" s="450"/>
      <c r="C123" s="450"/>
      <c r="D123" s="450"/>
      <c r="E123" s="450"/>
      <c r="F123" s="450"/>
      <c r="G123" s="450"/>
      <c r="H123" s="450"/>
      <c r="I123" s="450"/>
      <c r="J123" s="450"/>
      <c r="K123" s="451"/>
    </row>
    <row r="124" spans="1:13" ht="21.6" hidden="1" customHeight="1" x14ac:dyDescent="0.2">
      <c r="A124" s="452"/>
      <c r="B124" s="453"/>
      <c r="C124" s="453"/>
      <c r="D124" s="453"/>
      <c r="E124" s="453"/>
      <c r="F124" s="453"/>
      <c r="G124" s="453"/>
      <c r="H124" s="453"/>
      <c r="I124" s="453"/>
      <c r="J124" s="453"/>
      <c r="K124" s="454"/>
    </row>
    <row r="125" spans="1:13" ht="21.75" customHeight="1" thickTop="1" thickBot="1" x14ac:dyDescent="0.25">
      <c r="A125" s="423" t="s">
        <v>120</v>
      </c>
      <c r="B125" s="424"/>
      <c r="C125" s="424"/>
      <c r="D125" s="424"/>
      <c r="E125" s="424"/>
      <c r="F125" s="424"/>
      <c r="G125" s="424"/>
      <c r="H125" s="424"/>
      <c r="I125" s="424"/>
      <c r="J125" s="424"/>
      <c r="K125" s="426"/>
    </row>
    <row r="126" spans="1:13" ht="21.75" customHeight="1" thickTop="1" thickBot="1" x14ac:dyDescent="0.25">
      <c r="A126" s="435" t="s">
        <v>121</v>
      </c>
      <c r="B126" s="436"/>
      <c r="C126" s="436"/>
      <c r="D126" s="436"/>
      <c r="E126" s="436"/>
      <c r="F126" s="436"/>
      <c r="G126" s="436"/>
      <c r="H126" s="436"/>
      <c r="I126" s="436"/>
      <c r="J126" s="437"/>
      <c r="K126" s="95" t="s">
        <v>99</v>
      </c>
    </row>
    <row r="127" spans="1:13" ht="21.75" customHeight="1" thickTop="1" thickBot="1" x14ac:dyDescent="0.25">
      <c r="A127" s="95" t="s">
        <v>23</v>
      </c>
      <c r="B127" s="427" t="s">
        <v>122</v>
      </c>
      <c r="C127" s="428"/>
      <c r="D127" s="428"/>
      <c r="E127" s="428"/>
      <c r="F127" s="428"/>
      <c r="G127" s="428"/>
      <c r="H127" s="428"/>
      <c r="I127" s="428"/>
      <c r="J127" s="429"/>
      <c r="K127" s="104">
        <f>K33</f>
        <v>0</v>
      </c>
    </row>
    <row r="128" spans="1:13" ht="21.75" customHeight="1" thickTop="1" thickBot="1" x14ac:dyDescent="0.25">
      <c r="A128" s="95" t="s">
        <v>25</v>
      </c>
      <c r="B128" s="438" t="s">
        <v>123</v>
      </c>
      <c r="C128" s="438"/>
      <c r="D128" s="438"/>
      <c r="E128" s="438"/>
      <c r="F128" s="438"/>
      <c r="G128" s="438"/>
      <c r="H128" s="438"/>
      <c r="I128" s="438"/>
      <c r="J128" s="438"/>
      <c r="K128" s="104">
        <f>K69</f>
        <v>0</v>
      </c>
    </row>
    <row r="129" spans="1:13" ht="21.75" customHeight="1" thickTop="1" thickBot="1" x14ac:dyDescent="0.25">
      <c r="A129" s="95" t="s">
        <v>28</v>
      </c>
      <c r="B129" s="427" t="s">
        <v>145</v>
      </c>
      <c r="C129" s="428"/>
      <c r="D129" s="428"/>
      <c r="E129" s="428"/>
      <c r="F129" s="428"/>
      <c r="G129" s="428"/>
      <c r="H129" s="428"/>
      <c r="I129" s="428"/>
      <c r="J129" s="429"/>
      <c r="K129" s="104">
        <f>K78</f>
        <v>0</v>
      </c>
    </row>
    <row r="130" spans="1:13" ht="21.75" customHeight="1" thickTop="1" thickBot="1" x14ac:dyDescent="0.25">
      <c r="A130" s="95" t="s">
        <v>33</v>
      </c>
      <c r="B130" s="427" t="s">
        <v>146</v>
      </c>
      <c r="C130" s="428"/>
      <c r="D130" s="428"/>
      <c r="E130" s="428"/>
      <c r="F130" s="428"/>
      <c r="G130" s="428"/>
      <c r="H130" s="428"/>
      <c r="I130" s="428"/>
      <c r="J130" s="429"/>
      <c r="K130" s="104">
        <f>K101</f>
        <v>0</v>
      </c>
    </row>
    <row r="131" spans="1:13" ht="21.75" customHeight="1" thickTop="1" thickBot="1" x14ac:dyDescent="0.25">
      <c r="A131" s="95" t="s">
        <v>35</v>
      </c>
      <c r="B131" s="427" t="s">
        <v>126</v>
      </c>
      <c r="C131" s="428"/>
      <c r="D131" s="428"/>
      <c r="E131" s="428"/>
      <c r="F131" s="428"/>
      <c r="G131" s="428"/>
      <c r="H131" s="428"/>
      <c r="I131" s="428"/>
      <c r="J131" s="429"/>
      <c r="K131" s="104">
        <f>K109</f>
        <v>0</v>
      </c>
    </row>
    <row r="132" spans="1:13" ht="21.75" customHeight="1" thickTop="1" thickBot="1" x14ac:dyDescent="0.25">
      <c r="A132" s="423" t="s">
        <v>127</v>
      </c>
      <c r="B132" s="424"/>
      <c r="C132" s="424"/>
      <c r="D132" s="424"/>
      <c r="E132" s="424"/>
      <c r="F132" s="424"/>
      <c r="G132" s="424"/>
      <c r="H132" s="424"/>
      <c r="I132" s="424"/>
      <c r="J132" s="426"/>
      <c r="K132" s="131">
        <f>SUM(K127:K131)</f>
        <v>0</v>
      </c>
      <c r="L132" s="156"/>
    </row>
    <row r="133" spans="1:13" s="121" customFormat="1" ht="21.75" customHeight="1" thickTop="1" thickBot="1" x14ac:dyDescent="0.3">
      <c r="A133" s="95" t="s">
        <v>37</v>
      </c>
      <c r="B133" s="427" t="s">
        <v>128</v>
      </c>
      <c r="C133" s="428"/>
      <c r="D133" s="428"/>
      <c r="E133" s="428"/>
      <c r="F133" s="428"/>
      <c r="G133" s="428"/>
      <c r="H133" s="428"/>
      <c r="I133" s="428"/>
      <c r="J133" s="429"/>
      <c r="K133" s="104">
        <f>K118</f>
        <v>0</v>
      </c>
    </row>
    <row r="134" spans="1:13" ht="34.15" customHeight="1" thickTop="1" thickBot="1" x14ac:dyDescent="0.25">
      <c r="A134" s="430" t="s">
        <v>129</v>
      </c>
      <c r="B134" s="431"/>
      <c r="C134" s="431"/>
      <c r="D134" s="431"/>
      <c r="E134" s="431"/>
      <c r="F134" s="431"/>
      <c r="G134" s="431"/>
      <c r="H134" s="431"/>
      <c r="I134" s="431"/>
      <c r="J134" s="432"/>
      <c r="K134" s="157">
        <f>SUM(K132+K133)</f>
        <v>0</v>
      </c>
    </row>
    <row r="135" spans="1:13" ht="21.75" customHeight="1" thickTop="1" thickBot="1" x14ac:dyDescent="0.25">
      <c r="A135" s="81"/>
      <c r="B135" s="82"/>
      <c r="C135" s="82"/>
      <c r="D135" s="82"/>
      <c r="E135" s="82"/>
      <c r="F135" s="82"/>
      <c r="G135" s="82"/>
      <c r="H135" s="82"/>
      <c r="I135" s="82"/>
      <c r="J135" s="82"/>
      <c r="K135" s="79"/>
    </row>
    <row r="136" spans="1:13" ht="21.75" customHeight="1" thickTop="1" thickBot="1" x14ac:dyDescent="0.25">
      <c r="A136" s="423" t="s">
        <v>130</v>
      </c>
      <c r="B136" s="424"/>
      <c r="C136" s="424"/>
      <c r="D136" s="424"/>
      <c r="E136" s="424"/>
      <c r="F136" s="424"/>
      <c r="G136" s="424"/>
      <c r="H136" s="424"/>
      <c r="I136" s="424"/>
      <c r="J136" s="424"/>
      <c r="K136" s="426"/>
    </row>
    <row r="137" spans="1:13" ht="45" customHeight="1" thickTop="1" thickBot="1" x14ac:dyDescent="0.25">
      <c r="A137" s="430" t="s">
        <v>131</v>
      </c>
      <c r="B137" s="431"/>
      <c r="C137" s="433"/>
      <c r="D137" s="434" t="s">
        <v>329</v>
      </c>
      <c r="E137" s="434"/>
      <c r="F137" s="434" t="s">
        <v>133</v>
      </c>
      <c r="G137" s="434"/>
      <c r="H137" s="434" t="s">
        <v>134</v>
      </c>
      <c r="I137" s="434"/>
      <c r="J137" s="158" t="s">
        <v>135</v>
      </c>
      <c r="K137" s="159" t="s">
        <v>136</v>
      </c>
    </row>
    <row r="138" spans="1:13" ht="21.75" customHeight="1" thickTop="1" thickBot="1" x14ac:dyDescent="0.25">
      <c r="A138" s="418" t="s">
        <v>371</v>
      </c>
      <c r="B138" s="419"/>
      <c r="C138" s="420"/>
      <c r="D138" s="421">
        <f>K134</f>
        <v>0</v>
      </c>
      <c r="E138" s="421"/>
      <c r="F138" s="422">
        <v>1</v>
      </c>
      <c r="G138" s="422"/>
      <c r="H138" s="421">
        <f>F138*D138</f>
        <v>0</v>
      </c>
      <c r="I138" s="421"/>
      <c r="J138" s="160">
        <f>K11</f>
        <v>4</v>
      </c>
      <c r="K138" s="161">
        <f>ROUND(J138*H138,2)</f>
        <v>0</v>
      </c>
    </row>
    <row r="139" spans="1:13" ht="36.75" customHeight="1" thickTop="1" thickBot="1" x14ac:dyDescent="0.25">
      <c r="A139" s="423" t="s">
        <v>137</v>
      </c>
      <c r="B139" s="424"/>
      <c r="C139" s="424"/>
      <c r="D139" s="424"/>
      <c r="E139" s="424"/>
      <c r="F139" s="424"/>
      <c r="G139" s="424"/>
      <c r="H139" s="424"/>
      <c r="I139" s="424"/>
      <c r="J139" s="425"/>
      <c r="K139" s="162">
        <f>K138</f>
        <v>0</v>
      </c>
    </row>
    <row r="140" spans="1:13" ht="36.75" customHeight="1" thickTop="1" thickBot="1" x14ac:dyDescent="0.25">
      <c r="A140" s="423" t="s">
        <v>138</v>
      </c>
      <c r="B140" s="424"/>
      <c r="C140" s="424"/>
      <c r="D140" s="424"/>
      <c r="E140" s="424"/>
      <c r="F140" s="424"/>
      <c r="G140" s="424"/>
      <c r="H140" s="424"/>
      <c r="I140" s="424"/>
      <c r="J140" s="426"/>
      <c r="K140" s="330">
        <f>K139*12</f>
        <v>0</v>
      </c>
    </row>
    <row r="141" spans="1:13" ht="16.5" thickTop="1" x14ac:dyDescent="0.2">
      <c r="K141" s="329" t="s">
        <v>139</v>
      </c>
      <c r="L141" s="163" t="e">
        <f>K134/K33</f>
        <v>#DIV/0!</v>
      </c>
      <c r="M141" s="111"/>
    </row>
    <row r="1048526" ht="12.75" customHeight="1" x14ac:dyDescent="0.2"/>
    <row r="1048527" ht="12.75" customHeight="1" x14ac:dyDescent="0.2"/>
    <row r="1048528" ht="12.75" customHeight="1" x14ac:dyDescent="0.2"/>
    <row r="1048529" ht="12.75" customHeight="1" x14ac:dyDescent="0.2"/>
    <row r="1048530" ht="12.75" customHeight="1" x14ac:dyDescent="0.2"/>
    <row r="1048531" ht="12.75" customHeight="1" x14ac:dyDescent="0.2"/>
    <row r="1048532" ht="12.75" customHeight="1" x14ac:dyDescent="0.2"/>
    <row r="1048533" ht="12.75" customHeight="1" x14ac:dyDescent="0.2"/>
    <row r="1048534" ht="12.75" customHeight="1" x14ac:dyDescent="0.2"/>
    <row r="1048535" ht="12.75" customHeight="1" x14ac:dyDescent="0.2"/>
    <row r="1048536" ht="12.75" customHeight="1" x14ac:dyDescent="0.2"/>
    <row r="1048537" ht="12.75" customHeight="1" x14ac:dyDescent="0.2"/>
    <row r="1048538" ht="12.75" customHeight="1" x14ac:dyDescent="0.2"/>
    <row r="1048539" ht="12.75" customHeight="1" x14ac:dyDescent="0.2"/>
    <row r="1048540" ht="12.75" customHeight="1" x14ac:dyDescent="0.2"/>
    <row r="1048541" ht="12.75" customHeight="1" x14ac:dyDescent="0.2"/>
    <row r="1048542" ht="12.75" customHeight="1" x14ac:dyDescent="0.2"/>
    <row r="1048543" ht="12.75" customHeight="1" x14ac:dyDescent="0.2"/>
    <row r="1048544" ht="12.75" customHeight="1" x14ac:dyDescent="0.2"/>
    <row r="1048545" ht="12.75" customHeight="1" x14ac:dyDescent="0.2"/>
    <row r="1048546" ht="12.75" customHeight="1" x14ac:dyDescent="0.2"/>
    <row r="1048547" ht="12.75" customHeight="1" x14ac:dyDescent="0.2"/>
    <row r="1048548" ht="12.75" customHeight="1" x14ac:dyDescent="0.2"/>
    <row r="1048549" ht="12.75" customHeight="1" x14ac:dyDescent="0.2"/>
    <row r="1048550" ht="12.75" customHeight="1" x14ac:dyDescent="0.2"/>
    <row r="1048551" ht="12.75" customHeight="1" x14ac:dyDescent="0.2"/>
    <row r="1048552" ht="12.75" customHeight="1" x14ac:dyDescent="0.2"/>
    <row r="1048553" ht="12.75" customHeight="1" x14ac:dyDescent="0.2"/>
    <row r="1048554" ht="12.75" customHeight="1" x14ac:dyDescent="0.2"/>
    <row r="1048555" ht="12.75" customHeight="1" x14ac:dyDescent="0.2"/>
    <row r="1048556" ht="12.75" customHeight="1" x14ac:dyDescent="0.2"/>
  </sheetData>
  <mergeCells count="137">
    <mergeCell ref="A138:C138"/>
    <mergeCell ref="D138:E138"/>
    <mergeCell ref="F138:G138"/>
    <mergeCell ref="H138:I138"/>
    <mergeCell ref="A139:J139"/>
    <mergeCell ref="A140:J140"/>
    <mergeCell ref="B133:J133"/>
    <mergeCell ref="A134:J134"/>
    <mergeCell ref="A136:K136"/>
    <mergeCell ref="A137:C137"/>
    <mergeCell ref="D137:E137"/>
    <mergeCell ref="F137:G137"/>
    <mergeCell ref="H137:I137"/>
    <mergeCell ref="B127:J127"/>
    <mergeCell ref="B128:J128"/>
    <mergeCell ref="B129:J129"/>
    <mergeCell ref="B130:J130"/>
    <mergeCell ref="B131:J131"/>
    <mergeCell ref="A132:J132"/>
    <mergeCell ref="A111:J111"/>
    <mergeCell ref="A114:A117"/>
    <mergeCell ref="I115:I117"/>
    <mergeCell ref="A119:K124"/>
    <mergeCell ref="A125:K125"/>
    <mergeCell ref="A126:J126"/>
    <mergeCell ref="A107:A108"/>
    <mergeCell ref="B107:C108"/>
    <mergeCell ref="D107:J107"/>
    <mergeCell ref="D108:J108"/>
    <mergeCell ref="A109:J109"/>
    <mergeCell ref="A110:K110"/>
    <mergeCell ref="A103:J103"/>
    <mergeCell ref="B104:J104"/>
    <mergeCell ref="B105:D105"/>
    <mergeCell ref="E105:J105"/>
    <mergeCell ref="B106:D106"/>
    <mergeCell ref="E106:J106"/>
    <mergeCell ref="A97:K97"/>
    <mergeCell ref="A98:K98"/>
    <mergeCell ref="B99:J99"/>
    <mergeCell ref="B100:J100"/>
    <mergeCell ref="B101:J101"/>
    <mergeCell ref="A102:K102"/>
    <mergeCell ref="B90:I90"/>
    <mergeCell ref="A91:I91"/>
    <mergeCell ref="A92:K93"/>
    <mergeCell ref="A94:K94"/>
    <mergeCell ref="B95:I95"/>
    <mergeCell ref="B96:I96"/>
    <mergeCell ref="B84:I84"/>
    <mergeCell ref="B85:I85"/>
    <mergeCell ref="B86:I86"/>
    <mergeCell ref="B87:I87"/>
    <mergeCell ref="B88:I88"/>
    <mergeCell ref="B89:I89"/>
    <mergeCell ref="B77:I77"/>
    <mergeCell ref="L77:M77"/>
    <mergeCell ref="A78:I78"/>
    <mergeCell ref="A79:K81"/>
    <mergeCell ref="A82:K82"/>
    <mergeCell ref="A83:K83"/>
    <mergeCell ref="B74:I74"/>
    <mergeCell ref="L74:M74"/>
    <mergeCell ref="B75:I75"/>
    <mergeCell ref="L75:M75"/>
    <mergeCell ref="B76:I76"/>
    <mergeCell ref="L76:M76"/>
    <mergeCell ref="B69:J69"/>
    <mergeCell ref="A70:K70"/>
    <mergeCell ref="A71:K71"/>
    <mergeCell ref="B72:I72"/>
    <mergeCell ref="L72:M72"/>
    <mergeCell ref="B73:I73"/>
    <mergeCell ref="L73:M73"/>
    <mergeCell ref="B62:J62"/>
    <mergeCell ref="A63:K64"/>
    <mergeCell ref="A65:K65"/>
    <mergeCell ref="B66:I66"/>
    <mergeCell ref="B67:I67"/>
    <mergeCell ref="B68:J68"/>
    <mergeCell ref="L58:O58"/>
    <mergeCell ref="B59:J59"/>
    <mergeCell ref="L59:O59"/>
    <mergeCell ref="B60:J60"/>
    <mergeCell ref="L60:O60"/>
    <mergeCell ref="B61:J61"/>
    <mergeCell ref="L61:O61"/>
    <mergeCell ref="B51:I51"/>
    <mergeCell ref="B52:I52"/>
    <mergeCell ref="A53:K55"/>
    <mergeCell ref="A56:K56"/>
    <mergeCell ref="B57:J57"/>
    <mergeCell ref="B58:J58"/>
    <mergeCell ref="B45:I45"/>
    <mergeCell ref="B46:E46"/>
    <mergeCell ref="H46:I46"/>
    <mergeCell ref="B47:I47"/>
    <mergeCell ref="B48:I48"/>
    <mergeCell ref="B50:I50"/>
    <mergeCell ref="B38:I38"/>
    <mergeCell ref="B39:I39"/>
    <mergeCell ref="B40:I40"/>
    <mergeCell ref="A41:K42"/>
    <mergeCell ref="A43:K43"/>
    <mergeCell ref="B44:I44"/>
    <mergeCell ref="B31:J31"/>
    <mergeCell ref="A32:K32"/>
    <mergeCell ref="A33:J33"/>
    <mergeCell ref="A34:K35"/>
    <mergeCell ref="A36:K36"/>
    <mergeCell ref="A37:K37"/>
    <mergeCell ref="A26:A27"/>
    <mergeCell ref="B26:D27"/>
    <mergeCell ref="K26:K27"/>
    <mergeCell ref="B28:J28"/>
    <mergeCell ref="B29:J29"/>
    <mergeCell ref="B30:J30"/>
    <mergeCell ref="A12:K14"/>
    <mergeCell ref="A15:K15"/>
    <mergeCell ref="B19:J19"/>
    <mergeCell ref="A20:K22"/>
    <mergeCell ref="A23:J23"/>
    <mergeCell ref="H25:J25"/>
    <mergeCell ref="A5:C5"/>
    <mergeCell ref="D5:I5"/>
    <mergeCell ref="B7:E7"/>
    <mergeCell ref="F7:K7"/>
    <mergeCell ref="B9:H9"/>
    <mergeCell ref="I9:K9"/>
    <mergeCell ref="A1:I1"/>
    <mergeCell ref="A2:C2"/>
    <mergeCell ref="D2:I2"/>
    <mergeCell ref="A3:C3"/>
    <mergeCell ref="D3:I3"/>
    <mergeCell ref="A4:C4"/>
    <mergeCell ref="D4:F4"/>
    <mergeCell ref="H4:I4"/>
  </mergeCells>
  <pageMargins left="0.511811024" right="0.511811024" top="0.78740157499999996" bottom="0.78740157499999996" header="0.31496062000000002" footer="0.31496062000000002"/>
  <pageSetup paperSize="9" scale="41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E010B3-ED46-436D-8CC7-2916BC55C2A9}">
  <sheetPr>
    <pageSetUpPr fitToPage="1"/>
  </sheetPr>
  <dimension ref="A1:IV1048556"/>
  <sheetViews>
    <sheetView topLeftCell="A131" workbookViewId="0">
      <selection activeCell="K105" sqref="K105"/>
    </sheetView>
  </sheetViews>
  <sheetFormatPr defaultRowHeight="15.75" x14ac:dyDescent="0.2"/>
  <cols>
    <col min="1" max="10" width="12.42578125" style="76" customWidth="1"/>
    <col min="11" max="11" width="18.140625" style="76" bestFit="1" customWidth="1"/>
    <col min="12" max="12" width="18.28515625" style="76" customWidth="1"/>
    <col min="13" max="256" width="12.42578125" style="76" customWidth="1"/>
    <col min="257" max="1024" width="12.42578125" style="77" customWidth="1"/>
    <col min="1025" max="16384" width="9.140625" style="77"/>
  </cols>
  <sheetData>
    <row r="1" spans="1:11" ht="21.75" customHeight="1" thickTop="1" thickBot="1" x14ac:dyDescent="0.25">
      <c r="A1" s="423" t="s">
        <v>0</v>
      </c>
      <c r="B1" s="423"/>
      <c r="C1" s="423"/>
      <c r="D1" s="423"/>
      <c r="E1" s="423"/>
      <c r="F1" s="423"/>
      <c r="G1" s="423"/>
      <c r="H1" s="423"/>
      <c r="I1" s="442"/>
      <c r="J1" s="74"/>
      <c r="K1" s="75"/>
    </row>
    <row r="2" spans="1:11" ht="21.75" customHeight="1" thickTop="1" thickBot="1" x14ac:dyDescent="0.25">
      <c r="A2" s="534" t="s">
        <v>1</v>
      </c>
      <c r="B2" s="534"/>
      <c r="C2" s="534"/>
      <c r="D2" s="535" t="s">
        <v>330</v>
      </c>
      <c r="E2" s="535"/>
      <c r="F2" s="535"/>
      <c r="G2" s="535"/>
      <c r="H2" s="535"/>
      <c r="I2" s="536"/>
      <c r="J2" s="78"/>
      <c r="K2" s="79"/>
    </row>
    <row r="3" spans="1:11" ht="21.75" customHeight="1" thickTop="1" thickBot="1" x14ac:dyDescent="0.25">
      <c r="A3" s="534" t="s">
        <v>2</v>
      </c>
      <c r="B3" s="534"/>
      <c r="C3" s="534"/>
      <c r="D3" s="537" t="str">
        <f>'1 - Servente Sede'!D3</f>
        <v>Pregão Eletrônico nº XX/2020</v>
      </c>
      <c r="E3" s="537"/>
      <c r="F3" s="537"/>
      <c r="G3" s="537"/>
      <c r="H3" s="537"/>
      <c r="I3" s="538"/>
      <c r="J3" s="78"/>
      <c r="K3" s="79"/>
    </row>
    <row r="4" spans="1:11" ht="21.75" customHeight="1" thickTop="1" thickBot="1" x14ac:dyDescent="0.25">
      <c r="A4" s="534" t="s">
        <v>3</v>
      </c>
      <c r="B4" s="534"/>
      <c r="C4" s="534"/>
      <c r="D4" s="539"/>
      <c r="E4" s="540"/>
      <c r="F4" s="541"/>
      <c r="G4" s="80" t="s">
        <v>4</v>
      </c>
      <c r="H4" s="542"/>
      <c r="I4" s="536"/>
      <c r="J4" s="78"/>
      <c r="K4" s="79"/>
    </row>
    <row r="5" spans="1:11" ht="21.75" customHeight="1" thickTop="1" thickBot="1" x14ac:dyDescent="0.25">
      <c r="A5" s="526" t="s">
        <v>5</v>
      </c>
      <c r="B5" s="526"/>
      <c r="C5" s="526"/>
      <c r="D5" s="527" t="s">
        <v>375</v>
      </c>
      <c r="E5" s="527"/>
      <c r="F5" s="527"/>
      <c r="G5" s="527"/>
      <c r="H5" s="527"/>
      <c r="I5" s="527"/>
      <c r="J5" s="277"/>
      <c r="K5" s="79"/>
    </row>
    <row r="6" spans="1:11" ht="21.75" customHeight="1" thickTop="1" thickBot="1" x14ac:dyDescent="0.25">
      <c r="A6" s="81"/>
      <c r="B6" s="82"/>
      <c r="C6" s="82"/>
      <c r="D6" s="82"/>
      <c r="E6" s="82"/>
      <c r="F6" s="82"/>
      <c r="G6" s="82"/>
      <c r="H6" s="82"/>
      <c r="I6" s="279"/>
      <c r="J6" s="279"/>
      <c r="K6" s="278"/>
    </row>
    <row r="7" spans="1:11" ht="21.75" customHeight="1" thickTop="1" thickBot="1" x14ac:dyDescent="0.25">
      <c r="A7" s="274" t="s">
        <v>7</v>
      </c>
      <c r="B7" s="528" t="s">
        <v>8</v>
      </c>
      <c r="C7" s="528"/>
      <c r="D7" s="528"/>
      <c r="E7" s="528"/>
      <c r="F7" s="529" t="s">
        <v>140</v>
      </c>
      <c r="G7" s="529"/>
      <c r="H7" s="529"/>
      <c r="I7" s="529"/>
      <c r="J7" s="529"/>
      <c r="K7" s="529"/>
    </row>
    <row r="8" spans="1:11" ht="21.75" customHeight="1" thickTop="1" thickBot="1" x14ac:dyDescent="0.25">
      <c r="A8" s="274" t="s">
        <v>7</v>
      </c>
      <c r="B8" s="275" t="s">
        <v>9</v>
      </c>
      <c r="C8" s="84"/>
      <c r="D8" s="84"/>
      <c r="E8" s="84"/>
      <c r="F8" s="84"/>
      <c r="G8" s="84"/>
      <c r="H8" s="84"/>
      <c r="I8" s="84"/>
      <c r="J8" s="276"/>
      <c r="K8" s="85">
        <v>12</v>
      </c>
    </row>
    <row r="9" spans="1:11" ht="21.75" customHeight="1" thickTop="1" thickBot="1" x14ac:dyDescent="0.25">
      <c r="A9" s="83" t="s">
        <v>7</v>
      </c>
      <c r="B9" s="496" t="s">
        <v>10</v>
      </c>
      <c r="C9" s="428"/>
      <c r="D9" s="428"/>
      <c r="E9" s="428"/>
      <c r="F9" s="428"/>
      <c r="G9" s="428"/>
      <c r="H9" s="428"/>
      <c r="I9" s="543"/>
      <c r="J9" s="543"/>
      <c r="K9" s="544"/>
    </row>
    <row r="10" spans="1:11" ht="21.75" customHeight="1" thickTop="1" thickBot="1" x14ac:dyDescent="0.25">
      <c r="A10" s="83" t="s">
        <v>7</v>
      </c>
      <c r="B10" s="86" t="s">
        <v>11</v>
      </c>
      <c r="C10" s="86"/>
      <c r="D10" s="86"/>
      <c r="E10" s="86"/>
      <c r="F10" s="86"/>
      <c r="G10" s="86"/>
      <c r="H10" s="86"/>
      <c r="I10" s="86"/>
      <c r="J10" s="86"/>
      <c r="K10" s="87" t="s">
        <v>335</v>
      </c>
    </row>
    <row r="11" spans="1:11" ht="21.75" customHeight="1" thickTop="1" thickBot="1" x14ac:dyDescent="0.25">
      <c r="A11" s="83" t="s">
        <v>7</v>
      </c>
      <c r="B11" s="86" t="s">
        <v>142</v>
      </c>
      <c r="C11" s="86"/>
      <c r="D11" s="86"/>
      <c r="E11" s="86"/>
      <c r="F11" s="86"/>
      <c r="G11" s="86"/>
      <c r="H11" s="86"/>
      <c r="I11" s="86"/>
      <c r="J11" s="86"/>
      <c r="K11" s="88">
        <v>1</v>
      </c>
    </row>
    <row r="12" spans="1:11" ht="21.75" customHeight="1" thickTop="1" thickBot="1" x14ac:dyDescent="0.25">
      <c r="A12" s="530" t="s">
        <v>147</v>
      </c>
      <c r="B12" s="531"/>
      <c r="C12" s="531"/>
      <c r="D12" s="531"/>
      <c r="E12" s="531"/>
      <c r="F12" s="531"/>
      <c r="G12" s="531"/>
      <c r="H12" s="531"/>
      <c r="I12" s="531"/>
      <c r="J12" s="531"/>
      <c r="K12" s="532"/>
    </row>
    <row r="13" spans="1:11" ht="21.75" customHeight="1" thickTop="1" thickBot="1" x14ac:dyDescent="0.25">
      <c r="A13" s="533"/>
      <c r="B13" s="531"/>
      <c r="C13" s="531"/>
      <c r="D13" s="531"/>
      <c r="E13" s="531"/>
      <c r="F13" s="531"/>
      <c r="G13" s="531"/>
      <c r="H13" s="531"/>
      <c r="I13" s="531"/>
      <c r="J13" s="531"/>
      <c r="K13" s="532"/>
    </row>
    <row r="14" spans="1:11" ht="21.75" customHeight="1" thickTop="1" thickBot="1" x14ac:dyDescent="0.25">
      <c r="A14" s="533"/>
      <c r="B14" s="531"/>
      <c r="C14" s="531"/>
      <c r="D14" s="531"/>
      <c r="E14" s="531"/>
      <c r="F14" s="531"/>
      <c r="G14" s="531"/>
      <c r="H14" s="531"/>
      <c r="I14" s="531"/>
      <c r="J14" s="531"/>
      <c r="K14" s="532"/>
    </row>
    <row r="15" spans="1:11" ht="21.75" customHeight="1" thickTop="1" thickBot="1" x14ac:dyDescent="0.25">
      <c r="A15" s="442" t="s">
        <v>15</v>
      </c>
      <c r="B15" s="442"/>
      <c r="C15" s="442"/>
      <c r="D15" s="442"/>
      <c r="E15" s="442"/>
      <c r="F15" s="442"/>
      <c r="G15" s="442"/>
      <c r="H15" s="442"/>
      <c r="I15" s="442"/>
      <c r="J15" s="442"/>
      <c r="K15" s="442"/>
    </row>
    <row r="16" spans="1:11" ht="21.75" customHeight="1" thickTop="1" thickBot="1" x14ac:dyDescent="0.25">
      <c r="A16" s="100">
        <v>1</v>
      </c>
      <c r="B16" s="86" t="s">
        <v>16</v>
      </c>
      <c r="C16" s="86"/>
      <c r="D16" s="86"/>
      <c r="E16" s="86"/>
      <c r="F16" s="86"/>
      <c r="G16" s="86"/>
      <c r="H16" s="86"/>
      <c r="I16" s="86"/>
      <c r="J16" s="86"/>
      <c r="K16" s="90"/>
    </row>
    <row r="17" spans="1:18" ht="21.75" customHeight="1" thickTop="1" thickBot="1" x14ac:dyDescent="0.25">
      <c r="A17" s="100">
        <v>2</v>
      </c>
      <c r="B17" s="86" t="s">
        <v>17</v>
      </c>
      <c r="C17" s="86"/>
      <c r="D17" s="86"/>
      <c r="E17" s="86"/>
      <c r="F17" s="86"/>
      <c r="G17" s="86"/>
      <c r="H17" s="86"/>
      <c r="I17" s="86"/>
      <c r="J17" s="86"/>
      <c r="K17" s="91" t="s">
        <v>375</v>
      </c>
    </row>
    <row r="18" spans="1:18" ht="21.75" customHeight="1" thickTop="1" thickBot="1" x14ac:dyDescent="0.25">
      <c r="A18" s="100">
        <v>3</v>
      </c>
      <c r="B18" s="86" t="s">
        <v>18</v>
      </c>
      <c r="C18" s="86"/>
      <c r="D18" s="86"/>
      <c r="E18" s="86"/>
      <c r="F18" s="86"/>
      <c r="G18" s="86"/>
      <c r="H18" s="86"/>
      <c r="I18" s="86"/>
      <c r="J18" s="86"/>
      <c r="K18" s="92">
        <v>43862</v>
      </c>
    </row>
    <row r="19" spans="1:18" ht="21.75" customHeight="1" thickTop="1" thickBot="1" x14ac:dyDescent="0.25">
      <c r="A19" s="93">
        <v>4</v>
      </c>
      <c r="B19" s="509" t="s">
        <v>19</v>
      </c>
      <c r="C19" s="510"/>
      <c r="D19" s="510"/>
      <c r="E19" s="510"/>
      <c r="F19" s="510"/>
      <c r="G19" s="510"/>
      <c r="H19" s="510"/>
      <c r="I19" s="510"/>
      <c r="J19" s="496"/>
      <c r="K19" s="365" t="s">
        <v>374</v>
      </c>
    </row>
    <row r="20" spans="1:18" ht="21.75" customHeight="1" thickTop="1" x14ac:dyDescent="0.2">
      <c r="A20" s="511" t="s">
        <v>148</v>
      </c>
      <c r="B20" s="512"/>
      <c r="C20" s="512"/>
      <c r="D20" s="512"/>
      <c r="E20" s="512"/>
      <c r="F20" s="512"/>
      <c r="G20" s="512"/>
      <c r="H20" s="512"/>
      <c r="I20" s="512"/>
      <c r="J20" s="512"/>
      <c r="K20" s="513"/>
    </row>
    <row r="21" spans="1:18" ht="19.149999999999999" customHeight="1" thickBot="1" x14ac:dyDescent="0.25">
      <c r="A21" s="514"/>
      <c r="B21" s="515"/>
      <c r="C21" s="515"/>
      <c r="D21" s="515"/>
      <c r="E21" s="515"/>
      <c r="F21" s="515"/>
      <c r="G21" s="515"/>
      <c r="H21" s="515"/>
      <c r="I21" s="515"/>
      <c r="J21" s="515"/>
      <c r="K21" s="516"/>
    </row>
    <row r="22" spans="1:18" ht="21.6" hidden="1" customHeight="1" x14ac:dyDescent="0.2">
      <c r="A22" s="517"/>
      <c r="B22" s="518"/>
      <c r="C22" s="518"/>
      <c r="D22" s="518"/>
      <c r="E22" s="518"/>
      <c r="F22" s="518"/>
      <c r="G22" s="518"/>
      <c r="H22" s="518"/>
      <c r="I22" s="518"/>
      <c r="J22" s="518"/>
      <c r="K22" s="519"/>
    </row>
    <row r="23" spans="1:18" ht="21.75" customHeight="1" thickTop="1" thickBot="1" x14ac:dyDescent="0.25">
      <c r="A23" s="442" t="s">
        <v>21</v>
      </c>
      <c r="B23" s="442"/>
      <c r="C23" s="442"/>
      <c r="D23" s="442"/>
      <c r="E23" s="442"/>
      <c r="F23" s="442"/>
      <c r="G23" s="442"/>
      <c r="H23" s="442"/>
      <c r="I23" s="442"/>
      <c r="J23" s="442"/>
      <c r="K23" s="95" t="s">
        <v>22</v>
      </c>
    </row>
    <row r="24" spans="1:18" ht="21.75" customHeight="1" thickTop="1" thickBot="1" x14ac:dyDescent="0.25">
      <c r="A24" s="100" t="s">
        <v>23</v>
      </c>
      <c r="B24" s="86" t="s">
        <v>24</v>
      </c>
      <c r="C24" s="86"/>
      <c r="D24" s="86"/>
      <c r="E24" s="86"/>
      <c r="F24" s="86"/>
      <c r="G24" s="86"/>
      <c r="H24" s="86"/>
      <c r="I24" s="86"/>
      <c r="J24" s="96"/>
      <c r="K24" s="342">
        <f>K16</f>
        <v>0</v>
      </c>
    </row>
    <row r="25" spans="1:18" ht="21.75" customHeight="1" thickTop="1" thickBot="1" x14ac:dyDescent="0.25">
      <c r="A25" s="100" t="s">
        <v>25</v>
      </c>
      <c r="B25" s="98" t="s">
        <v>26</v>
      </c>
      <c r="C25" s="98"/>
      <c r="D25" s="98"/>
      <c r="E25" s="99" t="s">
        <v>27</v>
      </c>
      <c r="F25" s="99"/>
      <c r="G25" s="86"/>
      <c r="H25" s="520">
        <v>0</v>
      </c>
      <c r="I25" s="521"/>
      <c r="J25" s="522"/>
      <c r="K25" s="102">
        <f>K24*H25</f>
        <v>0</v>
      </c>
    </row>
    <row r="26" spans="1:18" ht="21.75" customHeight="1" thickTop="1" thickBot="1" x14ac:dyDescent="0.3">
      <c r="A26" s="523" t="s">
        <v>28</v>
      </c>
      <c r="B26" s="524" t="s">
        <v>29</v>
      </c>
      <c r="C26" s="524"/>
      <c r="D26" s="524"/>
      <c r="E26" s="99" t="s">
        <v>30</v>
      </c>
      <c r="F26" s="99"/>
      <c r="G26" s="86"/>
      <c r="H26" s="86"/>
      <c r="I26" s="86"/>
      <c r="J26" s="101"/>
      <c r="K26" s="525">
        <f>L27*0.4</f>
        <v>0</v>
      </c>
      <c r="L26"/>
      <c r="M26"/>
      <c r="N26"/>
      <c r="O26"/>
      <c r="P26"/>
      <c r="Q26"/>
      <c r="R26"/>
    </row>
    <row r="27" spans="1:18" ht="21.75" customHeight="1" thickTop="1" thickBot="1" x14ac:dyDescent="0.3">
      <c r="A27" s="523"/>
      <c r="B27" s="524"/>
      <c r="C27" s="524"/>
      <c r="D27" s="524"/>
      <c r="E27" s="99" t="s">
        <v>31</v>
      </c>
      <c r="F27" s="99"/>
      <c r="G27" s="86"/>
      <c r="H27" s="99" t="s">
        <v>32</v>
      </c>
      <c r="I27" s="86"/>
      <c r="J27" s="96"/>
      <c r="K27" s="525"/>
      <c r="L27"/>
      <c r="M27"/>
      <c r="N27"/>
      <c r="O27"/>
      <c r="P27"/>
      <c r="Q27"/>
      <c r="R27"/>
    </row>
    <row r="28" spans="1:18" ht="21.75" customHeight="1" thickTop="1" thickBot="1" x14ac:dyDescent="0.3">
      <c r="A28" s="100" t="s">
        <v>33</v>
      </c>
      <c r="B28" s="506" t="s">
        <v>34</v>
      </c>
      <c r="C28" s="506"/>
      <c r="D28" s="506"/>
      <c r="E28" s="507"/>
      <c r="F28" s="507"/>
      <c r="G28" s="507"/>
      <c r="H28" s="507"/>
      <c r="I28" s="507"/>
      <c r="J28" s="508"/>
      <c r="K28" s="102">
        <v>0</v>
      </c>
      <c r="L28"/>
      <c r="M28"/>
      <c r="N28"/>
      <c r="O28"/>
      <c r="P28"/>
      <c r="Q28"/>
      <c r="R28"/>
    </row>
    <row r="29" spans="1:18" ht="21.75" customHeight="1" thickTop="1" thickBot="1" x14ac:dyDescent="0.25">
      <c r="A29" s="100" t="s">
        <v>35</v>
      </c>
      <c r="B29" s="428" t="s">
        <v>36</v>
      </c>
      <c r="C29" s="428"/>
      <c r="D29" s="428"/>
      <c r="E29" s="428"/>
      <c r="F29" s="428"/>
      <c r="G29" s="428"/>
      <c r="H29" s="428"/>
      <c r="I29" s="428"/>
      <c r="J29" s="429"/>
      <c r="K29" s="102">
        <v>0</v>
      </c>
      <c r="L29" s="103"/>
    </row>
    <row r="30" spans="1:18" ht="21.75" customHeight="1" thickTop="1" thickBot="1" x14ac:dyDescent="0.25">
      <c r="A30" s="100" t="s">
        <v>37</v>
      </c>
      <c r="B30" s="428" t="s">
        <v>38</v>
      </c>
      <c r="C30" s="428"/>
      <c r="D30" s="428"/>
      <c r="E30" s="428"/>
      <c r="F30" s="428"/>
      <c r="G30" s="428"/>
      <c r="H30" s="428"/>
      <c r="I30" s="428"/>
      <c r="J30" s="429"/>
      <c r="K30" s="102">
        <v>0</v>
      </c>
    </row>
    <row r="31" spans="1:18" ht="21.75" customHeight="1" thickTop="1" thickBot="1" x14ac:dyDescent="0.25">
      <c r="A31" s="100" t="s">
        <v>39</v>
      </c>
      <c r="B31" s="428" t="s">
        <v>87</v>
      </c>
      <c r="C31" s="428"/>
      <c r="D31" s="428"/>
      <c r="E31" s="428"/>
      <c r="F31" s="428"/>
      <c r="G31" s="428"/>
      <c r="H31" s="428"/>
      <c r="I31" s="428"/>
      <c r="J31" s="429"/>
      <c r="K31" s="104">
        <v>0</v>
      </c>
    </row>
    <row r="32" spans="1:18" ht="21.6" hidden="1" customHeight="1" x14ac:dyDescent="0.2">
      <c r="A32" s="503"/>
      <c r="B32" s="504"/>
      <c r="C32" s="504"/>
      <c r="D32" s="504"/>
      <c r="E32" s="504"/>
      <c r="F32" s="504"/>
      <c r="G32" s="504"/>
      <c r="H32" s="504"/>
      <c r="I32" s="504"/>
      <c r="J32" s="504"/>
      <c r="K32" s="505"/>
    </row>
    <row r="33" spans="1:13" ht="21.75" customHeight="1" thickTop="1" thickBot="1" x14ac:dyDescent="0.25">
      <c r="A33" s="423" t="s">
        <v>41</v>
      </c>
      <c r="B33" s="424"/>
      <c r="C33" s="424"/>
      <c r="D33" s="424"/>
      <c r="E33" s="424"/>
      <c r="F33" s="424"/>
      <c r="G33" s="424"/>
      <c r="H33" s="424"/>
      <c r="I33" s="424"/>
      <c r="J33" s="426"/>
      <c r="K33" s="105">
        <f>SUM(K24:K31)</f>
        <v>0</v>
      </c>
      <c r="M33" s="106"/>
    </row>
    <row r="34" spans="1:13" ht="21.75" customHeight="1" thickTop="1" x14ac:dyDescent="0.2">
      <c r="A34" s="464" t="s">
        <v>149</v>
      </c>
      <c r="B34" s="465"/>
      <c r="C34" s="465"/>
      <c r="D34" s="465"/>
      <c r="E34" s="465"/>
      <c r="F34" s="465"/>
      <c r="G34" s="465"/>
      <c r="H34" s="465"/>
      <c r="I34" s="465"/>
      <c r="J34" s="465"/>
      <c r="K34" s="466"/>
    </row>
    <row r="35" spans="1:13" ht="55.5" customHeight="1" thickBot="1" x14ac:dyDescent="0.25">
      <c r="A35" s="467"/>
      <c r="B35" s="468"/>
      <c r="C35" s="468"/>
      <c r="D35" s="468"/>
      <c r="E35" s="468"/>
      <c r="F35" s="468"/>
      <c r="G35" s="468"/>
      <c r="H35" s="468"/>
      <c r="I35" s="468"/>
      <c r="J35" s="468"/>
      <c r="K35" s="469"/>
    </row>
    <row r="36" spans="1:13" ht="21.75" customHeight="1" thickTop="1" thickBot="1" x14ac:dyDescent="0.25">
      <c r="A36" s="423" t="s">
        <v>43</v>
      </c>
      <c r="B36" s="423"/>
      <c r="C36" s="423"/>
      <c r="D36" s="423"/>
      <c r="E36" s="423"/>
      <c r="F36" s="423"/>
      <c r="G36" s="423"/>
      <c r="H36" s="423"/>
      <c r="I36" s="423"/>
      <c r="J36" s="423"/>
      <c r="K36" s="442"/>
    </row>
    <row r="37" spans="1:13" ht="21.75" customHeight="1" thickTop="1" thickBot="1" x14ac:dyDescent="0.25">
      <c r="A37" s="423" t="s">
        <v>150</v>
      </c>
      <c r="B37" s="423"/>
      <c r="C37" s="423"/>
      <c r="D37" s="423"/>
      <c r="E37" s="423"/>
      <c r="F37" s="423"/>
      <c r="G37" s="423"/>
      <c r="H37" s="423"/>
      <c r="I37" s="423"/>
      <c r="J37" s="423"/>
      <c r="K37" s="442"/>
    </row>
    <row r="38" spans="1:13" ht="21.75" customHeight="1" thickTop="1" thickBot="1" x14ac:dyDescent="0.25">
      <c r="A38" s="107" t="s">
        <v>23</v>
      </c>
      <c r="B38" s="501" t="s">
        <v>45</v>
      </c>
      <c r="C38" s="501"/>
      <c r="D38" s="501"/>
      <c r="E38" s="501"/>
      <c r="F38" s="501"/>
      <c r="G38" s="501"/>
      <c r="H38" s="501"/>
      <c r="I38" s="501"/>
      <c r="J38" s="108">
        <v>8.3299999999999999E-2</v>
      </c>
      <c r="K38" s="109">
        <f>K33*(1/12)</f>
        <v>0</v>
      </c>
      <c r="L38" s="110"/>
    </row>
    <row r="39" spans="1:13" ht="21.75" customHeight="1" thickTop="1" thickBot="1" x14ac:dyDescent="0.25">
      <c r="A39" s="107" t="s">
        <v>25</v>
      </c>
      <c r="B39" s="501" t="s">
        <v>46</v>
      </c>
      <c r="C39" s="501"/>
      <c r="D39" s="501"/>
      <c r="E39" s="501"/>
      <c r="F39" s="501"/>
      <c r="G39" s="501"/>
      <c r="H39" s="501"/>
      <c r="I39" s="501"/>
      <c r="J39" s="108">
        <v>0.1111</v>
      </c>
      <c r="K39" s="109">
        <f>(K33*(1/12))+(K33*1/12*1/3)</f>
        <v>0</v>
      </c>
      <c r="L39" s="111"/>
    </row>
    <row r="40" spans="1:13" ht="21.75" customHeight="1" thickTop="1" thickBot="1" x14ac:dyDescent="0.25">
      <c r="A40" s="155"/>
      <c r="B40" s="502" t="s">
        <v>47</v>
      </c>
      <c r="C40" s="502"/>
      <c r="D40" s="502"/>
      <c r="E40" s="502"/>
      <c r="F40" s="502"/>
      <c r="G40" s="502"/>
      <c r="H40" s="502"/>
      <c r="I40" s="502"/>
      <c r="J40" s="113">
        <f>J38+J39</f>
        <v>0.19440000000000002</v>
      </c>
      <c r="K40" s="105">
        <f>ROUND(SUM(K38+K39),2)</f>
        <v>0</v>
      </c>
    </row>
    <row r="41" spans="1:13" ht="21.75" customHeight="1" thickTop="1" x14ac:dyDescent="0.2">
      <c r="A41" s="464" t="s">
        <v>151</v>
      </c>
      <c r="B41" s="465"/>
      <c r="C41" s="465"/>
      <c r="D41" s="465"/>
      <c r="E41" s="465"/>
      <c r="F41" s="465"/>
      <c r="G41" s="465"/>
      <c r="H41" s="465"/>
      <c r="I41" s="465"/>
      <c r="J41" s="465"/>
      <c r="K41" s="466"/>
    </row>
    <row r="42" spans="1:13" ht="55.15" customHeight="1" thickBot="1" x14ac:dyDescent="0.25">
      <c r="A42" s="467"/>
      <c r="B42" s="468"/>
      <c r="C42" s="468"/>
      <c r="D42" s="468"/>
      <c r="E42" s="468"/>
      <c r="F42" s="468"/>
      <c r="G42" s="468"/>
      <c r="H42" s="468"/>
      <c r="I42" s="468"/>
      <c r="J42" s="468"/>
      <c r="K42" s="469"/>
    </row>
    <row r="43" spans="1:13" ht="21.75" customHeight="1" thickTop="1" thickBot="1" x14ac:dyDescent="0.25">
      <c r="A43" s="423" t="s">
        <v>49</v>
      </c>
      <c r="B43" s="424"/>
      <c r="C43" s="424"/>
      <c r="D43" s="424"/>
      <c r="E43" s="424"/>
      <c r="F43" s="424"/>
      <c r="G43" s="424"/>
      <c r="H43" s="424"/>
      <c r="I43" s="424"/>
      <c r="J43" s="424"/>
      <c r="K43" s="426"/>
    </row>
    <row r="44" spans="1:13" ht="21.75" customHeight="1" thickTop="1" thickBot="1" x14ac:dyDescent="0.25">
      <c r="A44" s="100" t="s">
        <v>23</v>
      </c>
      <c r="B44" s="495" t="s">
        <v>50</v>
      </c>
      <c r="C44" s="495"/>
      <c r="D44" s="495"/>
      <c r="E44" s="495"/>
      <c r="F44" s="495"/>
      <c r="G44" s="495"/>
      <c r="H44" s="495"/>
      <c r="I44" s="495"/>
      <c r="J44" s="115">
        <v>0.2</v>
      </c>
      <c r="K44" s="102">
        <f>J44*(K33+K40)</f>
        <v>0</v>
      </c>
    </row>
    <row r="45" spans="1:13" ht="21.75" customHeight="1" thickTop="1" thickBot="1" x14ac:dyDescent="0.25">
      <c r="A45" s="100" t="s">
        <v>25</v>
      </c>
      <c r="B45" s="496" t="s">
        <v>54</v>
      </c>
      <c r="C45" s="428"/>
      <c r="D45" s="428"/>
      <c r="E45" s="428"/>
      <c r="F45" s="428"/>
      <c r="G45" s="428"/>
      <c r="H45" s="428"/>
      <c r="I45" s="497"/>
      <c r="J45" s="115">
        <v>2.5000000000000001E-2</v>
      </c>
      <c r="K45" s="102">
        <f>J45*(K33+K40)</f>
        <v>0</v>
      </c>
    </row>
    <row r="46" spans="1:13" ht="21.75" customHeight="1" thickTop="1" thickBot="1" x14ac:dyDescent="0.25">
      <c r="A46" s="100" t="s">
        <v>28</v>
      </c>
      <c r="B46" s="496" t="s">
        <v>243</v>
      </c>
      <c r="C46" s="428"/>
      <c r="D46" s="428"/>
      <c r="E46" s="498"/>
      <c r="F46" s="341">
        <v>0.03</v>
      </c>
      <c r="G46" s="281" t="s">
        <v>57</v>
      </c>
      <c r="H46" s="499">
        <v>1</v>
      </c>
      <c r="I46" s="500"/>
      <c r="J46" s="115">
        <f>F46*H46</f>
        <v>0.03</v>
      </c>
      <c r="K46" s="102">
        <f>J46*(K33+K40)</f>
        <v>0</v>
      </c>
    </row>
    <row r="47" spans="1:13" ht="21.75" customHeight="1" thickTop="1" thickBot="1" x14ac:dyDescent="0.25">
      <c r="A47" s="100" t="s">
        <v>33</v>
      </c>
      <c r="B47" s="496" t="s">
        <v>51</v>
      </c>
      <c r="C47" s="428"/>
      <c r="D47" s="428"/>
      <c r="E47" s="428"/>
      <c r="F47" s="428"/>
      <c r="G47" s="428"/>
      <c r="H47" s="428"/>
      <c r="I47" s="497"/>
      <c r="J47" s="115">
        <v>1.4999999999999999E-2</v>
      </c>
      <c r="K47" s="102">
        <f>J47*(K33+K40)</f>
        <v>0</v>
      </c>
    </row>
    <row r="48" spans="1:13" ht="21.75" customHeight="1" thickTop="1" thickBot="1" x14ac:dyDescent="0.25">
      <c r="A48" s="100" t="s">
        <v>35</v>
      </c>
      <c r="B48" s="496" t="s">
        <v>52</v>
      </c>
      <c r="C48" s="428"/>
      <c r="D48" s="428"/>
      <c r="E48" s="428"/>
      <c r="F48" s="428"/>
      <c r="G48" s="428"/>
      <c r="H48" s="428"/>
      <c r="I48" s="497"/>
      <c r="J48" s="115">
        <v>0.01</v>
      </c>
      <c r="K48" s="102">
        <f>J48*(K33+K40)</f>
        <v>0</v>
      </c>
    </row>
    <row r="49" spans="1:16" ht="21.75" customHeight="1" thickTop="1" thickBot="1" x14ac:dyDescent="0.25">
      <c r="A49" s="100" t="s">
        <v>37</v>
      </c>
      <c r="B49" s="86" t="s">
        <v>59</v>
      </c>
      <c r="C49" s="86"/>
      <c r="D49" s="86"/>
      <c r="E49" s="86"/>
      <c r="F49" s="86"/>
      <c r="G49" s="86"/>
      <c r="H49" s="86"/>
      <c r="I49" s="86"/>
      <c r="J49" s="115">
        <v>6.0000000000000001E-3</v>
      </c>
      <c r="K49" s="102">
        <f>J49*(K33+K40)</f>
        <v>0</v>
      </c>
    </row>
    <row r="50" spans="1:16" ht="21.75" customHeight="1" thickTop="1" thickBot="1" x14ac:dyDescent="0.25">
      <c r="A50" s="100" t="s">
        <v>39</v>
      </c>
      <c r="B50" s="496" t="s">
        <v>53</v>
      </c>
      <c r="C50" s="428"/>
      <c r="D50" s="428"/>
      <c r="E50" s="428"/>
      <c r="F50" s="428"/>
      <c r="G50" s="428"/>
      <c r="H50" s="428"/>
      <c r="I50" s="497"/>
      <c r="J50" s="116">
        <v>2E-3</v>
      </c>
      <c r="K50" s="102">
        <f>J50*(K$33+K$40)</f>
        <v>0</v>
      </c>
    </row>
    <row r="51" spans="1:16" ht="21.75" customHeight="1" thickTop="1" thickBot="1" x14ac:dyDescent="0.25">
      <c r="A51" s="100" t="s">
        <v>58</v>
      </c>
      <c r="B51" s="496" t="s">
        <v>55</v>
      </c>
      <c r="C51" s="428"/>
      <c r="D51" s="428"/>
      <c r="E51" s="428"/>
      <c r="F51" s="428"/>
      <c r="G51" s="428"/>
      <c r="H51" s="428"/>
      <c r="I51" s="497"/>
      <c r="J51" s="116">
        <v>0.08</v>
      </c>
      <c r="K51" s="408">
        <f>J51*(K$33+K$40)</f>
        <v>0</v>
      </c>
    </row>
    <row r="52" spans="1:16" ht="21.75" customHeight="1" thickTop="1" thickBot="1" x14ac:dyDescent="0.25">
      <c r="A52" s="154"/>
      <c r="B52" s="423" t="s">
        <v>47</v>
      </c>
      <c r="C52" s="424"/>
      <c r="D52" s="424"/>
      <c r="E52" s="424"/>
      <c r="F52" s="424"/>
      <c r="G52" s="424"/>
      <c r="H52" s="424"/>
      <c r="I52" s="426"/>
      <c r="J52" s="114">
        <f>SUM(J44:J51)</f>
        <v>0.36800000000000005</v>
      </c>
      <c r="K52" s="282">
        <f>SUM(K44:K51)</f>
        <v>0</v>
      </c>
    </row>
    <row r="53" spans="1:16" ht="21.75" customHeight="1" thickTop="1" x14ac:dyDescent="0.2">
      <c r="A53" s="486" t="s">
        <v>152</v>
      </c>
      <c r="B53" s="487"/>
      <c r="C53" s="487"/>
      <c r="D53" s="487"/>
      <c r="E53" s="487"/>
      <c r="F53" s="487"/>
      <c r="G53" s="487"/>
      <c r="H53" s="487"/>
      <c r="I53" s="487"/>
      <c r="J53" s="487"/>
      <c r="K53" s="488"/>
    </row>
    <row r="54" spans="1:16" ht="21.75" customHeight="1" x14ac:dyDescent="0.2">
      <c r="A54" s="489"/>
      <c r="B54" s="490"/>
      <c r="C54" s="490"/>
      <c r="D54" s="490"/>
      <c r="E54" s="490"/>
      <c r="F54" s="490"/>
      <c r="G54" s="490"/>
      <c r="H54" s="490"/>
      <c r="I54" s="490"/>
      <c r="J54" s="490"/>
      <c r="K54" s="491"/>
    </row>
    <row r="55" spans="1:16" ht="12.6" customHeight="1" thickBot="1" x14ac:dyDescent="0.25">
      <c r="A55" s="492"/>
      <c r="B55" s="493"/>
      <c r="C55" s="493"/>
      <c r="D55" s="493"/>
      <c r="E55" s="493"/>
      <c r="F55" s="493"/>
      <c r="G55" s="493"/>
      <c r="H55" s="493"/>
      <c r="I55" s="493"/>
      <c r="J55" s="493"/>
      <c r="K55" s="494"/>
    </row>
    <row r="56" spans="1:16" ht="21.75" customHeight="1" thickTop="1" thickBot="1" x14ac:dyDescent="0.25">
      <c r="A56" s="423" t="s">
        <v>61</v>
      </c>
      <c r="B56" s="424"/>
      <c r="C56" s="424"/>
      <c r="D56" s="424"/>
      <c r="E56" s="424"/>
      <c r="F56" s="424"/>
      <c r="G56" s="424"/>
      <c r="H56" s="424"/>
      <c r="I56" s="424"/>
      <c r="J56" s="424"/>
      <c r="K56" s="426"/>
    </row>
    <row r="57" spans="1:16" ht="21.75" customHeight="1" thickTop="1" thickBot="1" x14ac:dyDescent="0.25">
      <c r="A57" s="95" t="s">
        <v>23</v>
      </c>
      <c r="B57" s="459" t="s">
        <v>424</v>
      </c>
      <c r="C57" s="459"/>
      <c r="D57" s="459"/>
      <c r="E57" s="459"/>
      <c r="F57" s="459"/>
      <c r="G57" s="459"/>
      <c r="H57" s="459"/>
      <c r="I57" s="459"/>
      <c r="J57" s="459"/>
      <c r="K57" s="117">
        <v>0</v>
      </c>
      <c r="L57" s="111"/>
    </row>
    <row r="58" spans="1:16" ht="21.75" customHeight="1" thickTop="1" thickBot="1" x14ac:dyDescent="0.25">
      <c r="A58" s="95" t="s">
        <v>25</v>
      </c>
      <c r="B58" s="459" t="s">
        <v>423</v>
      </c>
      <c r="C58" s="459"/>
      <c r="D58" s="459"/>
      <c r="E58" s="459"/>
      <c r="F58" s="459"/>
      <c r="G58" s="459"/>
      <c r="H58" s="459"/>
      <c r="I58" s="459"/>
      <c r="J58" s="459"/>
      <c r="K58" s="109">
        <v>0</v>
      </c>
      <c r="L58" s="484"/>
      <c r="M58" s="485"/>
      <c r="N58" s="485"/>
      <c r="O58" s="485"/>
    </row>
    <row r="59" spans="1:16" ht="21.75" customHeight="1" thickTop="1" thickBot="1" x14ac:dyDescent="0.25">
      <c r="A59" s="95" t="s">
        <v>28</v>
      </c>
      <c r="B59" s="459" t="s">
        <v>421</v>
      </c>
      <c r="C59" s="459"/>
      <c r="D59" s="459"/>
      <c r="E59" s="459"/>
      <c r="F59" s="459"/>
      <c r="G59" s="459"/>
      <c r="H59" s="459"/>
      <c r="I59" s="459"/>
      <c r="J59" s="459"/>
      <c r="K59" s="109">
        <v>0</v>
      </c>
      <c r="L59" s="484"/>
      <c r="M59" s="485"/>
      <c r="N59" s="485"/>
      <c r="O59" s="485"/>
      <c r="P59" s="111"/>
    </row>
    <row r="60" spans="1:16" ht="21.75" customHeight="1" thickTop="1" thickBot="1" x14ac:dyDescent="0.25">
      <c r="A60" s="95" t="s">
        <v>33</v>
      </c>
      <c r="B60" s="459" t="s">
        <v>420</v>
      </c>
      <c r="C60" s="459"/>
      <c r="D60" s="459"/>
      <c r="E60" s="459"/>
      <c r="F60" s="459"/>
      <c r="G60" s="459"/>
      <c r="H60" s="459"/>
      <c r="I60" s="459"/>
      <c r="J60" s="459"/>
      <c r="K60" s="109">
        <v>0</v>
      </c>
      <c r="L60" s="484"/>
      <c r="M60" s="485"/>
      <c r="N60" s="485"/>
      <c r="O60" s="485"/>
    </row>
    <row r="61" spans="1:16" ht="21.75" customHeight="1" thickTop="1" thickBot="1" x14ac:dyDescent="0.25">
      <c r="A61" s="95" t="s">
        <v>35</v>
      </c>
      <c r="B61" s="459" t="s">
        <v>87</v>
      </c>
      <c r="C61" s="459"/>
      <c r="D61" s="459"/>
      <c r="E61" s="459"/>
      <c r="F61" s="459"/>
      <c r="G61" s="459"/>
      <c r="H61" s="459"/>
      <c r="I61" s="459"/>
      <c r="J61" s="459"/>
      <c r="K61" s="109">
        <v>0</v>
      </c>
      <c r="L61" s="484"/>
      <c r="M61" s="485"/>
      <c r="N61" s="485"/>
      <c r="O61" s="485"/>
    </row>
    <row r="62" spans="1:16" ht="21.75" customHeight="1" thickTop="1" thickBot="1" x14ac:dyDescent="0.25">
      <c r="A62" s="95"/>
      <c r="B62" s="442" t="s">
        <v>47</v>
      </c>
      <c r="C62" s="442"/>
      <c r="D62" s="442"/>
      <c r="E62" s="442"/>
      <c r="F62" s="442"/>
      <c r="G62" s="442"/>
      <c r="H62" s="442"/>
      <c r="I62" s="442"/>
      <c r="J62" s="442"/>
      <c r="K62" s="105">
        <f>SUM(K57:K61)</f>
        <v>0</v>
      </c>
    </row>
    <row r="63" spans="1:16" ht="21.75" customHeight="1" thickTop="1" x14ac:dyDescent="0.2">
      <c r="A63" s="464" t="s">
        <v>153</v>
      </c>
      <c r="B63" s="465"/>
      <c r="C63" s="465"/>
      <c r="D63" s="465"/>
      <c r="E63" s="465"/>
      <c r="F63" s="465"/>
      <c r="G63" s="465"/>
      <c r="H63" s="465"/>
      <c r="I63" s="465"/>
      <c r="J63" s="465"/>
      <c r="K63" s="466"/>
    </row>
    <row r="64" spans="1:16" ht="37.15" customHeight="1" thickBot="1" x14ac:dyDescent="0.25">
      <c r="A64" s="467"/>
      <c r="B64" s="468"/>
      <c r="C64" s="468"/>
      <c r="D64" s="468"/>
      <c r="E64" s="468"/>
      <c r="F64" s="468"/>
      <c r="G64" s="468"/>
      <c r="H64" s="468"/>
      <c r="I64" s="468"/>
      <c r="J64" s="468"/>
      <c r="K64" s="469"/>
    </row>
    <row r="65" spans="1:18" ht="21.75" customHeight="1" thickTop="1" thickBot="1" x14ac:dyDescent="0.25">
      <c r="A65" s="423" t="s">
        <v>64</v>
      </c>
      <c r="B65" s="424"/>
      <c r="C65" s="424"/>
      <c r="D65" s="424"/>
      <c r="E65" s="424"/>
      <c r="F65" s="424"/>
      <c r="G65" s="424"/>
      <c r="H65" s="424"/>
      <c r="I65" s="424"/>
      <c r="J65" s="424"/>
      <c r="K65" s="426"/>
    </row>
    <row r="66" spans="1:18" ht="21.75" customHeight="1" thickTop="1" thickBot="1" x14ac:dyDescent="0.25">
      <c r="A66" s="118" t="s">
        <v>65</v>
      </c>
      <c r="B66" s="455" t="s">
        <v>154</v>
      </c>
      <c r="C66" s="455"/>
      <c r="D66" s="455"/>
      <c r="E66" s="455"/>
      <c r="F66" s="455"/>
      <c r="G66" s="455"/>
      <c r="H66" s="455"/>
      <c r="I66" s="455"/>
      <c r="J66" s="119">
        <f>J40</f>
        <v>0.19440000000000002</v>
      </c>
      <c r="K66" s="120">
        <f>K40</f>
        <v>0</v>
      </c>
    </row>
    <row r="67" spans="1:18" ht="21.75" customHeight="1" thickTop="1" thickBot="1" x14ac:dyDescent="0.25">
      <c r="A67" s="118" t="s">
        <v>67</v>
      </c>
      <c r="B67" s="455" t="s">
        <v>68</v>
      </c>
      <c r="C67" s="455"/>
      <c r="D67" s="455"/>
      <c r="E67" s="455"/>
      <c r="F67" s="455"/>
      <c r="G67" s="455"/>
      <c r="H67" s="455"/>
      <c r="I67" s="455"/>
      <c r="J67" s="119">
        <f>J52</f>
        <v>0.36800000000000005</v>
      </c>
      <c r="K67" s="120">
        <f>K52</f>
        <v>0</v>
      </c>
    </row>
    <row r="68" spans="1:18" ht="21.75" customHeight="1" thickTop="1" thickBot="1" x14ac:dyDescent="0.25">
      <c r="A68" s="118" t="s">
        <v>69</v>
      </c>
      <c r="B68" s="455" t="s">
        <v>70</v>
      </c>
      <c r="C68" s="455"/>
      <c r="D68" s="455"/>
      <c r="E68" s="455"/>
      <c r="F68" s="455"/>
      <c r="G68" s="455"/>
      <c r="H68" s="455"/>
      <c r="I68" s="455"/>
      <c r="J68" s="455"/>
      <c r="K68" s="120">
        <f>K62</f>
        <v>0</v>
      </c>
    </row>
    <row r="69" spans="1:18" ht="21.75" customHeight="1" thickTop="1" thickBot="1" x14ac:dyDescent="0.25">
      <c r="A69" s="95"/>
      <c r="B69" s="442" t="s">
        <v>47</v>
      </c>
      <c r="C69" s="442"/>
      <c r="D69" s="442"/>
      <c r="E69" s="442"/>
      <c r="F69" s="442"/>
      <c r="G69" s="442"/>
      <c r="H69" s="442"/>
      <c r="I69" s="442"/>
      <c r="J69" s="442"/>
      <c r="K69" s="105">
        <f>ROUND((K66+K67+K68),2)</f>
        <v>0</v>
      </c>
    </row>
    <row r="70" spans="1:18" s="121" customFormat="1" ht="21.75" customHeight="1" thickTop="1" thickBot="1" x14ac:dyDescent="0.3">
      <c r="A70" s="482"/>
      <c r="B70" s="483"/>
      <c r="C70" s="483"/>
      <c r="D70" s="483"/>
      <c r="E70" s="483"/>
      <c r="F70" s="483"/>
      <c r="G70" s="483"/>
      <c r="H70" s="483"/>
      <c r="I70" s="483"/>
      <c r="J70" s="483"/>
      <c r="K70" s="483"/>
    </row>
    <row r="71" spans="1:18" s="121" customFormat="1" ht="21.75" customHeight="1" thickTop="1" thickBot="1" x14ac:dyDescent="0.3">
      <c r="A71" s="423" t="s">
        <v>71</v>
      </c>
      <c r="B71" s="424"/>
      <c r="C71" s="424"/>
      <c r="D71" s="424"/>
      <c r="E71" s="424"/>
      <c r="F71" s="424"/>
      <c r="G71" s="424"/>
      <c r="H71" s="424"/>
      <c r="I71" s="424"/>
      <c r="J71" s="424"/>
      <c r="K71" s="426"/>
    </row>
    <row r="72" spans="1:18" s="121" customFormat="1" ht="21.75" customHeight="1" thickTop="1" thickBot="1" x14ac:dyDescent="0.3">
      <c r="A72" s="122" t="s">
        <v>23</v>
      </c>
      <c r="B72" s="459" t="s">
        <v>72</v>
      </c>
      <c r="C72" s="459"/>
      <c r="D72" s="459"/>
      <c r="E72" s="459"/>
      <c r="F72" s="459"/>
      <c r="G72" s="459"/>
      <c r="H72" s="459"/>
      <c r="I72" s="459"/>
      <c r="J72" s="123">
        <f>L72</f>
        <v>4.1666666666666666E-3</v>
      </c>
      <c r="K72" s="124">
        <f>J72*$K$33</f>
        <v>0</v>
      </c>
      <c r="L72" s="478">
        <f>0.05*(1/12)</f>
        <v>4.1666666666666666E-3</v>
      </c>
      <c r="M72" s="479"/>
      <c r="N72" s="121" t="s">
        <v>73</v>
      </c>
    </row>
    <row r="73" spans="1:18" s="121" customFormat="1" ht="21.75" customHeight="1" thickTop="1" thickBot="1" x14ac:dyDescent="0.3">
      <c r="A73" s="122" t="s">
        <v>25</v>
      </c>
      <c r="B73" s="459" t="s">
        <v>74</v>
      </c>
      <c r="C73" s="459"/>
      <c r="D73" s="459"/>
      <c r="E73" s="459"/>
      <c r="F73" s="459"/>
      <c r="G73" s="459"/>
      <c r="H73" s="459"/>
      <c r="I73" s="459"/>
      <c r="J73" s="123">
        <f>L73</f>
        <v>3.3333333333333332E-4</v>
      </c>
      <c r="K73" s="124">
        <f t="shared" ref="K73:K75" si="0">J73*$K$33</f>
        <v>0</v>
      </c>
      <c r="L73" s="480">
        <f>0.08*J72</f>
        <v>3.3333333333333332E-4</v>
      </c>
      <c r="M73" s="481"/>
    </row>
    <row r="74" spans="1:18" s="121" customFormat="1" ht="28.15" customHeight="1" thickTop="1" thickBot="1" x14ac:dyDescent="0.3">
      <c r="A74" s="122" t="s">
        <v>28</v>
      </c>
      <c r="B74" s="472" t="s">
        <v>75</v>
      </c>
      <c r="C74" s="472"/>
      <c r="D74" s="472"/>
      <c r="E74" s="472"/>
      <c r="F74" s="472"/>
      <c r="G74" s="472"/>
      <c r="H74" s="472"/>
      <c r="I74" s="472"/>
      <c r="J74" s="125">
        <f>L74</f>
        <v>3.4799999999999998E-2</v>
      </c>
      <c r="K74" s="124">
        <f t="shared" si="0"/>
        <v>0</v>
      </c>
      <c r="L74" s="473">
        <f>(0.08*(0.4)*0.9)*((1+5/56+5/56)+(1/3*5/56))</f>
        <v>3.4799999999999998E-2</v>
      </c>
      <c r="M74" s="474"/>
      <c r="N74" s="126"/>
      <c r="O74" s="127"/>
      <c r="P74" s="127"/>
      <c r="Q74" s="127"/>
      <c r="R74" s="127"/>
    </row>
    <row r="75" spans="1:18" s="121" customFormat="1" ht="21.75" customHeight="1" thickTop="1" thickBot="1" x14ac:dyDescent="0.3">
      <c r="A75" s="122" t="s">
        <v>33</v>
      </c>
      <c r="B75" s="459" t="s">
        <v>76</v>
      </c>
      <c r="C75" s="459"/>
      <c r="D75" s="459"/>
      <c r="E75" s="459"/>
      <c r="F75" s="459"/>
      <c r="G75" s="459"/>
      <c r="H75" s="459"/>
      <c r="I75" s="459"/>
      <c r="J75" s="125">
        <f>L75</f>
        <v>1.9444444444444445E-2</v>
      </c>
      <c r="K75" s="124">
        <f t="shared" si="0"/>
        <v>0</v>
      </c>
      <c r="L75" s="473">
        <f>(7/30)/12</f>
        <v>1.9444444444444445E-2</v>
      </c>
      <c r="M75" s="474"/>
    </row>
    <row r="76" spans="1:18" s="121" customFormat="1" ht="30" customHeight="1" thickTop="1" thickBot="1" x14ac:dyDescent="0.3">
      <c r="A76" s="122" t="s">
        <v>35</v>
      </c>
      <c r="B76" s="459" t="s">
        <v>77</v>
      </c>
      <c r="C76" s="459"/>
      <c r="D76" s="459"/>
      <c r="E76" s="459"/>
      <c r="F76" s="459"/>
      <c r="G76" s="459"/>
      <c r="H76" s="459"/>
      <c r="I76" s="459"/>
      <c r="J76" s="123">
        <f>J52*J75</f>
        <v>7.1555555555555565E-3</v>
      </c>
      <c r="K76" s="124">
        <f>K33*J76</f>
        <v>0</v>
      </c>
      <c r="L76" s="470">
        <f>J75*J52</f>
        <v>7.1555555555555565E-3</v>
      </c>
      <c r="M76" s="471"/>
      <c r="N76" s="128"/>
    </row>
    <row r="77" spans="1:18" s="121" customFormat="1" ht="30" customHeight="1" thickTop="1" thickBot="1" x14ac:dyDescent="0.3">
      <c r="A77" s="122" t="s">
        <v>37</v>
      </c>
      <c r="B77" s="472" t="s">
        <v>78</v>
      </c>
      <c r="C77" s="472"/>
      <c r="D77" s="472"/>
      <c r="E77" s="472"/>
      <c r="F77" s="472"/>
      <c r="G77" s="472"/>
      <c r="H77" s="472"/>
      <c r="I77" s="472"/>
      <c r="J77" s="123">
        <f>L77</f>
        <v>6.2222222222222225E-4</v>
      </c>
      <c r="K77" s="124">
        <f>J77*(K33+K40)</f>
        <v>0</v>
      </c>
      <c r="L77" s="473">
        <f>0.08*(0.4)*J75</f>
        <v>6.2222222222222225E-4</v>
      </c>
      <c r="M77" s="474"/>
      <c r="O77" s="129"/>
    </row>
    <row r="78" spans="1:18" s="121" customFormat="1" ht="21.75" customHeight="1" thickTop="1" thickBot="1" x14ac:dyDescent="0.3">
      <c r="A78" s="423" t="s">
        <v>47</v>
      </c>
      <c r="B78" s="424"/>
      <c r="C78" s="424"/>
      <c r="D78" s="424"/>
      <c r="E78" s="424"/>
      <c r="F78" s="424"/>
      <c r="G78" s="424"/>
      <c r="H78" s="424"/>
      <c r="I78" s="424"/>
      <c r="J78" s="130"/>
      <c r="K78" s="131">
        <f>ROUND(K72+K73+K74+K75+K76+K77,2)</f>
        <v>0</v>
      </c>
    </row>
    <row r="79" spans="1:18" s="121" customFormat="1" ht="21.75" customHeight="1" thickTop="1" x14ac:dyDescent="0.25">
      <c r="A79" s="464" t="s">
        <v>155</v>
      </c>
      <c r="B79" s="465"/>
      <c r="C79" s="465"/>
      <c r="D79" s="465"/>
      <c r="E79" s="465"/>
      <c r="F79" s="465"/>
      <c r="G79" s="465"/>
      <c r="H79" s="465"/>
      <c r="I79" s="465"/>
      <c r="J79" s="465"/>
      <c r="K79" s="466"/>
    </row>
    <row r="80" spans="1:18" s="121" customFormat="1" ht="21.75" customHeight="1" x14ac:dyDescent="0.25">
      <c r="A80" s="475"/>
      <c r="B80" s="476"/>
      <c r="C80" s="476"/>
      <c r="D80" s="476"/>
      <c r="E80" s="476"/>
      <c r="F80" s="476"/>
      <c r="G80" s="476"/>
      <c r="H80" s="476"/>
      <c r="I80" s="476"/>
      <c r="J80" s="476"/>
      <c r="K80" s="477"/>
    </row>
    <row r="81" spans="1:18" s="121" customFormat="1" ht="12.6" customHeight="1" thickBot="1" x14ac:dyDescent="0.3">
      <c r="A81" s="467"/>
      <c r="B81" s="468"/>
      <c r="C81" s="468"/>
      <c r="D81" s="468"/>
      <c r="E81" s="468"/>
      <c r="F81" s="468"/>
      <c r="G81" s="468"/>
      <c r="H81" s="468"/>
      <c r="I81" s="468"/>
      <c r="J81" s="468"/>
      <c r="K81" s="469"/>
    </row>
    <row r="82" spans="1:18" s="121" customFormat="1" ht="21.75" customHeight="1" thickTop="1" thickBot="1" x14ac:dyDescent="0.3">
      <c r="A82" s="423" t="s">
        <v>80</v>
      </c>
      <c r="B82" s="424"/>
      <c r="C82" s="424"/>
      <c r="D82" s="424"/>
      <c r="E82" s="424"/>
      <c r="F82" s="424"/>
      <c r="G82" s="424"/>
      <c r="H82" s="424"/>
      <c r="I82" s="424"/>
      <c r="J82" s="424"/>
      <c r="K82" s="426"/>
    </row>
    <row r="83" spans="1:18" s="121" customFormat="1" ht="21.75" customHeight="1" thickTop="1" thickBot="1" x14ac:dyDescent="0.3">
      <c r="A83" s="423" t="s">
        <v>144</v>
      </c>
      <c r="B83" s="424"/>
      <c r="C83" s="424"/>
      <c r="D83" s="424"/>
      <c r="E83" s="424"/>
      <c r="F83" s="424"/>
      <c r="G83" s="424"/>
      <c r="H83" s="424"/>
      <c r="I83" s="424"/>
      <c r="J83" s="424"/>
      <c r="K83" s="426"/>
    </row>
    <row r="84" spans="1:18" s="121" customFormat="1" ht="21.75" customHeight="1" thickTop="1" thickBot="1" x14ac:dyDescent="0.3">
      <c r="A84" s="132" t="s">
        <v>23</v>
      </c>
      <c r="B84" s="459" t="s">
        <v>82</v>
      </c>
      <c r="C84" s="459"/>
      <c r="D84" s="459"/>
      <c r="E84" s="459"/>
      <c r="F84" s="459"/>
      <c r="G84" s="459"/>
      <c r="H84" s="459"/>
      <c r="I84" s="459"/>
      <c r="J84" s="125">
        <f>L84</f>
        <v>9.0909090909090912E-2</v>
      </c>
      <c r="K84" s="124">
        <f>J84*$K$33</f>
        <v>0</v>
      </c>
      <c r="L84" s="133">
        <f>(5/55)</f>
        <v>9.0909090909090912E-2</v>
      </c>
      <c r="M84" s="134"/>
    </row>
    <row r="85" spans="1:18" s="121" customFormat="1" ht="21.75" customHeight="1" thickTop="1" thickBot="1" x14ac:dyDescent="0.3">
      <c r="A85" s="132" t="s">
        <v>25</v>
      </c>
      <c r="B85" s="459" t="s">
        <v>83</v>
      </c>
      <c r="C85" s="459"/>
      <c r="D85" s="459"/>
      <c r="E85" s="459"/>
      <c r="F85" s="459"/>
      <c r="G85" s="459"/>
      <c r="H85" s="459"/>
      <c r="I85" s="459"/>
      <c r="J85" s="123">
        <f>L85</f>
        <v>1.3698630136986301E-2</v>
      </c>
      <c r="K85" s="124">
        <f t="shared" ref="K85:K89" si="1">J85*$K$33</f>
        <v>0</v>
      </c>
      <c r="L85" s="133">
        <f>5/365</f>
        <v>1.3698630136986301E-2</v>
      </c>
      <c r="M85" s="135"/>
      <c r="N85" s="136"/>
      <c r="O85" s="136"/>
      <c r="P85" s="136"/>
    </row>
    <row r="86" spans="1:18" s="121" customFormat="1" ht="21.75" customHeight="1" thickTop="1" thickBot="1" x14ac:dyDescent="0.3">
      <c r="A86" s="132" t="s">
        <v>28</v>
      </c>
      <c r="B86" s="459" t="s">
        <v>84</v>
      </c>
      <c r="C86" s="459"/>
      <c r="D86" s="459"/>
      <c r="E86" s="459"/>
      <c r="F86" s="459"/>
      <c r="G86" s="459"/>
      <c r="H86" s="459"/>
      <c r="I86" s="459"/>
      <c r="J86" s="123">
        <f>L86</f>
        <v>2.0547945205479451E-4</v>
      </c>
      <c r="K86" s="124">
        <f t="shared" si="1"/>
        <v>0</v>
      </c>
      <c r="L86" s="133">
        <f>5/365*0.015</f>
        <v>2.0547945205479451E-4</v>
      </c>
      <c r="M86" s="137"/>
    </row>
    <row r="87" spans="1:18" s="121" customFormat="1" ht="21.75" customHeight="1" thickTop="1" thickBot="1" x14ac:dyDescent="0.3">
      <c r="A87" s="132" t="s">
        <v>33</v>
      </c>
      <c r="B87" s="459" t="s">
        <v>85</v>
      </c>
      <c r="C87" s="459"/>
      <c r="D87" s="459"/>
      <c r="E87" s="459"/>
      <c r="F87" s="459"/>
      <c r="G87" s="459"/>
      <c r="H87" s="459"/>
      <c r="I87" s="459"/>
      <c r="J87" s="123">
        <f>L87</f>
        <v>3.2876712328767121E-3</v>
      </c>
      <c r="K87" s="124">
        <f t="shared" si="1"/>
        <v>0</v>
      </c>
      <c r="L87" s="133">
        <f>15/365*0.08</f>
        <v>3.2876712328767121E-3</v>
      </c>
      <c r="M87" s="137"/>
    </row>
    <row r="88" spans="1:18" s="121" customFormat="1" ht="21.75" customHeight="1" thickTop="1" thickBot="1" x14ac:dyDescent="0.3">
      <c r="A88" s="132" t="s">
        <v>35</v>
      </c>
      <c r="B88" s="459" t="s">
        <v>86</v>
      </c>
      <c r="C88" s="459"/>
      <c r="D88" s="459"/>
      <c r="E88" s="459"/>
      <c r="F88" s="459"/>
      <c r="G88" s="459"/>
      <c r="H88" s="459"/>
      <c r="I88" s="459"/>
      <c r="J88" s="123">
        <f>M88</f>
        <v>1.6133333333333334E-3</v>
      </c>
      <c r="K88" s="124">
        <f t="shared" si="1"/>
        <v>0</v>
      </c>
      <c r="L88"/>
      <c r="M88" s="138">
        <f>((0.121*4)/12*0.04)</f>
        <v>1.6133333333333334E-3</v>
      </c>
      <c r="N88" s="139"/>
      <c r="Q88" s="140"/>
      <c r="R88" s="141"/>
    </row>
    <row r="89" spans="1:18" s="121" customFormat="1" ht="21.75" customHeight="1" thickTop="1" thickBot="1" x14ac:dyDescent="0.3">
      <c r="A89" s="132" t="s">
        <v>37</v>
      </c>
      <c r="B89" s="459" t="s">
        <v>87</v>
      </c>
      <c r="C89" s="459"/>
      <c r="D89" s="459"/>
      <c r="E89" s="459"/>
      <c r="F89" s="459"/>
      <c r="G89" s="459"/>
      <c r="H89" s="459"/>
      <c r="I89" s="459"/>
      <c r="J89" s="125">
        <v>0</v>
      </c>
      <c r="K89" s="124">
        <f t="shared" si="1"/>
        <v>0</v>
      </c>
      <c r="L89"/>
      <c r="M89" s="137"/>
    </row>
    <row r="90" spans="1:18" s="121" customFormat="1" ht="21.75" customHeight="1" thickTop="1" thickBot="1" x14ac:dyDescent="0.3">
      <c r="A90" s="132" t="s">
        <v>39</v>
      </c>
      <c r="B90" s="459" t="s">
        <v>88</v>
      </c>
      <c r="C90" s="459"/>
      <c r="D90" s="459"/>
      <c r="E90" s="459"/>
      <c r="F90" s="459"/>
      <c r="G90" s="459"/>
      <c r="H90" s="459"/>
      <c r="I90" s="459"/>
      <c r="J90" s="125">
        <f>(J84+J85+J86+J87+J88+J89)*J52</f>
        <v>4.0374827463677876E-2</v>
      </c>
      <c r="K90" s="124">
        <f>K33*J90</f>
        <v>0</v>
      </c>
      <c r="L90" s="137"/>
      <c r="M90" s="137"/>
      <c r="Q90" s="142"/>
    </row>
    <row r="91" spans="1:18" s="121" customFormat="1" ht="21.75" customHeight="1" thickTop="1" thickBot="1" x14ac:dyDescent="0.3">
      <c r="A91" s="423" t="s">
        <v>47</v>
      </c>
      <c r="B91" s="424"/>
      <c r="C91" s="424"/>
      <c r="D91" s="424"/>
      <c r="E91" s="424"/>
      <c r="F91" s="424"/>
      <c r="G91" s="424"/>
      <c r="H91" s="424"/>
      <c r="I91" s="426"/>
      <c r="J91" s="143">
        <f>SUM(J84:J90)</f>
        <v>0.15008903252801992</v>
      </c>
      <c r="K91" s="131">
        <f>ROUND(K84+K85+K86+K87+K88+K90,2)</f>
        <v>0</v>
      </c>
    </row>
    <row r="92" spans="1:18" s="121" customFormat="1" ht="21.75" customHeight="1" thickTop="1" x14ac:dyDescent="0.25">
      <c r="A92" s="464" t="s">
        <v>156</v>
      </c>
      <c r="B92" s="465"/>
      <c r="C92" s="465"/>
      <c r="D92" s="465"/>
      <c r="E92" s="465"/>
      <c r="F92" s="465"/>
      <c r="G92" s="465"/>
      <c r="H92" s="465"/>
      <c r="I92" s="465"/>
      <c r="J92" s="465"/>
      <c r="K92" s="466"/>
    </row>
    <row r="93" spans="1:18" s="121" customFormat="1" ht="27" customHeight="1" thickBot="1" x14ac:dyDescent="0.3">
      <c r="A93" s="467"/>
      <c r="B93" s="468"/>
      <c r="C93" s="468"/>
      <c r="D93" s="468"/>
      <c r="E93" s="468"/>
      <c r="F93" s="468"/>
      <c r="G93" s="468"/>
      <c r="H93" s="468"/>
      <c r="I93" s="468"/>
      <c r="J93" s="468"/>
      <c r="K93" s="469"/>
    </row>
    <row r="94" spans="1:18" s="121" customFormat="1" ht="21.75" customHeight="1" thickTop="1" thickBot="1" x14ac:dyDescent="0.3">
      <c r="A94" s="423" t="s">
        <v>90</v>
      </c>
      <c r="B94" s="424"/>
      <c r="C94" s="424"/>
      <c r="D94" s="424"/>
      <c r="E94" s="424"/>
      <c r="F94" s="424"/>
      <c r="G94" s="424"/>
      <c r="H94" s="424"/>
      <c r="I94" s="424"/>
      <c r="J94" s="424"/>
      <c r="K94" s="426"/>
    </row>
    <row r="95" spans="1:18" s="121" customFormat="1" ht="21.75" customHeight="1" thickTop="1" thickBot="1" x14ac:dyDescent="0.25">
      <c r="A95" s="95" t="s">
        <v>23</v>
      </c>
      <c r="B95" s="459" t="s">
        <v>91</v>
      </c>
      <c r="C95" s="459"/>
      <c r="D95" s="459"/>
      <c r="E95" s="459"/>
      <c r="F95" s="459"/>
      <c r="G95" s="459"/>
      <c r="H95" s="459"/>
      <c r="I95" s="459"/>
      <c r="J95" s="144">
        <v>0</v>
      </c>
      <c r="K95" s="102">
        <f>J95*L95</f>
        <v>0</v>
      </c>
      <c r="L95" s="136"/>
      <c r="M95" s="127"/>
      <c r="R95" s="145"/>
    </row>
    <row r="96" spans="1:18" s="121" customFormat="1" ht="21.75" customHeight="1" thickTop="1" thickBot="1" x14ac:dyDescent="0.3">
      <c r="A96" s="95"/>
      <c r="B96" s="460" t="s">
        <v>47</v>
      </c>
      <c r="C96" s="460"/>
      <c r="D96" s="460"/>
      <c r="E96" s="460"/>
      <c r="F96" s="460"/>
      <c r="G96" s="460"/>
      <c r="H96" s="460"/>
      <c r="I96" s="460"/>
      <c r="J96" s="146"/>
      <c r="K96" s="102">
        <f>K95</f>
        <v>0</v>
      </c>
      <c r="L96" s="136"/>
    </row>
    <row r="97" spans="1:13" s="121" customFormat="1" ht="35.450000000000003" customHeight="1" thickTop="1" thickBot="1" x14ac:dyDescent="0.3">
      <c r="A97" s="439" t="s">
        <v>157</v>
      </c>
      <c r="B97" s="440"/>
      <c r="C97" s="440"/>
      <c r="D97" s="440"/>
      <c r="E97" s="440"/>
      <c r="F97" s="440"/>
      <c r="G97" s="440"/>
      <c r="H97" s="440"/>
      <c r="I97" s="440"/>
      <c r="J97" s="440"/>
      <c r="K97" s="441"/>
    </row>
    <row r="98" spans="1:13" s="121" customFormat="1" ht="21.75" customHeight="1" thickTop="1" thickBot="1" x14ac:dyDescent="0.3">
      <c r="A98" s="423" t="s">
        <v>93</v>
      </c>
      <c r="B98" s="424"/>
      <c r="C98" s="424"/>
      <c r="D98" s="424"/>
      <c r="E98" s="424"/>
      <c r="F98" s="424"/>
      <c r="G98" s="424"/>
      <c r="H98" s="424"/>
      <c r="I98" s="424"/>
      <c r="J98" s="424"/>
      <c r="K98" s="426"/>
    </row>
    <row r="99" spans="1:13" s="121" customFormat="1" ht="21.75" customHeight="1" thickTop="1" thickBot="1" x14ac:dyDescent="0.3">
      <c r="A99" s="95" t="s">
        <v>94</v>
      </c>
      <c r="B99" s="461" t="s">
        <v>95</v>
      </c>
      <c r="C99" s="462"/>
      <c r="D99" s="462"/>
      <c r="E99" s="462"/>
      <c r="F99" s="462"/>
      <c r="G99" s="462"/>
      <c r="H99" s="462"/>
      <c r="I99" s="462"/>
      <c r="J99" s="463"/>
      <c r="K99" s="104">
        <f>K91</f>
        <v>0</v>
      </c>
    </row>
    <row r="100" spans="1:13" s="121" customFormat="1" ht="21.75" customHeight="1" thickTop="1" thickBot="1" x14ac:dyDescent="0.3">
      <c r="A100" s="95" t="s">
        <v>96</v>
      </c>
      <c r="B100" s="461" t="s">
        <v>97</v>
      </c>
      <c r="C100" s="462"/>
      <c r="D100" s="462"/>
      <c r="E100" s="462"/>
      <c r="F100" s="462"/>
      <c r="G100" s="462"/>
      <c r="H100" s="462"/>
      <c r="I100" s="462"/>
      <c r="J100" s="463"/>
      <c r="K100" s="104">
        <f>K96</f>
        <v>0</v>
      </c>
    </row>
    <row r="101" spans="1:13" s="121" customFormat="1" ht="21.75" customHeight="1" thickTop="1" thickBot="1" x14ac:dyDescent="0.3">
      <c r="A101" s="95"/>
      <c r="B101" s="442" t="s">
        <v>47</v>
      </c>
      <c r="C101" s="442"/>
      <c r="D101" s="442"/>
      <c r="E101" s="442"/>
      <c r="F101" s="442"/>
      <c r="G101" s="442"/>
      <c r="H101" s="442"/>
      <c r="I101" s="442"/>
      <c r="J101" s="442"/>
      <c r="K101" s="131">
        <f>K99+K100</f>
        <v>0</v>
      </c>
    </row>
    <row r="102" spans="1:13" s="121" customFormat="1" ht="21.75" customHeight="1" thickTop="1" thickBot="1" x14ac:dyDescent="0.3">
      <c r="A102" s="439"/>
      <c r="B102" s="440"/>
      <c r="C102" s="440"/>
      <c r="D102" s="440"/>
      <c r="E102" s="440"/>
      <c r="F102" s="440"/>
      <c r="G102" s="440"/>
      <c r="H102" s="440"/>
      <c r="I102" s="440"/>
      <c r="J102" s="440"/>
      <c r="K102" s="441"/>
    </row>
    <row r="103" spans="1:13" ht="21.75" customHeight="1" thickTop="1" thickBot="1" x14ac:dyDescent="0.25">
      <c r="A103" s="423" t="s">
        <v>98</v>
      </c>
      <c r="B103" s="424"/>
      <c r="C103" s="424"/>
      <c r="D103" s="424"/>
      <c r="E103" s="424"/>
      <c r="F103" s="424"/>
      <c r="G103" s="424"/>
      <c r="H103" s="424"/>
      <c r="I103" s="424"/>
      <c r="J103" s="426"/>
      <c r="K103" s="95" t="s">
        <v>99</v>
      </c>
    </row>
    <row r="104" spans="1:13" ht="21.75" customHeight="1" thickTop="1" thickBot="1" x14ac:dyDescent="0.25">
      <c r="A104" s="95" t="s">
        <v>23</v>
      </c>
      <c r="B104" s="455" t="s">
        <v>100</v>
      </c>
      <c r="C104" s="455"/>
      <c r="D104" s="455"/>
      <c r="E104" s="455"/>
      <c r="F104" s="455"/>
      <c r="G104" s="455"/>
      <c r="H104" s="455"/>
      <c r="I104" s="455"/>
      <c r="J104" s="455"/>
      <c r="K104" s="147">
        <f>'Insumos Sede'!I101</f>
        <v>0</v>
      </c>
    </row>
    <row r="105" spans="1:13" ht="21.75" customHeight="1" thickTop="1" thickBot="1" x14ac:dyDescent="0.25">
      <c r="A105" s="95" t="s">
        <v>25</v>
      </c>
      <c r="B105" s="455" t="s">
        <v>101</v>
      </c>
      <c r="C105" s="455"/>
      <c r="D105" s="455"/>
      <c r="E105" s="456" t="s">
        <v>102</v>
      </c>
      <c r="F105" s="456"/>
      <c r="G105" s="456"/>
      <c r="H105" s="456"/>
      <c r="I105" s="456"/>
      <c r="J105" s="456"/>
      <c r="K105" s="147">
        <v>0</v>
      </c>
    </row>
    <row r="106" spans="1:13" ht="21.75" customHeight="1" thickTop="1" thickBot="1" x14ac:dyDescent="0.25">
      <c r="A106" s="95" t="s">
        <v>28</v>
      </c>
      <c r="B106" s="455" t="s">
        <v>103</v>
      </c>
      <c r="C106" s="455"/>
      <c r="D106" s="455"/>
      <c r="E106" s="456" t="s">
        <v>102</v>
      </c>
      <c r="F106" s="456"/>
      <c r="G106" s="456"/>
      <c r="H106" s="456"/>
      <c r="I106" s="456"/>
      <c r="J106" s="456"/>
      <c r="K106" s="147">
        <v>0</v>
      </c>
    </row>
    <row r="107" spans="1:13" ht="21.75" customHeight="1" thickTop="1" thickBot="1" x14ac:dyDescent="0.25">
      <c r="A107" s="442" t="s">
        <v>33</v>
      </c>
      <c r="B107" s="457" t="s">
        <v>87</v>
      </c>
      <c r="C107" s="457"/>
      <c r="D107" s="458" t="s">
        <v>104</v>
      </c>
      <c r="E107" s="458"/>
      <c r="F107" s="458"/>
      <c r="G107" s="458"/>
      <c r="H107" s="458"/>
      <c r="I107" s="458"/>
      <c r="J107" s="458"/>
      <c r="K107" s="147">
        <v>0</v>
      </c>
    </row>
    <row r="108" spans="1:13" ht="21.75" customHeight="1" thickTop="1" thickBot="1" x14ac:dyDescent="0.25">
      <c r="A108" s="442"/>
      <c r="B108" s="457"/>
      <c r="C108" s="457"/>
      <c r="D108" s="458" t="s">
        <v>104</v>
      </c>
      <c r="E108" s="458"/>
      <c r="F108" s="458"/>
      <c r="G108" s="458"/>
      <c r="H108" s="458"/>
      <c r="I108" s="458"/>
      <c r="J108" s="458"/>
      <c r="K108" s="147">
        <f>J108*K33</f>
        <v>0</v>
      </c>
    </row>
    <row r="109" spans="1:13" s="121" customFormat="1" ht="21.75" customHeight="1" thickTop="1" thickBot="1" x14ac:dyDescent="0.3">
      <c r="A109" s="423" t="s">
        <v>105</v>
      </c>
      <c r="B109" s="424"/>
      <c r="C109" s="424"/>
      <c r="D109" s="424"/>
      <c r="E109" s="424"/>
      <c r="F109" s="424"/>
      <c r="G109" s="424"/>
      <c r="H109" s="424"/>
      <c r="I109" s="424"/>
      <c r="J109" s="426"/>
      <c r="K109" s="131">
        <f>SUM(K104:K108)</f>
        <v>0</v>
      </c>
    </row>
    <row r="110" spans="1:13" s="121" customFormat="1" ht="21.75" customHeight="1" thickTop="1" thickBot="1" x14ac:dyDescent="0.3">
      <c r="A110" s="439" t="s">
        <v>158</v>
      </c>
      <c r="B110" s="440"/>
      <c r="C110" s="440"/>
      <c r="D110" s="440"/>
      <c r="E110" s="440"/>
      <c r="F110" s="440"/>
      <c r="G110" s="440"/>
      <c r="H110" s="440"/>
      <c r="I110" s="440"/>
      <c r="J110" s="440"/>
      <c r="K110" s="441"/>
    </row>
    <row r="111" spans="1:13" s="121" customFormat="1" ht="21.75" customHeight="1" thickTop="1" thickBot="1" x14ac:dyDescent="0.3">
      <c r="A111" s="423" t="s">
        <v>107</v>
      </c>
      <c r="B111" s="424"/>
      <c r="C111" s="424"/>
      <c r="D111" s="424"/>
      <c r="E111" s="424"/>
      <c r="F111" s="424"/>
      <c r="G111" s="424"/>
      <c r="H111" s="424"/>
      <c r="I111" s="424"/>
      <c r="J111" s="426"/>
      <c r="K111" s="95" t="s">
        <v>22</v>
      </c>
    </row>
    <row r="112" spans="1:13" s="121" customFormat="1" ht="21.75" customHeight="1" thickTop="1" thickBot="1" x14ac:dyDescent="0.3">
      <c r="A112" s="95" t="s">
        <v>23</v>
      </c>
      <c r="B112" s="86" t="s">
        <v>108</v>
      </c>
      <c r="C112" s="86"/>
      <c r="D112" s="86"/>
      <c r="E112" s="86"/>
      <c r="F112" s="86"/>
      <c r="G112" s="86"/>
      <c r="H112" s="86"/>
      <c r="I112" s="86"/>
      <c r="J112" s="340">
        <v>0.03</v>
      </c>
      <c r="K112" s="124">
        <f>J112*K132</f>
        <v>0</v>
      </c>
      <c r="L112" s="137" t="s">
        <v>109</v>
      </c>
      <c r="M112" s="137"/>
    </row>
    <row r="113" spans="1:13" s="121" customFormat="1" ht="21.75" customHeight="1" thickTop="1" thickBot="1" x14ac:dyDescent="0.3">
      <c r="A113" s="95" t="s">
        <v>25</v>
      </c>
      <c r="B113" s="86" t="s">
        <v>110</v>
      </c>
      <c r="C113" s="86"/>
      <c r="D113" s="86"/>
      <c r="E113" s="86"/>
      <c r="F113" s="86"/>
      <c r="G113" s="86"/>
      <c r="H113" s="86"/>
      <c r="I113" s="86"/>
      <c r="J113" s="340">
        <v>6.7900000000000002E-2</v>
      </c>
      <c r="K113" s="124">
        <f>(K132+K112)*J113</f>
        <v>0</v>
      </c>
      <c r="L113" s="148"/>
      <c r="M113" s="137"/>
    </row>
    <row r="114" spans="1:13" s="121" customFormat="1" ht="21.75" customHeight="1" thickTop="1" thickBot="1" x14ac:dyDescent="0.3">
      <c r="A114" s="442" t="s">
        <v>28</v>
      </c>
      <c r="B114" s="86" t="s">
        <v>111</v>
      </c>
      <c r="C114" s="86"/>
      <c r="D114" s="86"/>
      <c r="E114" s="86"/>
      <c r="F114" s="86"/>
      <c r="G114" s="86"/>
      <c r="H114" s="86"/>
      <c r="I114" s="149" t="s">
        <v>112</v>
      </c>
      <c r="J114" s="136"/>
      <c r="K114" s="146"/>
    </row>
    <row r="115" spans="1:13" s="121" customFormat="1" ht="21.75" customHeight="1" thickTop="1" thickBot="1" x14ac:dyDescent="0.3">
      <c r="A115" s="442"/>
      <c r="B115" s="86"/>
      <c r="C115" s="150" t="s">
        <v>113</v>
      </c>
      <c r="D115" s="150"/>
      <c r="E115" s="150"/>
      <c r="F115" s="86" t="s">
        <v>114</v>
      </c>
      <c r="G115" s="151"/>
      <c r="H115" s="151"/>
      <c r="I115" s="443">
        <f>SUM(J115:J117)</f>
        <v>0.14250000000000002</v>
      </c>
      <c r="J115" s="152">
        <v>1.6500000000000001E-2</v>
      </c>
      <c r="K115" s="153">
        <f>((K132+K112+K113)/(1-I115))*J115</f>
        <v>0</v>
      </c>
    </row>
    <row r="116" spans="1:13" s="121" customFormat="1" ht="21.75" customHeight="1" thickTop="1" thickBot="1" x14ac:dyDescent="0.3">
      <c r="A116" s="442"/>
      <c r="B116" s="86"/>
      <c r="C116" s="86"/>
      <c r="D116" s="86"/>
      <c r="E116" s="86"/>
      <c r="F116" s="86" t="s">
        <v>115</v>
      </c>
      <c r="G116" s="151"/>
      <c r="H116" s="151"/>
      <c r="I116" s="444"/>
      <c r="J116" s="152">
        <v>7.5999999999999998E-2</v>
      </c>
      <c r="K116" s="153">
        <f>((K132+K112+K113)/(1-I115))*J116</f>
        <v>0</v>
      </c>
    </row>
    <row r="117" spans="1:13" s="121" customFormat="1" ht="21.75" customHeight="1" thickTop="1" thickBot="1" x14ac:dyDescent="0.3">
      <c r="A117" s="442"/>
      <c r="B117" s="150"/>
      <c r="C117" s="150" t="s">
        <v>116</v>
      </c>
      <c r="D117" s="150"/>
      <c r="E117" s="86"/>
      <c r="F117" s="86" t="s">
        <v>117</v>
      </c>
      <c r="G117" s="151"/>
      <c r="H117" s="151"/>
      <c r="I117" s="445"/>
      <c r="J117" s="152">
        <v>0.05</v>
      </c>
      <c r="K117" s="153">
        <f>((K132+K112+K113)/(1-I115))*J117</f>
        <v>0</v>
      </c>
    </row>
    <row r="118" spans="1:13" s="121" customFormat="1" ht="21.75" customHeight="1" thickTop="1" thickBot="1" x14ac:dyDescent="0.3">
      <c r="A118" s="154" t="s">
        <v>118</v>
      </c>
      <c r="B118" s="130"/>
      <c r="C118" s="130"/>
      <c r="D118" s="130"/>
      <c r="E118" s="130"/>
      <c r="F118" s="130"/>
      <c r="G118" s="130"/>
      <c r="H118" s="130"/>
      <c r="I118" s="130"/>
      <c r="J118" s="130"/>
      <c r="K118" s="131">
        <f>K112+K113+K115+K116+K117</f>
        <v>0</v>
      </c>
    </row>
    <row r="119" spans="1:13" s="121" customFormat="1" ht="37.15" customHeight="1" thickTop="1" thickBot="1" x14ac:dyDescent="0.3">
      <c r="A119" s="446" t="s">
        <v>159</v>
      </c>
      <c r="B119" s="447"/>
      <c r="C119" s="447"/>
      <c r="D119" s="447"/>
      <c r="E119" s="447"/>
      <c r="F119" s="447"/>
      <c r="G119" s="447"/>
      <c r="H119" s="447"/>
      <c r="I119" s="447"/>
      <c r="J119" s="447"/>
      <c r="K119" s="448"/>
    </row>
    <row r="120" spans="1:13" s="121" customFormat="1" ht="21.6" hidden="1" customHeight="1" x14ac:dyDescent="0.25">
      <c r="A120" s="449"/>
      <c r="B120" s="450"/>
      <c r="C120" s="450"/>
      <c r="D120" s="450"/>
      <c r="E120" s="450"/>
      <c r="F120" s="450"/>
      <c r="G120" s="450"/>
      <c r="H120" s="450"/>
      <c r="I120" s="450"/>
      <c r="J120" s="450"/>
      <c r="K120" s="451"/>
    </row>
    <row r="121" spans="1:13" s="121" customFormat="1" ht="21.6" hidden="1" customHeight="1" x14ac:dyDescent="0.25">
      <c r="A121" s="449"/>
      <c r="B121" s="450"/>
      <c r="C121" s="450"/>
      <c r="D121" s="450"/>
      <c r="E121" s="450"/>
      <c r="F121" s="450"/>
      <c r="G121" s="450"/>
      <c r="H121" s="450"/>
      <c r="I121" s="450"/>
      <c r="J121" s="450"/>
      <c r="K121" s="451"/>
    </row>
    <row r="122" spans="1:13" s="121" customFormat="1" ht="21.6" hidden="1" customHeight="1" x14ac:dyDescent="0.25">
      <c r="A122" s="449"/>
      <c r="B122" s="450"/>
      <c r="C122" s="450"/>
      <c r="D122" s="450"/>
      <c r="E122" s="450"/>
      <c r="F122" s="450"/>
      <c r="G122" s="450"/>
      <c r="H122" s="450"/>
      <c r="I122" s="450"/>
      <c r="J122" s="450"/>
      <c r="K122" s="451"/>
    </row>
    <row r="123" spans="1:13" s="121" customFormat="1" ht="21.6" hidden="1" customHeight="1" x14ac:dyDescent="0.25">
      <c r="A123" s="449"/>
      <c r="B123" s="450"/>
      <c r="C123" s="450"/>
      <c r="D123" s="450"/>
      <c r="E123" s="450"/>
      <c r="F123" s="450"/>
      <c r="G123" s="450"/>
      <c r="H123" s="450"/>
      <c r="I123" s="450"/>
      <c r="J123" s="450"/>
      <c r="K123" s="451"/>
    </row>
    <row r="124" spans="1:13" ht="21.6" hidden="1" customHeight="1" x14ac:dyDescent="0.2">
      <c r="A124" s="452"/>
      <c r="B124" s="453"/>
      <c r="C124" s="453"/>
      <c r="D124" s="453"/>
      <c r="E124" s="453"/>
      <c r="F124" s="453"/>
      <c r="G124" s="453"/>
      <c r="H124" s="453"/>
      <c r="I124" s="453"/>
      <c r="J124" s="453"/>
      <c r="K124" s="454"/>
    </row>
    <row r="125" spans="1:13" ht="21.75" customHeight="1" thickTop="1" thickBot="1" x14ac:dyDescent="0.25">
      <c r="A125" s="423" t="s">
        <v>120</v>
      </c>
      <c r="B125" s="424"/>
      <c r="C125" s="424"/>
      <c r="D125" s="424"/>
      <c r="E125" s="424"/>
      <c r="F125" s="424"/>
      <c r="G125" s="424"/>
      <c r="H125" s="424"/>
      <c r="I125" s="424"/>
      <c r="J125" s="424"/>
      <c r="K125" s="426"/>
    </row>
    <row r="126" spans="1:13" ht="21.75" customHeight="1" thickTop="1" thickBot="1" x14ac:dyDescent="0.25">
      <c r="A126" s="435" t="s">
        <v>121</v>
      </c>
      <c r="B126" s="436"/>
      <c r="C126" s="436"/>
      <c r="D126" s="436"/>
      <c r="E126" s="436"/>
      <c r="F126" s="436"/>
      <c r="G126" s="436"/>
      <c r="H126" s="436"/>
      <c r="I126" s="436"/>
      <c r="J126" s="437"/>
      <c r="K126" s="95" t="s">
        <v>99</v>
      </c>
    </row>
    <row r="127" spans="1:13" ht="21.75" customHeight="1" thickTop="1" thickBot="1" x14ac:dyDescent="0.25">
      <c r="A127" s="95" t="s">
        <v>23</v>
      </c>
      <c r="B127" s="427" t="s">
        <v>122</v>
      </c>
      <c r="C127" s="428"/>
      <c r="D127" s="428"/>
      <c r="E127" s="428"/>
      <c r="F127" s="428"/>
      <c r="G127" s="428"/>
      <c r="H127" s="428"/>
      <c r="I127" s="428"/>
      <c r="J127" s="429"/>
      <c r="K127" s="104">
        <f>K33</f>
        <v>0</v>
      </c>
    </row>
    <row r="128" spans="1:13" ht="21.75" customHeight="1" thickTop="1" thickBot="1" x14ac:dyDescent="0.25">
      <c r="A128" s="95" t="s">
        <v>25</v>
      </c>
      <c r="B128" s="438" t="s">
        <v>123</v>
      </c>
      <c r="C128" s="438"/>
      <c r="D128" s="438"/>
      <c r="E128" s="438"/>
      <c r="F128" s="438"/>
      <c r="G128" s="438"/>
      <c r="H128" s="438"/>
      <c r="I128" s="438"/>
      <c r="J128" s="438"/>
      <c r="K128" s="104">
        <f>K69</f>
        <v>0</v>
      </c>
    </row>
    <row r="129" spans="1:13" ht="21.75" customHeight="1" thickTop="1" thickBot="1" x14ac:dyDescent="0.25">
      <c r="A129" s="95" t="s">
        <v>28</v>
      </c>
      <c r="B129" s="427" t="s">
        <v>145</v>
      </c>
      <c r="C129" s="428"/>
      <c r="D129" s="428"/>
      <c r="E129" s="428"/>
      <c r="F129" s="428"/>
      <c r="G129" s="428"/>
      <c r="H129" s="428"/>
      <c r="I129" s="428"/>
      <c r="J129" s="429"/>
      <c r="K129" s="104">
        <f>K78</f>
        <v>0</v>
      </c>
    </row>
    <row r="130" spans="1:13" ht="21.75" customHeight="1" thickTop="1" thickBot="1" x14ac:dyDescent="0.25">
      <c r="A130" s="95" t="s">
        <v>33</v>
      </c>
      <c r="B130" s="427" t="s">
        <v>146</v>
      </c>
      <c r="C130" s="428"/>
      <c r="D130" s="428"/>
      <c r="E130" s="428"/>
      <c r="F130" s="428"/>
      <c r="G130" s="428"/>
      <c r="H130" s="428"/>
      <c r="I130" s="428"/>
      <c r="J130" s="429"/>
      <c r="K130" s="104">
        <f>K101</f>
        <v>0</v>
      </c>
    </row>
    <row r="131" spans="1:13" ht="21.75" customHeight="1" thickTop="1" thickBot="1" x14ac:dyDescent="0.25">
      <c r="A131" s="95" t="s">
        <v>35</v>
      </c>
      <c r="B131" s="427" t="s">
        <v>126</v>
      </c>
      <c r="C131" s="428"/>
      <c r="D131" s="428"/>
      <c r="E131" s="428"/>
      <c r="F131" s="428"/>
      <c r="G131" s="428"/>
      <c r="H131" s="428"/>
      <c r="I131" s="428"/>
      <c r="J131" s="429"/>
      <c r="K131" s="104">
        <f>K109</f>
        <v>0</v>
      </c>
    </row>
    <row r="132" spans="1:13" ht="21.75" customHeight="1" thickTop="1" thickBot="1" x14ac:dyDescent="0.25">
      <c r="A132" s="423" t="s">
        <v>127</v>
      </c>
      <c r="B132" s="424"/>
      <c r="C132" s="424"/>
      <c r="D132" s="424"/>
      <c r="E132" s="424"/>
      <c r="F132" s="424"/>
      <c r="G132" s="424"/>
      <c r="H132" s="424"/>
      <c r="I132" s="424"/>
      <c r="J132" s="426"/>
      <c r="K132" s="131">
        <f>SUM(K127:K131)</f>
        <v>0</v>
      </c>
      <c r="L132" s="156"/>
    </row>
    <row r="133" spans="1:13" s="121" customFormat="1" ht="21.75" customHeight="1" thickTop="1" thickBot="1" x14ac:dyDescent="0.3">
      <c r="A133" s="95" t="s">
        <v>37</v>
      </c>
      <c r="B133" s="427" t="s">
        <v>128</v>
      </c>
      <c r="C133" s="428"/>
      <c r="D133" s="428"/>
      <c r="E133" s="428"/>
      <c r="F133" s="428"/>
      <c r="G133" s="428"/>
      <c r="H133" s="428"/>
      <c r="I133" s="428"/>
      <c r="J133" s="429"/>
      <c r="K133" s="104">
        <f>K118</f>
        <v>0</v>
      </c>
    </row>
    <row r="134" spans="1:13" ht="34.15" customHeight="1" thickTop="1" thickBot="1" x14ac:dyDescent="0.25">
      <c r="A134" s="430" t="s">
        <v>129</v>
      </c>
      <c r="B134" s="431"/>
      <c r="C134" s="431"/>
      <c r="D134" s="431"/>
      <c r="E134" s="431"/>
      <c r="F134" s="431"/>
      <c r="G134" s="431"/>
      <c r="H134" s="431"/>
      <c r="I134" s="431"/>
      <c r="J134" s="432"/>
      <c r="K134" s="157">
        <f>SUM(K132+K133)</f>
        <v>0</v>
      </c>
    </row>
    <row r="135" spans="1:13" ht="21.75" customHeight="1" thickTop="1" thickBot="1" x14ac:dyDescent="0.25">
      <c r="A135" s="81"/>
      <c r="B135" s="82"/>
      <c r="C135" s="82"/>
      <c r="D135" s="82"/>
      <c r="E135" s="82"/>
      <c r="F135" s="82"/>
      <c r="G135" s="82"/>
      <c r="H135" s="82"/>
      <c r="I135" s="82"/>
      <c r="J135" s="82"/>
      <c r="K135" s="79"/>
    </row>
    <row r="136" spans="1:13" ht="21.75" customHeight="1" thickTop="1" thickBot="1" x14ac:dyDescent="0.25">
      <c r="A136" s="423" t="s">
        <v>130</v>
      </c>
      <c r="B136" s="424"/>
      <c r="C136" s="424"/>
      <c r="D136" s="424"/>
      <c r="E136" s="424"/>
      <c r="F136" s="424"/>
      <c r="G136" s="424"/>
      <c r="H136" s="424"/>
      <c r="I136" s="424"/>
      <c r="J136" s="424"/>
      <c r="K136" s="426"/>
    </row>
    <row r="137" spans="1:13" ht="45" customHeight="1" thickTop="1" thickBot="1" x14ac:dyDescent="0.25">
      <c r="A137" s="430" t="s">
        <v>131</v>
      </c>
      <c r="B137" s="431"/>
      <c r="C137" s="433"/>
      <c r="D137" s="434" t="s">
        <v>329</v>
      </c>
      <c r="E137" s="434"/>
      <c r="F137" s="434" t="s">
        <v>133</v>
      </c>
      <c r="G137" s="434"/>
      <c r="H137" s="434" t="s">
        <v>134</v>
      </c>
      <c r="I137" s="434"/>
      <c r="J137" s="158" t="s">
        <v>135</v>
      </c>
      <c r="K137" s="159" t="s">
        <v>136</v>
      </c>
    </row>
    <row r="138" spans="1:13" ht="21.75" customHeight="1" thickTop="1" thickBot="1" x14ac:dyDescent="0.25">
      <c r="A138" s="418" t="s">
        <v>375</v>
      </c>
      <c r="B138" s="419"/>
      <c r="C138" s="420"/>
      <c r="D138" s="421">
        <f>K134</f>
        <v>0</v>
      </c>
      <c r="E138" s="421"/>
      <c r="F138" s="422">
        <v>1</v>
      </c>
      <c r="G138" s="422"/>
      <c r="H138" s="421">
        <f>F138*D138</f>
        <v>0</v>
      </c>
      <c r="I138" s="421"/>
      <c r="J138" s="160">
        <f>K11</f>
        <v>1</v>
      </c>
      <c r="K138" s="161">
        <f>ROUND(J138*H138,2)</f>
        <v>0</v>
      </c>
    </row>
    <row r="139" spans="1:13" ht="36.75" customHeight="1" thickTop="1" thickBot="1" x14ac:dyDescent="0.25">
      <c r="A139" s="423" t="s">
        <v>137</v>
      </c>
      <c r="B139" s="424"/>
      <c r="C139" s="424"/>
      <c r="D139" s="424"/>
      <c r="E139" s="424"/>
      <c r="F139" s="424"/>
      <c r="G139" s="424"/>
      <c r="H139" s="424"/>
      <c r="I139" s="424"/>
      <c r="J139" s="425"/>
      <c r="K139" s="162">
        <f>K138</f>
        <v>0</v>
      </c>
    </row>
    <row r="140" spans="1:13" ht="36.75" customHeight="1" thickTop="1" thickBot="1" x14ac:dyDescent="0.25">
      <c r="A140" s="423" t="s">
        <v>138</v>
      </c>
      <c r="B140" s="424"/>
      <c r="C140" s="424"/>
      <c r="D140" s="424"/>
      <c r="E140" s="424"/>
      <c r="F140" s="424"/>
      <c r="G140" s="424"/>
      <c r="H140" s="424"/>
      <c r="I140" s="424"/>
      <c r="J140" s="426"/>
      <c r="K140" s="330">
        <f>K139*12</f>
        <v>0</v>
      </c>
    </row>
    <row r="141" spans="1:13" ht="16.5" thickTop="1" x14ac:dyDescent="0.2">
      <c r="K141" s="329" t="s">
        <v>139</v>
      </c>
      <c r="L141" s="163" t="e">
        <f>K134/K33</f>
        <v>#DIV/0!</v>
      </c>
      <c r="M141" s="111"/>
    </row>
    <row r="1048526" ht="12.75" customHeight="1" x14ac:dyDescent="0.2"/>
    <row r="1048527" ht="12.75" customHeight="1" x14ac:dyDescent="0.2"/>
    <row r="1048528" ht="12.75" customHeight="1" x14ac:dyDescent="0.2"/>
    <row r="1048529" ht="12.75" customHeight="1" x14ac:dyDescent="0.2"/>
    <row r="1048530" ht="12.75" customHeight="1" x14ac:dyDescent="0.2"/>
    <row r="1048531" ht="12.75" customHeight="1" x14ac:dyDescent="0.2"/>
    <row r="1048532" ht="12.75" customHeight="1" x14ac:dyDescent="0.2"/>
    <row r="1048533" ht="12.75" customHeight="1" x14ac:dyDescent="0.2"/>
    <row r="1048534" ht="12.75" customHeight="1" x14ac:dyDescent="0.2"/>
    <row r="1048535" ht="12.75" customHeight="1" x14ac:dyDescent="0.2"/>
    <row r="1048536" ht="12.75" customHeight="1" x14ac:dyDescent="0.2"/>
    <row r="1048537" ht="12.75" customHeight="1" x14ac:dyDescent="0.2"/>
    <row r="1048538" ht="12.75" customHeight="1" x14ac:dyDescent="0.2"/>
    <row r="1048539" ht="12.75" customHeight="1" x14ac:dyDescent="0.2"/>
    <row r="1048540" ht="12.75" customHeight="1" x14ac:dyDescent="0.2"/>
    <row r="1048541" ht="12.75" customHeight="1" x14ac:dyDescent="0.2"/>
    <row r="1048542" ht="12.75" customHeight="1" x14ac:dyDescent="0.2"/>
    <row r="1048543" ht="12.75" customHeight="1" x14ac:dyDescent="0.2"/>
    <row r="1048544" ht="12.75" customHeight="1" x14ac:dyDescent="0.2"/>
    <row r="1048545" ht="12.75" customHeight="1" x14ac:dyDescent="0.2"/>
    <row r="1048546" ht="12.75" customHeight="1" x14ac:dyDescent="0.2"/>
    <row r="1048547" ht="12.75" customHeight="1" x14ac:dyDescent="0.2"/>
    <row r="1048548" ht="12.75" customHeight="1" x14ac:dyDescent="0.2"/>
    <row r="1048549" ht="12.75" customHeight="1" x14ac:dyDescent="0.2"/>
    <row r="1048550" ht="12.75" customHeight="1" x14ac:dyDescent="0.2"/>
    <row r="1048551" ht="12.75" customHeight="1" x14ac:dyDescent="0.2"/>
    <row r="1048552" ht="12.75" customHeight="1" x14ac:dyDescent="0.2"/>
    <row r="1048553" ht="12.75" customHeight="1" x14ac:dyDescent="0.2"/>
    <row r="1048554" ht="12.75" customHeight="1" x14ac:dyDescent="0.2"/>
    <row r="1048555" ht="12.75" customHeight="1" x14ac:dyDescent="0.2"/>
    <row r="1048556" ht="12.75" customHeight="1" x14ac:dyDescent="0.2"/>
  </sheetData>
  <mergeCells count="137">
    <mergeCell ref="A138:C138"/>
    <mergeCell ref="D138:E138"/>
    <mergeCell ref="F138:G138"/>
    <mergeCell ref="H138:I138"/>
    <mergeCell ref="A139:J139"/>
    <mergeCell ref="A140:J140"/>
    <mergeCell ref="B133:J133"/>
    <mergeCell ref="A134:J134"/>
    <mergeCell ref="A136:K136"/>
    <mergeCell ref="A137:C137"/>
    <mergeCell ref="D137:E137"/>
    <mergeCell ref="F137:G137"/>
    <mergeCell ref="H137:I137"/>
    <mergeCell ref="B127:J127"/>
    <mergeCell ref="B128:J128"/>
    <mergeCell ref="B129:J129"/>
    <mergeCell ref="B130:J130"/>
    <mergeCell ref="B131:J131"/>
    <mergeCell ref="A132:J132"/>
    <mergeCell ref="A111:J111"/>
    <mergeCell ref="A114:A117"/>
    <mergeCell ref="I115:I117"/>
    <mergeCell ref="A119:K124"/>
    <mergeCell ref="A125:K125"/>
    <mergeCell ref="A126:J126"/>
    <mergeCell ref="A107:A108"/>
    <mergeCell ref="B107:C108"/>
    <mergeCell ref="D107:J107"/>
    <mergeCell ref="D108:J108"/>
    <mergeCell ref="A109:J109"/>
    <mergeCell ref="A110:K110"/>
    <mergeCell ref="A103:J103"/>
    <mergeCell ref="B104:J104"/>
    <mergeCell ref="B105:D105"/>
    <mergeCell ref="E105:J105"/>
    <mergeCell ref="B106:D106"/>
    <mergeCell ref="E106:J106"/>
    <mergeCell ref="A97:K97"/>
    <mergeCell ref="A98:K98"/>
    <mergeCell ref="B99:J99"/>
    <mergeCell ref="B100:J100"/>
    <mergeCell ref="B101:J101"/>
    <mergeCell ref="A102:K102"/>
    <mergeCell ref="B90:I90"/>
    <mergeCell ref="A91:I91"/>
    <mergeCell ref="A92:K93"/>
    <mergeCell ref="A94:K94"/>
    <mergeCell ref="B95:I95"/>
    <mergeCell ref="B96:I96"/>
    <mergeCell ref="B84:I84"/>
    <mergeCell ref="B85:I85"/>
    <mergeCell ref="B86:I86"/>
    <mergeCell ref="B87:I87"/>
    <mergeCell ref="B88:I88"/>
    <mergeCell ref="B89:I89"/>
    <mergeCell ref="B77:I77"/>
    <mergeCell ref="L77:M77"/>
    <mergeCell ref="A78:I78"/>
    <mergeCell ref="A79:K81"/>
    <mergeCell ref="A82:K82"/>
    <mergeCell ref="A83:K83"/>
    <mergeCell ref="B74:I74"/>
    <mergeCell ref="L74:M74"/>
    <mergeCell ref="B75:I75"/>
    <mergeCell ref="L75:M75"/>
    <mergeCell ref="B76:I76"/>
    <mergeCell ref="L76:M76"/>
    <mergeCell ref="B69:J69"/>
    <mergeCell ref="A70:K70"/>
    <mergeCell ref="A71:K71"/>
    <mergeCell ref="B72:I72"/>
    <mergeCell ref="L72:M72"/>
    <mergeCell ref="B73:I73"/>
    <mergeCell ref="L73:M73"/>
    <mergeCell ref="B62:J62"/>
    <mergeCell ref="A63:K64"/>
    <mergeCell ref="A65:K65"/>
    <mergeCell ref="B66:I66"/>
    <mergeCell ref="B67:I67"/>
    <mergeCell ref="B68:J68"/>
    <mergeCell ref="L58:O58"/>
    <mergeCell ref="B59:J59"/>
    <mergeCell ref="L59:O59"/>
    <mergeCell ref="B60:J60"/>
    <mergeCell ref="L60:O60"/>
    <mergeCell ref="B61:J61"/>
    <mergeCell ref="L61:O61"/>
    <mergeCell ref="B51:I51"/>
    <mergeCell ref="B52:I52"/>
    <mergeCell ref="A53:K55"/>
    <mergeCell ref="A56:K56"/>
    <mergeCell ref="B57:J57"/>
    <mergeCell ref="B58:J58"/>
    <mergeCell ref="B45:I45"/>
    <mergeCell ref="B46:E46"/>
    <mergeCell ref="H46:I46"/>
    <mergeCell ref="B47:I47"/>
    <mergeCell ref="B48:I48"/>
    <mergeCell ref="B50:I50"/>
    <mergeCell ref="B38:I38"/>
    <mergeCell ref="B39:I39"/>
    <mergeCell ref="B40:I40"/>
    <mergeCell ref="A41:K42"/>
    <mergeCell ref="A43:K43"/>
    <mergeCell ref="B44:I44"/>
    <mergeCell ref="B31:J31"/>
    <mergeCell ref="A32:K32"/>
    <mergeCell ref="A33:J33"/>
    <mergeCell ref="A34:K35"/>
    <mergeCell ref="A36:K36"/>
    <mergeCell ref="A37:K37"/>
    <mergeCell ref="A26:A27"/>
    <mergeCell ref="B26:D27"/>
    <mergeCell ref="K26:K27"/>
    <mergeCell ref="B28:J28"/>
    <mergeCell ref="B29:J29"/>
    <mergeCell ref="B30:J30"/>
    <mergeCell ref="A12:K14"/>
    <mergeCell ref="A15:K15"/>
    <mergeCell ref="B19:J19"/>
    <mergeCell ref="A20:K22"/>
    <mergeCell ref="A23:J23"/>
    <mergeCell ref="H25:J25"/>
    <mergeCell ref="A5:C5"/>
    <mergeCell ref="D5:I5"/>
    <mergeCell ref="B7:E7"/>
    <mergeCell ref="F7:K7"/>
    <mergeCell ref="B9:H9"/>
    <mergeCell ref="I9:K9"/>
    <mergeCell ref="A1:I1"/>
    <mergeCell ref="A2:C2"/>
    <mergeCell ref="D2:I2"/>
    <mergeCell ref="A3:C3"/>
    <mergeCell ref="D3:I3"/>
    <mergeCell ref="A4:C4"/>
    <mergeCell ref="D4:F4"/>
    <mergeCell ref="H4:I4"/>
  </mergeCells>
  <pageMargins left="0.511811024" right="0.511811024" top="0.78740157499999996" bottom="0.78740157499999996" header="0.31496062000000002" footer="0.31496062000000002"/>
  <pageSetup paperSize="9" scale="41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29C098-3E99-4C57-9406-B70C1E604FDC}">
  <sheetPr>
    <pageSetUpPr fitToPage="1"/>
  </sheetPr>
  <dimension ref="A1:IV1048556"/>
  <sheetViews>
    <sheetView topLeftCell="A68" workbookViewId="0">
      <selection activeCell="L74" sqref="L74:M74"/>
    </sheetView>
  </sheetViews>
  <sheetFormatPr defaultRowHeight="15.75" x14ac:dyDescent="0.2"/>
  <cols>
    <col min="1" max="10" width="12.42578125" style="76" customWidth="1"/>
    <col min="11" max="11" width="18.140625" style="76" bestFit="1" customWidth="1"/>
    <col min="12" max="12" width="18.28515625" style="76" customWidth="1"/>
    <col min="13" max="256" width="12.42578125" style="76" customWidth="1"/>
    <col min="257" max="1024" width="12.42578125" style="77" customWidth="1"/>
    <col min="1025" max="16384" width="9.140625" style="77"/>
  </cols>
  <sheetData>
    <row r="1" spans="1:11" ht="21.75" customHeight="1" thickTop="1" thickBot="1" x14ac:dyDescent="0.25">
      <c r="A1" s="423" t="s">
        <v>0</v>
      </c>
      <c r="B1" s="423"/>
      <c r="C1" s="423"/>
      <c r="D1" s="423"/>
      <c r="E1" s="423"/>
      <c r="F1" s="423"/>
      <c r="G1" s="423"/>
      <c r="H1" s="423"/>
      <c r="I1" s="442"/>
      <c r="J1" s="74"/>
      <c r="K1" s="75"/>
    </row>
    <row r="2" spans="1:11" ht="21.75" customHeight="1" thickTop="1" thickBot="1" x14ac:dyDescent="0.25">
      <c r="A2" s="534" t="s">
        <v>1</v>
      </c>
      <c r="B2" s="534"/>
      <c r="C2" s="534"/>
      <c r="D2" s="535" t="s">
        <v>330</v>
      </c>
      <c r="E2" s="535"/>
      <c r="F2" s="535"/>
      <c r="G2" s="535"/>
      <c r="H2" s="535"/>
      <c r="I2" s="536"/>
      <c r="J2" s="78"/>
      <c r="K2" s="79"/>
    </row>
    <row r="3" spans="1:11" ht="21.75" customHeight="1" thickTop="1" thickBot="1" x14ac:dyDescent="0.25">
      <c r="A3" s="534" t="s">
        <v>2</v>
      </c>
      <c r="B3" s="534"/>
      <c r="C3" s="534"/>
      <c r="D3" s="537" t="str">
        <f>'1 - Servente Sede'!D3</f>
        <v>Pregão Eletrônico nº XX/2020</v>
      </c>
      <c r="E3" s="537"/>
      <c r="F3" s="537"/>
      <c r="G3" s="537"/>
      <c r="H3" s="537"/>
      <c r="I3" s="538"/>
      <c r="J3" s="78"/>
      <c r="K3" s="79"/>
    </row>
    <row r="4" spans="1:11" ht="21.75" customHeight="1" thickTop="1" thickBot="1" x14ac:dyDescent="0.25">
      <c r="A4" s="534" t="s">
        <v>3</v>
      </c>
      <c r="B4" s="534"/>
      <c r="C4" s="534"/>
      <c r="D4" s="539"/>
      <c r="E4" s="540"/>
      <c r="F4" s="541"/>
      <c r="G4" s="80" t="s">
        <v>4</v>
      </c>
      <c r="H4" s="542"/>
      <c r="I4" s="536"/>
      <c r="J4" s="78"/>
      <c r="K4" s="79"/>
    </row>
    <row r="5" spans="1:11" ht="21.75" customHeight="1" thickTop="1" thickBot="1" x14ac:dyDescent="0.25">
      <c r="A5" s="526" t="s">
        <v>5</v>
      </c>
      <c r="B5" s="526"/>
      <c r="C5" s="526"/>
      <c r="D5" s="527" t="s">
        <v>376</v>
      </c>
      <c r="E5" s="527"/>
      <c r="F5" s="527"/>
      <c r="G5" s="527"/>
      <c r="H5" s="527"/>
      <c r="I5" s="527"/>
      <c r="J5" s="277"/>
      <c r="K5" s="79"/>
    </row>
    <row r="6" spans="1:11" ht="21.75" customHeight="1" thickTop="1" thickBot="1" x14ac:dyDescent="0.25">
      <c r="A6" s="81"/>
      <c r="B6" s="82"/>
      <c r="C6" s="82"/>
      <c r="D6" s="82"/>
      <c r="E6" s="82"/>
      <c r="F6" s="82"/>
      <c r="G6" s="82"/>
      <c r="H6" s="82"/>
      <c r="I6" s="279"/>
      <c r="J6" s="279"/>
      <c r="K6" s="278"/>
    </row>
    <row r="7" spans="1:11" ht="21.75" customHeight="1" thickTop="1" thickBot="1" x14ac:dyDescent="0.25">
      <c r="A7" s="274" t="s">
        <v>7</v>
      </c>
      <c r="B7" s="528" t="s">
        <v>8</v>
      </c>
      <c r="C7" s="528"/>
      <c r="D7" s="528"/>
      <c r="E7" s="528"/>
      <c r="F7" s="529" t="s">
        <v>140</v>
      </c>
      <c r="G7" s="529"/>
      <c r="H7" s="529"/>
      <c r="I7" s="529"/>
      <c r="J7" s="529"/>
      <c r="K7" s="529"/>
    </row>
    <row r="8" spans="1:11" ht="21.75" customHeight="1" thickTop="1" thickBot="1" x14ac:dyDescent="0.25">
      <c r="A8" s="274" t="s">
        <v>7</v>
      </c>
      <c r="B8" s="275" t="s">
        <v>9</v>
      </c>
      <c r="C8" s="84"/>
      <c r="D8" s="84"/>
      <c r="E8" s="84"/>
      <c r="F8" s="84"/>
      <c r="G8" s="84"/>
      <c r="H8" s="84"/>
      <c r="I8" s="84"/>
      <c r="J8" s="276"/>
      <c r="K8" s="85">
        <v>12</v>
      </c>
    </row>
    <row r="9" spans="1:11" ht="21.75" customHeight="1" thickTop="1" thickBot="1" x14ac:dyDescent="0.25">
      <c r="A9" s="83" t="s">
        <v>7</v>
      </c>
      <c r="B9" s="496" t="s">
        <v>10</v>
      </c>
      <c r="C9" s="428"/>
      <c r="D9" s="428"/>
      <c r="E9" s="428"/>
      <c r="F9" s="428"/>
      <c r="G9" s="428"/>
      <c r="H9" s="428"/>
      <c r="I9" s="543"/>
      <c r="J9" s="543"/>
      <c r="K9" s="544"/>
    </row>
    <row r="10" spans="1:11" ht="21.75" customHeight="1" thickTop="1" thickBot="1" x14ac:dyDescent="0.25">
      <c r="A10" s="83" t="s">
        <v>7</v>
      </c>
      <c r="B10" s="86" t="s">
        <v>11</v>
      </c>
      <c r="C10" s="86"/>
      <c r="D10" s="86"/>
      <c r="E10" s="86"/>
      <c r="F10" s="86"/>
      <c r="G10" s="86"/>
      <c r="H10" s="86"/>
      <c r="I10" s="86"/>
      <c r="J10" s="86"/>
      <c r="K10" s="87" t="s">
        <v>335</v>
      </c>
    </row>
    <row r="11" spans="1:11" ht="21.75" customHeight="1" thickTop="1" thickBot="1" x14ac:dyDescent="0.25">
      <c r="A11" s="83" t="s">
        <v>7</v>
      </c>
      <c r="B11" s="86" t="s">
        <v>142</v>
      </c>
      <c r="C11" s="86"/>
      <c r="D11" s="86"/>
      <c r="E11" s="86"/>
      <c r="F11" s="86"/>
      <c r="G11" s="86"/>
      <c r="H11" s="86"/>
      <c r="I11" s="86"/>
      <c r="J11" s="86"/>
      <c r="K11" s="88">
        <v>10</v>
      </c>
    </row>
    <row r="12" spans="1:11" ht="21.75" customHeight="1" thickTop="1" thickBot="1" x14ac:dyDescent="0.25">
      <c r="A12" s="530" t="s">
        <v>147</v>
      </c>
      <c r="B12" s="531"/>
      <c r="C12" s="531"/>
      <c r="D12" s="531"/>
      <c r="E12" s="531"/>
      <c r="F12" s="531"/>
      <c r="G12" s="531"/>
      <c r="H12" s="531"/>
      <c r="I12" s="531"/>
      <c r="J12" s="531"/>
      <c r="K12" s="532"/>
    </row>
    <row r="13" spans="1:11" ht="21.75" customHeight="1" thickTop="1" thickBot="1" x14ac:dyDescent="0.25">
      <c r="A13" s="533"/>
      <c r="B13" s="531"/>
      <c r="C13" s="531"/>
      <c r="D13" s="531"/>
      <c r="E13" s="531"/>
      <c r="F13" s="531"/>
      <c r="G13" s="531"/>
      <c r="H13" s="531"/>
      <c r="I13" s="531"/>
      <c r="J13" s="531"/>
      <c r="K13" s="532"/>
    </row>
    <row r="14" spans="1:11" ht="21.75" customHeight="1" thickTop="1" thickBot="1" x14ac:dyDescent="0.25">
      <c r="A14" s="533"/>
      <c r="B14" s="531"/>
      <c r="C14" s="531"/>
      <c r="D14" s="531"/>
      <c r="E14" s="531"/>
      <c r="F14" s="531"/>
      <c r="G14" s="531"/>
      <c r="H14" s="531"/>
      <c r="I14" s="531"/>
      <c r="J14" s="531"/>
      <c r="K14" s="532"/>
    </row>
    <row r="15" spans="1:11" ht="21.75" customHeight="1" thickTop="1" thickBot="1" x14ac:dyDescent="0.25">
      <c r="A15" s="442" t="s">
        <v>15</v>
      </c>
      <c r="B15" s="442"/>
      <c r="C15" s="442"/>
      <c r="D15" s="442"/>
      <c r="E15" s="442"/>
      <c r="F15" s="442"/>
      <c r="G15" s="442"/>
      <c r="H15" s="442"/>
      <c r="I15" s="442"/>
      <c r="J15" s="442"/>
      <c r="K15" s="442"/>
    </row>
    <row r="16" spans="1:11" ht="21.75" customHeight="1" thickTop="1" thickBot="1" x14ac:dyDescent="0.25">
      <c r="A16" s="100">
        <v>1</v>
      </c>
      <c r="B16" s="86" t="s">
        <v>398</v>
      </c>
      <c r="C16" s="86"/>
      <c r="D16" s="86"/>
      <c r="E16" s="86"/>
      <c r="F16" s="86"/>
      <c r="G16" s="86"/>
      <c r="H16" s="86"/>
      <c r="I16" s="86"/>
      <c r="J16" s="86"/>
      <c r="K16" s="90"/>
    </row>
    <row r="17" spans="1:18" ht="21.75" customHeight="1" thickTop="1" thickBot="1" x14ac:dyDescent="0.25">
      <c r="A17" s="100">
        <v>2</v>
      </c>
      <c r="B17" s="86" t="s">
        <v>17</v>
      </c>
      <c r="C17" s="86"/>
      <c r="D17" s="86"/>
      <c r="E17" s="86"/>
      <c r="F17" s="86"/>
      <c r="G17" s="86"/>
      <c r="H17" s="86"/>
      <c r="I17" s="86"/>
      <c r="J17" s="86"/>
      <c r="K17" s="91" t="str">
        <f>D5</f>
        <v>Auxiliar Administrativo</v>
      </c>
    </row>
    <row r="18" spans="1:18" ht="21.75" customHeight="1" thickTop="1" thickBot="1" x14ac:dyDescent="0.25">
      <c r="A18" s="100">
        <v>3</v>
      </c>
      <c r="B18" s="86" t="s">
        <v>18</v>
      </c>
      <c r="C18" s="86"/>
      <c r="D18" s="86"/>
      <c r="E18" s="86"/>
      <c r="F18" s="86"/>
      <c r="G18" s="86"/>
      <c r="H18" s="86"/>
      <c r="I18" s="86"/>
      <c r="J18" s="86"/>
      <c r="K18" s="92">
        <v>43862</v>
      </c>
    </row>
    <row r="19" spans="1:18" ht="21.75" customHeight="1" thickTop="1" thickBot="1" x14ac:dyDescent="0.25">
      <c r="A19" s="93">
        <v>4</v>
      </c>
      <c r="B19" s="509" t="s">
        <v>19</v>
      </c>
      <c r="C19" s="510"/>
      <c r="D19" s="510"/>
      <c r="E19" s="510"/>
      <c r="F19" s="510"/>
      <c r="G19" s="510"/>
      <c r="H19" s="510"/>
      <c r="I19" s="510"/>
      <c r="J19" s="496"/>
      <c r="K19" s="365" t="s">
        <v>377</v>
      </c>
    </row>
    <row r="20" spans="1:18" ht="21.75" customHeight="1" thickTop="1" x14ac:dyDescent="0.2">
      <c r="A20" s="511" t="s">
        <v>148</v>
      </c>
      <c r="B20" s="512"/>
      <c r="C20" s="512"/>
      <c r="D20" s="512"/>
      <c r="E20" s="512"/>
      <c r="F20" s="512"/>
      <c r="G20" s="512"/>
      <c r="H20" s="512"/>
      <c r="I20" s="512"/>
      <c r="J20" s="512"/>
      <c r="K20" s="513"/>
    </row>
    <row r="21" spans="1:18" ht="19.149999999999999" customHeight="1" thickBot="1" x14ac:dyDescent="0.25">
      <c r="A21" s="514"/>
      <c r="B21" s="515"/>
      <c r="C21" s="515"/>
      <c r="D21" s="515"/>
      <c r="E21" s="515"/>
      <c r="F21" s="515"/>
      <c r="G21" s="515"/>
      <c r="H21" s="515"/>
      <c r="I21" s="515"/>
      <c r="J21" s="515"/>
      <c r="K21" s="516"/>
    </row>
    <row r="22" spans="1:18" ht="21.6" hidden="1" customHeight="1" x14ac:dyDescent="0.2">
      <c r="A22" s="517"/>
      <c r="B22" s="518"/>
      <c r="C22" s="518"/>
      <c r="D22" s="518"/>
      <c r="E22" s="518"/>
      <c r="F22" s="518"/>
      <c r="G22" s="518"/>
      <c r="H22" s="518"/>
      <c r="I22" s="518"/>
      <c r="J22" s="518"/>
      <c r="K22" s="519"/>
    </row>
    <row r="23" spans="1:18" ht="21.75" customHeight="1" thickTop="1" thickBot="1" x14ac:dyDescent="0.25">
      <c r="A23" s="442" t="s">
        <v>21</v>
      </c>
      <c r="B23" s="442"/>
      <c r="C23" s="442"/>
      <c r="D23" s="442"/>
      <c r="E23" s="442"/>
      <c r="F23" s="442"/>
      <c r="G23" s="442"/>
      <c r="H23" s="442"/>
      <c r="I23" s="442"/>
      <c r="J23" s="442"/>
      <c r="K23" s="95" t="s">
        <v>22</v>
      </c>
    </row>
    <row r="24" spans="1:18" ht="21.75" customHeight="1" thickTop="1" thickBot="1" x14ac:dyDescent="0.25">
      <c r="A24" s="100" t="s">
        <v>23</v>
      </c>
      <c r="B24" s="86" t="s">
        <v>24</v>
      </c>
      <c r="C24" s="86"/>
      <c r="D24" s="86"/>
      <c r="E24" s="86"/>
      <c r="F24" s="86"/>
      <c r="G24" s="86"/>
      <c r="H24" s="86"/>
      <c r="I24" s="86"/>
      <c r="J24" s="96"/>
      <c r="K24" s="342">
        <f>K16</f>
        <v>0</v>
      </c>
    </row>
    <row r="25" spans="1:18" ht="21.75" customHeight="1" thickTop="1" thickBot="1" x14ac:dyDescent="0.25">
      <c r="A25" s="100" t="s">
        <v>25</v>
      </c>
      <c r="B25" s="98" t="s">
        <v>26</v>
      </c>
      <c r="C25" s="98"/>
      <c r="D25" s="98"/>
      <c r="E25" s="99" t="s">
        <v>27</v>
      </c>
      <c r="F25" s="99"/>
      <c r="G25" s="86"/>
      <c r="H25" s="520">
        <v>0</v>
      </c>
      <c r="I25" s="521"/>
      <c r="J25" s="522"/>
      <c r="K25" s="102">
        <f>K24*H25</f>
        <v>0</v>
      </c>
    </row>
    <row r="26" spans="1:18" ht="21.75" customHeight="1" thickTop="1" thickBot="1" x14ac:dyDescent="0.3">
      <c r="A26" s="523" t="s">
        <v>28</v>
      </c>
      <c r="B26" s="524" t="s">
        <v>29</v>
      </c>
      <c r="C26" s="524"/>
      <c r="D26" s="524"/>
      <c r="E26" s="99" t="s">
        <v>30</v>
      </c>
      <c r="F26" s="99"/>
      <c r="G26" s="86"/>
      <c r="H26" s="86"/>
      <c r="I26" s="86"/>
      <c r="J26" s="101"/>
      <c r="K26" s="525">
        <f>L27*0.4</f>
        <v>0</v>
      </c>
      <c r="L26"/>
      <c r="M26"/>
      <c r="N26"/>
      <c r="O26"/>
      <c r="P26"/>
      <c r="Q26"/>
      <c r="R26"/>
    </row>
    <row r="27" spans="1:18" ht="21.75" customHeight="1" thickTop="1" thickBot="1" x14ac:dyDescent="0.3">
      <c r="A27" s="523"/>
      <c r="B27" s="524"/>
      <c r="C27" s="524"/>
      <c r="D27" s="524"/>
      <c r="E27" s="99" t="s">
        <v>31</v>
      </c>
      <c r="F27" s="99"/>
      <c r="G27" s="86"/>
      <c r="H27" s="99" t="s">
        <v>32</v>
      </c>
      <c r="I27" s="86"/>
      <c r="J27" s="96"/>
      <c r="K27" s="525"/>
      <c r="L27"/>
      <c r="M27"/>
      <c r="N27"/>
      <c r="O27"/>
      <c r="P27"/>
      <c r="Q27"/>
      <c r="R27"/>
    </row>
    <row r="28" spans="1:18" ht="21.75" customHeight="1" thickTop="1" thickBot="1" x14ac:dyDescent="0.3">
      <c r="A28" s="100" t="s">
        <v>33</v>
      </c>
      <c r="B28" s="506" t="s">
        <v>34</v>
      </c>
      <c r="C28" s="506"/>
      <c r="D28" s="506"/>
      <c r="E28" s="507"/>
      <c r="F28" s="507"/>
      <c r="G28" s="507"/>
      <c r="H28" s="507"/>
      <c r="I28" s="507"/>
      <c r="J28" s="508"/>
      <c r="K28" s="102">
        <v>0</v>
      </c>
      <c r="L28"/>
      <c r="M28"/>
      <c r="N28"/>
      <c r="O28"/>
      <c r="P28"/>
      <c r="Q28"/>
      <c r="R28"/>
    </row>
    <row r="29" spans="1:18" ht="21.75" customHeight="1" thickTop="1" thickBot="1" x14ac:dyDescent="0.25">
      <c r="A29" s="100" t="s">
        <v>35</v>
      </c>
      <c r="B29" s="428" t="s">
        <v>36</v>
      </c>
      <c r="C29" s="428"/>
      <c r="D29" s="428"/>
      <c r="E29" s="428"/>
      <c r="F29" s="428"/>
      <c r="G29" s="428"/>
      <c r="H29" s="428"/>
      <c r="I29" s="428"/>
      <c r="J29" s="429"/>
      <c r="K29" s="102">
        <v>0</v>
      </c>
      <c r="L29" s="103"/>
    </row>
    <row r="30" spans="1:18" ht="21.75" customHeight="1" thickTop="1" thickBot="1" x14ac:dyDescent="0.25">
      <c r="A30" s="100" t="s">
        <v>37</v>
      </c>
      <c r="B30" s="428" t="s">
        <v>38</v>
      </c>
      <c r="C30" s="428"/>
      <c r="D30" s="428"/>
      <c r="E30" s="428"/>
      <c r="F30" s="428"/>
      <c r="G30" s="428"/>
      <c r="H30" s="428"/>
      <c r="I30" s="428"/>
      <c r="J30" s="429"/>
      <c r="K30" s="102">
        <v>0</v>
      </c>
    </row>
    <row r="31" spans="1:18" ht="21.75" customHeight="1" thickTop="1" thickBot="1" x14ac:dyDescent="0.25">
      <c r="A31" s="100" t="s">
        <v>39</v>
      </c>
      <c r="B31" s="428" t="s">
        <v>87</v>
      </c>
      <c r="C31" s="428"/>
      <c r="D31" s="428"/>
      <c r="E31" s="428"/>
      <c r="F31" s="428"/>
      <c r="G31" s="428"/>
      <c r="H31" s="428"/>
      <c r="I31" s="428"/>
      <c r="J31" s="429"/>
      <c r="K31" s="104">
        <v>0</v>
      </c>
    </row>
    <row r="32" spans="1:18" ht="21.6" hidden="1" customHeight="1" x14ac:dyDescent="0.2">
      <c r="A32" s="503"/>
      <c r="B32" s="504"/>
      <c r="C32" s="504"/>
      <c r="D32" s="504"/>
      <c r="E32" s="504"/>
      <c r="F32" s="504"/>
      <c r="G32" s="504"/>
      <c r="H32" s="504"/>
      <c r="I32" s="504"/>
      <c r="J32" s="504"/>
      <c r="K32" s="505"/>
    </row>
    <row r="33" spans="1:13" ht="21.75" customHeight="1" thickTop="1" thickBot="1" x14ac:dyDescent="0.25">
      <c r="A33" s="423" t="s">
        <v>41</v>
      </c>
      <c r="B33" s="424"/>
      <c r="C33" s="424"/>
      <c r="D33" s="424"/>
      <c r="E33" s="424"/>
      <c r="F33" s="424"/>
      <c r="G33" s="424"/>
      <c r="H33" s="424"/>
      <c r="I33" s="424"/>
      <c r="J33" s="426"/>
      <c r="K33" s="105">
        <f>SUM(K24:K31)</f>
        <v>0</v>
      </c>
      <c r="M33" s="106"/>
    </row>
    <row r="34" spans="1:13" ht="21.75" customHeight="1" thickTop="1" x14ac:dyDescent="0.2">
      <c r="A34" s="464" t="s">
        <v>149</v>
      </c>
      <c r="B34" s="465"/>
      <c r="C34" s="465"/>
      <c r="D34" s="465"/>
      <c r="E34" s="465"/>
      <c r="F34" s="465"/>
      <c r="G34" s="465"/>
      <c r="H34" s="465"/>
      <c r="I34" s="465"/>
      <c r="J34" s="465"/>
      <c r="K34" s="466"/>
    </row>
    <row r="35" spans="1:13" ht="55.5" customHeight="1" thickBot="1" x14ac:dyDescent="0.25">
      <c r="A35" s="467"/>
      <c r="B35" s="468"/>
      <c r="C35" s="468"/>
      <c r="D35" s="468"/>
      <c r="E35" s="468"/>
      <c r="F35" s="468"/>
      <c r="G35" s="468"/>
      <c r="H35" s="468"/>
      <c r="I35" s="468"/>
      <c r="J35" s="468"/>
      <c r="K35" s="469"/>
    </row>
    <row r="36" spans="1:13" ht="21.75" customHeight="1" thickTop="1" thickBot="1" x14ac:dyDescent="0.25">
      <c r="A36" s="423" t="s">
        <v>43</v>
      </c>
      <c r="B36" s="423"/>
      <c r="C36" s="423"/>
      <c r="D36" s="423"/>
      <c r="E36" s="423"/>
      <c r="F36" s="423"/>
      <c r="G36" s="423"/>
      <c r="H36" s="423"/>
      <c r="I36" s="423"/>
      <c r="J36" s="423"/>
      <c r="K36" s="442"/>
    </row>
    <row r="37" spans="1:13" ht="21.75" customHeight="1" thickTop="1" thickBot="1" x14ac:dyDescent="0.25">
      <c r="A37" s="423" t="s">
        <v>150</v>
      </c>
      <c r="B37" s="423"/>
      <c r="C37" s="423"/>
      <c r="D37" s="423"/>
      <c r="E37" s="423"/>
      <c r="F37" s="423"/>
      <c r="G37" s="423"/>
      <c r="H37" s="423"/>
      <c r="I37" s="423"/>
      <c r="J37" s="423"/>
      <c r="K37" s="442"/>
    </row>
    <row r="38" spans="1:13" ht="21.75" customHeight="1" thickTop="1" thickBot="1" x14ac:dyDescent="0.25">
      <c r="A38" s="107" t="s">
        <v>23</v>
      </c>
      <c r="B38" s="501" t="s">
        <v>45</v>
      </c>
      <c r="C38" s="501"/>
      <c r="D38" s="501"/>
      <c r="E38" s="501"/>
      <c r="F38" s="501"/>
      <c r="G38" s="501"/>
      <c r="H38" s="501"/>
      <c r="I38" s="501"/>
      <c r="J38" s="108">
        <v>8.3299999999999999E-2</v>
      </c>
      <c r="K38" s="109">
        <f>K33*(1/12)</f>
        <v>0</v>
      </c>
      <c r="L38" s="110"/>
    </row>
    <row r="39" spans="1:13" ht="21.75" customHeight="1" thickTop="1" thickBot="1" x14ac:dyDescent="0.25">
      <c r="A39" s="107" t="s">
        <v>25</v>
      </c>
      <c r="B39" s="501" t="s">
        <v>46</v>
      </c>
      <c r="C39" s="501"/>
      <c r="D39" s="501"/>
      <c r="E39" s="501"/>
      <c r="F39" s="501"/>
      <c r="G39" s="501"/>
      <c r="H39" s="501"/>
      <c r="I39" s="501"/>
      <c r="J39" s="108">
        <v>0.1111</v>
      </c>
      <c r="K39" s="109">
        <f>(K33*(1/12))+(K33*1/12*1/3)</f>
        <v>0</v>
      </c>
      <c r="L39" s="111"/>
    </row>
    <row r="40" spans="1:13" ht="21.75" customHeight="1" thickTop="1" thickBot="1" x14ac:dyDescent="0.25">
      <c r="A40" s="155"/>
      <c r="B40" s="502" t="s">
        <v>47</v>
      </c>
      <c r="C40" s="502"/>
      <c r="D40" s="502"/>
      <c r="E40" s="502"/>
      <c r="F40" s="502"/>
      <c r="G40" s="502"/>
      <c r="H40" s="502"/>
      <c r="I40" s="502"/>
      <c r="J40" s="113">
        <f>J38+J39</f>
        <v>0.19440000000000002</v>
      </c>
      <c r="K40" s="105">
        <f>ROUND(SUM(K38+K39),2)</f>
        <v>0</v>
      </c>
    </row>
    <row r="41" spans="1:13" ht="21.75" customHeight="1" thickTop="1" x14ac:dyDescent="0.2">
      <c r="A41" s="464" t="s">
        <v>151</v>
      </c>
      <c r="B41" s="465"/>
      <c r="C41" s="465"/>
      <c r="D41" s="465"/>
      <c r="E41" s="465"/>
      <c r="F41" s="465"/>
      <c r="G41" s="465"/>
      <c r="H41" s="465"/>
      <c r="I41" s="465"/>
      <c r="J41" s="465"/>
      <c r="K41" s="466"/>
    </row>
    <row r="42" spans="1:13" ht="55.15" customHeight="1" thickBot="1" x14ac:dyDescent="0.25">
      <c r="A42" s="467"/>
      <c r="B42" s="468"/>
      <c r="C42" s="468"/>
      <c r="D42" s="468"/>
      <c r="E42" s="468"/>
      <c r="F42" s="468"/>
      <c r="G42" s="468"/>
      <c r="H42" s="468"/>
      <c r="I42" s="468"/>
      <c r="J42" s="468"/>
      <c r="K42" s="469"/>
    </row>
    <row r="43" spans="1:13" ht="21.75" customHeight="1" thickTop="1" thickBot="1" x14ac:dyDescent="0.25">
      <c r="A43" s="423" t="s">
        <v>49</v>
      </c>
      <c r="B43" s="424"/>
      <c r="C43" s="424"/>
      <c r="D43" s="424"/>
      <c r="E43" s="424"/>
      <c r="F43" s="424"/>
      <c r="G43" s="424"/>
      <c r="H43" s="424"/>
      <c r="I43" s="424"/>
      <c r="J43" s="424"/>
      <c r="K43" s="426"/>
    </row>
    <row r="44" spans="1:13" ht="21.75" customHeight="1" thickTop="1" thickBot="1" x14ac:dyDescent="0.25">
      <c r="A44" s="100" t="s">
        <v>23</v>
      </c>
      <c r="B44" s="495" t="s">
        <v>50</v>
      </c>
      <c r="C44" s="495"/>
      <c r="D44" s="495"/>
      <c r="E44" s="495"/>
      <c r="F44" s="495"/>
      <c r="G44" s="495"/>
      <c r="H44" s="495"/>
      <c r="I44" s="495"/>
      <c r="J44" s="115">
        <v>0.2</v>
      </c>
      <c r="K44" s="102">
        <f>J44*(K33+K40)</f>
        <v>0</v>
      </c>
    </row>
    <row r="45" spans="1:13" ht="21.75" customHeight="1" thickTop="1" thickBot="1" x14ac:dyDescent="0.25">
      <c r="A45" s="100" t="s">
        <v>25</v>
      </c>
      <c r="B45" s="496" t="s">
        <v>54</v>
      </c>
      <c r="C45" s="428"/>
      <c r="D45" s="428"/>
      <c r="E45" s="428"/>
      <c r="F45" s="428"/>
      <c r="G45" s="428"/>
      <c r="H45" s="428"/>
      <c r="I45" s="497"/>
      <c r="J45" s="115">
        <v>2.5000000000000001E-2</v>
      </c>
      <c r="K45" s="102">
        <f>J45*(K33+K40)</f>
        <v>0</v>
      </c>
    </row>
    <row r="46" spans="1:13" ht="21.75" customHeight="1" thickTop="1" thickBot="1" x14ac:dyDescent="0.25">
      <c r="A46" s="100" t="s">
        <v>28</v>
      </c>
      <c r="B46" s="496" t="s">
        <v>243</v>
      </c>
      <c r="C46" s="428"/>
      <c r="D46" s="428"/>
      <c r="E46" s="498"/>
      <c r="F46" s="341">
        <v>0.03</v>
      </c>
      <c r="G46" s="281" t="s">
        <v>57</v>
      </c>
      <c r="H46" s="499">
        <v>1</v>
      </c>
      <c r="I46" s="500"/>
      <c r="J46" s="115">
        <f>F46*H46</f>
        <v>0.03</v>
      </c>
      <c r="K46" s="102">
        <f>J46*(K33+K40)</f>
        <v>0</v>
      </c>
    </row>
    <row r="47" spans="1:13" ht="21.75" customHeight="1" thickTop="1" thickBot="1" x14ac:dyDescent="0.25">
      <c r="A47" s="100" t="s">
        <v>33</v>
      </c>
      <c r="B47" s="496" t="s">
        <v>51</v>
      </c>
      <c r="C47" s="428"/>
      <c r="D47" s="428"/>
      <c r="E47" s="428"/>
      <c r="F47" s="428"/>
      <c r="G47" s="428"/>
      <c r="H47" s="428"/>
      <c r="I47" s="497"/>
      <c r="J47" s="115">
        <v>1.4999999999999999E-2</v>
      </c>
      <c r="K47" s="102">
        <f>J47*(K33+K40)</f>
        <v>0</v>
      </c>
    </row>
    <row r="48" spans="1:13" ht="21.75" customHeight="1" thickTop="1" thickBot="1" x14ac:dyDescent="0.25">
      <c r="A48" s="100" t="s">
        <v>35</v>
      </c>
      <c r="B48" s="496" t="s">
        <v>52</v>
      </c>
      <c r="C48" s="428"/>
      <c r="D48" s="428"/>
      <c r="E48" s="428"/>
      <c r="F48" s="428"/>
      <c r="G48" s="428"/>
      <c r="H48" s="428"/>
      <c r="I48" s="497"/>
      <c r="J48" s="115">
        <v>0.01</v>
      </c>
      <c r="K48" s="102">
        <f>J48*(K33+K40)</f>
        <v>0</v>
      </c>
    </row>
    <row r="49" spans="1:16" ht="21.75" customHeight="1" thickTop="1" thickBot="1" x14ac:dyDescent="0.25">
      <c r="A49" s="100" t="s">
        <v>37</v>
      </c>
      <c r="B49" s="86" t="s">
        <v>59</v>
      </c>
      <c r="C49" s="86"/>
      <c r="D49" s="86"/>
      <c r="E49" s="86"/>
      <c r="F49" s="86"/>
      <c r="G49" s="86"/>
      <c r="H49" s="86"/>
      <c r="I49" s="86"/>
      <c r="J49" s="115">
        <v>6.0000000000000001E-3</v>
      </c>
      <c r="K49" s="102">
        <f>J49*(K33+K40)</f>
        <v>0</v>
      </c>
    </row>
    <row r="50" spans="1:16" ht="21.75" customHeight="1" thickTop="1" thickBot="1" x14ac:dyDescent="0.25">
      <c r="A50" s="100" t="s">
        <v>39</v>
      </c>
      <c r="B50" s="496" t="s">
        <v>53</v>
      </c>
      <c r="C50" s="428"/>
      <c r="D50" s="428"/>
      <c r="E50" s="428"/>
      <c r="F50" s="428"/>
      <c r="G50" s="428"/>
      <c r="H50" s="428"/>
      <c r="I50" s="497"/>
      <c r="J50" s="116">
        <v>2E-3</v>
      </c>
      <c r="K50" s="102">
        <f>J50*(K$33+K$40)</f>
        <v>0</v>
      </c>
    </row>
    <row r="51" spans="1:16" ht="21.75" customHeight="1" thickTop="1" thickBot="1" x14ac:dyDescent="0.25">
      <c r="A51" s="100" t="s">
        <v>58</v>
      </c>
      <c r="B51" s="496" t="s">
        <v>55</v>
      </c>
      <c r="C51" s="428"/>
      <c r="D51" s="428"/>
      <c r="E51" s="428"/>
      <c r="F51" s="428"/>
      <c r="G51" s="428"/>
      <c r="H51" s="428"/>
      <c r="I51" s="497"/>
      <c r="J51" s="116">
        <v>0.08</v>
      </c>
      <c r="K51" s="408">
        <f>J51*(K$33+K$40)</f>
        <v>0</v>
      </c>
    </row>
    <row r="52" spans="1:16" ht="21.75" customHeight="1" thickTop="1" thickBot="1" x14ac:dyDescent="0.25">
      <c r="A52" s="154"/>
      <c r="B52" s="423" t="s">
        <v>47</v>
      </c>
      <c r="C52" s="424"/>
      <c r="D52" s="424"/>
      <c r="E52" s="424"/>
      <c r="F52" s="424"/>
      <c r="G52" s="424"/>
      <c r="H52" s="424"/>
      <c r="I52" s="426"/>
      <c r="J52" s="114">
        <f>SUM(J44:J51)</f>
        <v>0.36800000000000005</v>
      </c>
      <c r="K52" s="282">
        <f>SUM(K44:K51)</f>
        <v>0</v>
      </c>
    </row>
    <row r="53" spans="1:16" ht="21.75" customHeight="1" thickTop="1" x14ac:dyDescent="0.2">
      <c r="A53" s="486" t="s">
        <v>152</v>
      </c>
      <c r="B53" s="487"/>
      <c r="C53" s="487"/>
      <c r="D53" s="487"/>
      <c r="E53" s="487"/>
      <c r="F53" s="487"/>
      <c r="G53" s="487"/>
      <c r="H53" s="487"/>
      <c r="I53" s="487"/>
      <c r="J53" s="487"/>
      <c r="K53" s="488"/>
    </row>
    <row r="54" spans="1:16" ht="21.75" customHeight="1" x14ac:dyDescent="0.2">
      <c r="A54" s="489"/>
      <c r="B54" s="490"/>
      <c r="C54" s="490"/>
      <c r="D54" s="490"/>
      <c r="E54" s="490"/>
      <c r="F54" s="490"/>
      <c r="G54" s="490"/>
      <c r="H54" s="490"/>
      <c r="I54" s="490"/>
      <c r="J54" s="490"/>
      <c r="K54" s="491"/>
    </row>
    <row r="55" spans="1:16" ht="12.6" customHeight="1" thickBot="1" x14ac:dyDescent="0.25">
      <c r="A55" s="492"/>
      <c r="B55" s="493"/>
      <c r="C55" s="493"/>
      <c r="D55" s="493"/>
      <c r="E55" s="493"/>
      <c r="F55" s="493"/>
      <c r="G55" s="493"/>
      <c r="H55" s="493"/>
      <c r="I55" s="493"/>
      <c r="J55" s="493"/>
      <c r="K55" s="494"/>
    </row>
    <row r="56" spans="1:16" ht="21.75" customHeight="1" thickTop="1" thickBot="1" x14ac:dyDescent="0.25">
      <c r="A56" s="423" t="s">
        <v>61</v>
      </c>
      <c r="B56" s="424"/>
      <c r="C56" s="424"/>
      <c r="D56" s="424"/>
      <c r="E56" s="424"/>
      <c r="F56" s="424"/>
      <c r="G56" s="424"/>
      <c r="H56" s="424"/>
      <c r="I56" s="424"/>
      <c r="J56" s="424"/>
      <c r="K56" s="426"/>
    </row>
    <row r="57" spans="1:16" ht="21.75" customHeight="1" thickTop="1" thickBot="1" x14ac:dyDescent="0.25">
      <c r="A57" s="95" t="s">
        <v>23</v>
      </c>
      <c r="B57" s="459" t="s">
        <v>424</v>
      </c>
      <c r="C57" s="459"/>
      <c r="D57" s="459"/>
      <c r="E57" s="459"/>
      <c r="F57" s="459"/>
      <c r="G57" s="459"/>
      <c r="H57" s="459"/>
      <c r="I57" s="459"/>
      <c r="J57" s="459"/>
      <c r="K57" s="117">
        <v>0</v>
      </c>
      <c r="L57" s="111"/>
    </row>
    <row r="58" spans="1:16" ht="21.75" customHeight="1" thickTop="1" thickBot="1" x14ac:dyDescent="0.25">
      <c r="A58" s="95" t="s">
        <v>25</v>
      </c>
      <c r="B58" s="459" t="s">
        <v>423</v>
      </c>
      <c r="C58" s="459"/>
      <c r="D58" s="459"/>
      <c r="E58" s="459"/>
      <c r="F58" s="459"/>
      <c r="G58" s="459"/>
      <c r="H58" s="459"/>
      <c r="I58" s="459"/>
      <c r="J58" s="459"/>
      <c r="K58" s="109">
        <v>0</v>
      </c>
      <c r="L58" s="484"/>
      <c r="M58" s="485"/>
      <c r="N58" s="485"/>
      <c r="O58" s="485"/>
    </row>
    <row r="59" spans="1:16" ht="21.75" customHeight="1" thickTop="1" thickBot="1" x14ac:dyDescent="0.25">
      <c r="A59" s="95" t="s">
        <v>28</v>
      </c>
      <c r="B59" s="459" t="s">
        <v>421</v>
      </c>
      <c r="C59" s="459"/>
      <c r="D59" s="459"/>
      <c r="E59" s="459"/>
      <c r="F59" s="459"/>
      <c r="G59" s="459"/>
      <c r="H59" s="459"/>
      <c r="I59" s="459"/>
      <c r="J59" s="459"/>
      <c r="K59" s="109">
        <v>0</v>
      </c>
      <c r="L59" s="484"/>
      <c r="M59" s="485"/>
      <c r="N59" s="485"/>
      <c r="O59" s="485"/>
      <c r="P59" s="111"/>
    </row>
    <row r="60" spans="1:16" ht="21.75" customHeight="1" thickTop="1" thickBot="1" x14ac:dyDescent="0.25">
      <c r="A60" s="95" t="s">
        <v>33</v>
      </c>
      <c r="B60" s="459" t="s">
        <v>420</v>
      </c>
      <c r="C60" s="459"/>
      <c r="D60" s="459"/>
      <c r="E60" s="459"/>
      <c r="F60" s="459"/>
      <c r="G60" s="459"/>
      <c r="H60" s="459"/>
      <c r="I60" s="459"/>
      <c r="J60" s="459"/>
      <c r="K60" s="109">
        <v>0</v>
      </c>
      <c r="L60" s="484"/>
      <c r="M60" s="485"/>
      <c r="N60" s="485"/>
      <c r="O60" s="485"/>
    </row>
    <row r="61" spans="1:16" ht="21.75" customHeight="1" thickTop="1" thickBot="1" x14ac:dyDescent="0.25">
      <c r="A61" s="95" t="s">
        <v>35</v>
      </c>
      <c r="B61" s="459" t="s">
        <v>87</v>
      </c>
      <c r="C61" s="459"/>
      <c r="D61" s="459"/>
      <c r="E61" s="459"/>
      <c r="F61" s="459"/>
      <c r="G61" s="459"/>
      <c r="H61" s="459"/>
      <c r="I61" s="459"/>
      <c r="J61" s="459"/>
      <c r="K61" s="109">
        <v>0</v>
      </c>
      <c r="L61" s="484"/>
      <c r="M61" s="485"/>
      <c r="N61" s="485"/>
      <c r="O61" s="485"/>
    </row>
    <row r="62" spans="1:16" ht="21.75" customHeight="1" thickTop="1" thickBot="1" x14ac:dyDescent="0.25">
      <c r="A62" s="95"/>
      <c r="B62" s="442" t="s">
        <v>47</v>
      </c>
      <c r="C62" s="442"/>
      <c r="D62" s="442"/>
      <c r="E62" s="442"/>
      <c r="F62" s="442"/>
      <c r="G62" s="442"/>
      <c r="H62" s="442"/>
      <c r="I62" s="442"/>
      <c r="J62" s="442"/>
      <c r="K62" s="105">
        <f>SUM(K57:K61)</f>
        <v>0</v>
      </c>
    </row>
    <row r="63" spans="1:16" ht="21.75" customHeight="1" thickTop="1" x14ac:dyDescent="0.2">
      <c r="A63" s="464" t="s">
        <v>153</v>
      </c>
      <c r="B63" s="465"/>
      <c r="C63" s="465"/>
      <c r="D63" s="465"/>
      <c r="E63" s="465"/>
      <c r="F63" s="465"/>
      <c r="G63" s="465"/>
      <c r="H63" s="465"/>
      <c r="I63" s="465"/>
      <c r="J63" s="465"/>
      <c r="K63" s="466"/>
    </row>
    <row r="64" spans="1:16" ht="37.15" customHeight="1" thickBot="1" x14ac:dyDescent="0.25">
      <c r="A64" s="467"/>
      <c r="B64" s="468"/>
      <c r="C64" s="468"/>
      <c r="D64" s="468"/>
      <c r="E64" s="468"/>
      <c r="F64" s="468"/>
      <c r="G64" s="468"/>
      <c r="H64" s="468"/>
      <c r="I64" s="468"/>
      <c r="J64" s="468"/>
      <c r="K64" s="469"/>
    </row>
    <row r="65" spans="1:18" ht="21.75" customHeight="1" thickTop="1" thickBot="1" x14ac:dyDescent="0.25">
      <c r="A65" s="423" t="s">
        <v>64</v>
      </c>
      <c r="B65" s="424"/>
      <c r="C65" s="424"/>
      <c r="D65" s="424"/>
      <c r="E65" s="424"/>
      <c r="F65" s="424"/>
      <c r="G65" s="424"/>
      <c r="H65" s="424"/>
      <c r="I65" s="424"/>
      <c r="J65" s="424"/>
      <c r="K65" s="426"/>
    </row>
    <row r="66" spans="1:18" ht="21.75" customHeight="1" thickTop="1" thickBot="1" x14ac:dyDescent="0.25">
      <c r="A66" s="118" t="s">
        <v>65</v>
      </c>
      <c r="B66" s="455" t="s">
        <v>154</v>
      </c>
      <c r="C66" s="455"/>
      <c r="D66" s="455"/>
      <c r="E66" s="455"/>
      <c r="F66" s="455"/>
      <c r="G66" s="455"/>
      <c r="H66" s="455"/>
      <c r="I66" s="455"/>
      <c r="J66" s="119">
        <f>J40</f>
        <v>0.19440000000000002</v>
      </c>
      <c r="K66" s="120">
        <f>K40</f>
        <v>0</v>
      </c>
    </row>
    <row r="67" spans="1:18" ht="21.75" customHeight="1" thickTop="1" thickBot="1" x14ac:dyDescent="0.25">
      <c r="A67" s="118" t="s">
        <v>67</v>
      </c>
      <c r="B67" s="455" t="s">
        <v>68</v>
      </c>
      <c r="C67" s="455"/>
      <c r="D67" s="455"/>
      <c r="E67" s="455"/>
      <c r="F67" s="455"/>
      <c r="G67" s="455"/>
      <c r="H67" s="455"/>
      <c r="I67" s="455"/>
      <c r="J67" s="119">
        <f>J52</f>
        <v>0.36800000000000005</v>
      </c>
      <c r="K67" s="120">
        <f>K52</f>
        <v>0</v>
      </c>
    </row>
    <row r="68" spans="1:18" ht="21.75" customHeight="1" thickTop="1" thickBot="1" x14ac:dyDescent="0.25">
      <c r="A68" s="118" t="s">
        <v>69</v>
      </c>
      <c r="B68" s="455" t="s">
        <v>70</v>
      </c>
      <c r="C68" s="455"/>
      <c r="D68" s="455"/>
      <c r="E68" s="455"/>
      <c r="F68" s="455"/>
      <c r="G68" s="455"/>
      <c r="H68" s="455"/>
      <c r="I68" s="455"/>
      <c r="J68" s="455"/>
      <c r="K68" s="120">
        <f>K62</f>
        <v>0</v>
      </c>
    </row>
    <row r="69" spans="1:18" ht="21.75" customHeight="1" thickTop="1" thickBot="1" x14ac:dyDescent="0.25">
      <c r="A69" s="95"/>
      <c r="B69" s="442" t="s">
        <v>47</v>
      </c>
      <c r="C69" s="442"/>
      <c r="D69" s="442"/>
      <c r="E69" s="442"/>
      <c r="F69" s="442"/>
      <c r="G69" s="442"/>
      <c r="H69" s="442"/>
      <c r="I69" s="442"/>
      <c r="J69" s="442"/>
      <c r="K69" s="105">
        <f>ROUND((K66+K67+K68),2)</f>
        <v>0</v>
      </c>
    </row>
    <row r="70" spans="1:18" s="121" customFormat="1" ht="21.75" customHeight="1" thickTop="1" thickBot="1" x14ac:dyDescent="0.3">
      <c r="A70" s="482"/>
      <c r="B70" s="483"/>
      <c r="C70" s="483"/>
      <c r="D70" s="483"/>
      <c r="E70" s="483"/>
      <c r="F70" s="483"/>
      <c r="G70" s="483"/>
      <c r="H70" s="483"/>
      <c r="I70" s="483"/>
      <c r="J70" s="483"/>
      <c r="K70" s="483"/>
    </row>
    <row r="71" spans="1:18" s="121" customFormat="1" ht="21.75" customHeight="1" thickTop="1" thickBot="1" x14ac:dyDescent="0.3">
      <c r="A71" s="423" t="s">
        <v>71</v>
      </c>
      <c r="B71" s="424"/>
      <c r="C71" s="424"/>
      <c r="D71" s="424"/>
      <c r="E71" s="424"/>
      <c r="F71" s="424"/>
      <c r="G71" s="424"/>
      <c r="H71" s="424"/>
      <c r="I71" s="424"/>
      <c r="J71" s="424"/>
      <c r="K71" s="426"/>
    </row>
    <row r="72" spans="1:18" s="121" customFormat="1" ht="21.75" customHeight="1" thickTop="1" thickBot="1" x14ac:dyDescent="0.3">
      <c r="A72" s="122" t="s">
        <v>23</v>
      </c>
      <c r="B72" s="459" t="s">
        <v>72</v>
      </c>
      <c r="C72" s="459"/>
      <c r="D72" s="459"/>
      <c r="E72" s="459"/>
      <c r="F72" s="459"/>
      <c r="G72" s="459"/>
      <c r="H72" s="459"/>
      <c r="I72" s="459"/>
      <c r="J72" s="123">
        <f>L72</f>
        <v>4.1666666666666666E-3</v>
      </c>
      <c r="K72" s="124">
        <f>J72*$K$33</f>
        <v>0</v>
      </c>
      <c r="L72" s="478">
        <f>0.05*(1/12)</f>
        <v>4.1666666666666666E-3</v>
      </c>
      <c r="M72" s="479"/>
      <c r="N72" s="121" t="s">
        <v>73</v>
      </c>
    </row>
    <row r="73" spans="1:18" s="121" customFormat="1" ht="21.75" customHeight="1" thickTop="1" thickBot="1" x14ac:dyDescent="0.3">
      <c r="A73" s="122" t="s">
        <v>25</v>
      </c>
      <c r="B73" s="459" t="s">
        <v>74</v>
      </c>
      <c r="C73" s="459"/>
      <c r="D73" s="459"/>
      <c r="E73" s="459"/>
      <c r="F73" s="459"/>
      <c r="G73" s="459"/>
      <c r="H73" s="459"/>
      <c r="I73" s="459"/>
      <c r="J73" s="123">
        <f>L73</f>
        <v>3.3333333333333332E-4</v>
      </c>
      <c r="K73" s="124">
        <f t="shared" ref="K73:K75" si="0">J73*$K$33</f>
        <v>0</v>
      </c>
      <c r="L73" s="480">
        <f>0.08*J72</f>
        <v>3.3333333333333332E-4</v>
      </c>
      <c r="M73" s="481"/>
    </row>
    <row r="74" spans="1:18" s="121" customFormat="1" ht="28.15" customHeight="1" thickTop="1" thickBot="1" x14ac:dyDescent="0.3">
      <c r="A74" s="122" t="s">
        <v>28</v>
      </c>
      <c r="B74" s="472" t="s">
        <v>75</v>
      </c>
      <c r="C74" s="472"/>
      <c r="D74" s="472"/>
      <c r="E74" s="472"/>
      <c r="F74" s="472"/>
      <c r="G74" s="472"/>
      <c r="H74" s="472"/>
      <c r="I74" s="472"/>
      <c r="J74" s="125">
        <f>L74</f>
        <v>3.4799999999999998E-2</v>
      </c>
      <c r="K74" s="124">
        <f t="shared" si="0"/>
        <v>0</v>
      </c>
      <c r="L74" s="473">
        <f>(0.08*(0.4)*0.9)*((1+5/56+5/56)+(1/3*5/56))</f>
        <v>3.4799999999999998E-2</v>
      </c>
      <c r="M74" s="474"/>
      <c r="N74" s="126"/>
      <c r="O74" s="127"/>
      <c r="P74" s="127"/>
      <c r="Q74" s="127"/>
      <c r="R74" s="127"/>
    </row>
    <row r="75" spans="1:18" s="121" customFormat="1" ht="21.75" customHeight="1" thickTop="1" thickBot="1" x14ac:dyDescent="0.3">
      <c r="A75" s="122" t="s">
        <v>33</v>
      </c>
      <c r="B75" s="459" t="s">
        <v>76</v>
      </c>
      <c r="C75" s="459"/>
      <c r="D75" s="459"/>
      <c r="E75" s="459"/>
      <c r="F75" s="459"/>
      <c r="G75" s="459"/>
      <c r="H75" s="459"/>
      <c r="I75" s="459"/>
      <c r="J75" s="125">
        <f>L75</f>
        <v>1.9444444444444445E-2</v>
      </c>
      <c r="K75" s="124">
        <f t="shared" si="0"/>
        <v>0</v>
      </c>
      <c r="L75" s="473">
        <f>(7/30)/12</f>
        <v>1.9444444444444445E-2</v>
      </c>
      <c r="M75" s="474"/>
    </row>
    <row r="76" spans="1:18" s="121" customFormat="1" ht="30" customHeight="1" thickTop="1" thickBot="1" x14ac:dyDescent="0.3">
      <c r="A76" s="122" t="s">
        <v>35</v>
      </c>
      <c r="B76" s="459" t="s">
        <v>77</v>
      </c>
      <c r="C76" s="459"/>
      <c r="D76" s="459"/>
      <c r="E76" s="459"/>
      <c r="F76" s="459"/>
      <c r="G76" s="459"/>
      <c r="H76" s="459"/>
      <c r="I76" s="459"/>
      <c r="J76" s="123">
        <f>J52*J75</f>
        <v>7.1555555555555565E-3</v>
      </c>
      <c r="K76" s="124">
        <f>K33*J76</f>
        <v>0</v>
      </c>
      <c r="L76" s="470">
        <f>J75*J52</f>
        <v>7.1555555555555565E-3</v>
      </c>
      <c r="M76" s="471"/>
      <c r="N76" s="128"/>
    </row>
    <row r="77" spans="1:18" s="121" customFormat="1" ht="30" customHeight="1" thickTop="1" thickBot="1" x14ac:dyDescent="0.3">
      <c r="A77" s="122" t="s">
        <v>37</v>
      </c>
      <c r="B77" s="472" t="s">
        <v>78</v>
      </c>
      <c r="C77" s="472"/>
      <c r="D77" s="472"/>
      <c r="E77" s="472"/>
      <c r="F77" s="472"/>
      <c r="G77" s="472"/>
      <c r="H77" s="472"/>
      <c r="I77" s="472"/>
      <c r="J77" s="123">
        <f>L77</f>
        <v>6.2222222222222225E-4</v>
      </c>
      <c r="K77" s="124">
        <f>J77*(K33+K40)</f>
        <v>0</v>
      </c>
      <c r="L77" s="473">
        <f>0.08*(0.4)*J75</f>
        <v>6.2222222222222225E-4</v>
      </c>
      <c r="M77" s="474"/>
      <c r="O77" s="129"/>
    </row>
    <row r="78" spans="1:18" s="121" customFormat="1" ht="21.75" customHeight="1" thickTop="1" thickBot="1" x14ac:dyDescent="0.3">
      <c r="A78" s="423" t="s">
        <v>47</v>
      </c>
      <c r="B78" s="424"/>
      <c r="C78" s="424"/>
      <c r="D78" s="424"/>
      <c r="E78" s="424"/>
      <c r="F78" s="424"/>
      <c r="G78" s="424"/>
      <c r="H78" s="424"/>
      <c r="I78" s="424"/>
      <c r="J78" s="130"/>
      <c r="K78" s="131">
        <f>ROUND(K72+K73+K74+K75+K76+K77,2)</f>
        <v>0</v>
      </c>
    </row>
    <row r="79" spans="1:18" s="121" customFormat="1" ht="21.75" customHeight="1" thickTop="1" x14ac:dyDescent="0.25">
      <c r="A79" s="464" t="s">
        <v>155</v>
      </c>
      <c r="B79" s="465"/>
      <c r="C79" s="465"/>
      <c r="D79" s="465"/>
      <c r="E79" s="465"/>
      <c r="F79" s="465"/>
      <c r="G79" s="465"/>
      <c r="H79" s="465"/>
      <c r="I79" s="465"/>
      <c r="J79" s="465"/>
      <c r="K79" s="466"/>
    </row>
    <row r="80" spans="1:18" s="121" customFormat="1" ht="21.75" customHeight="1" x14ac:dyDescent="0.25">
      <c r="A80" s="475"/>
      <c r="B80" s="476"/>
      <c r="C80" s="476"/>
      <c r="D80" s="476"/>
      <c r="E80" s="476"/>
      <c r="F80" s="476"/>
      <c r="G80" s="476"/>
      <c r="H80" s="476"/>
      <c r="I80" s="476"/>
      <c r="J80" s="476"/>
      <c r="K80" s="477"/>
    </row>
    <row r="81" spans="1:18" s="121" customFormat="1" ht="12.6" customHeight="1" thickBot="1" x14ac:dyDescent="0.3">
      <c r="A81" s="467"/>
      <c r="B81" s="468"/>
      <c r="C81" s="468"/>
      <c r="D81" s="468"/>
      <c r="E81" s="468"/>
      <c r="F81" s="468"/>
      <c r="G81" s="468"/>
      <c r="H81" s="468"/>
      <c r="I81" s="468"/>
      <c r="J81" s="468"/>
      <c r="K81" s="469"/>
    </row>
    <row r="82" spans="1:18" s="121" customFormat="1" ht="21.75" customHeight="1" thickTop="1" thickBot="1" x14ac:dyDescent="0.3">
      <c r="A82" s="423" t="s">
        <v>80</v>
      </c>
      <c r="B82" s="424"/>
      <c r="C82" s="424"/>
      <c r="D82" s="424"/>
      <c r="E82" s="424"/>
      <c r="F82" s="424"/>
      <c r="G82" s="424"/>
      <c r="H82" s="424"/>
      <c r="I82" s="424"/>
      <c r="J82" s="424"/>
      <c r="K82" s="426"/>
    </row>
    <row r="83" spans="1:18" s="121" customFormat="1" ht="21.75" customHeight="1" thickTop="1" thickBot="1" x14ac:dyDescent="0.3">
      <c r="A83" s="423" t="s">
        <v>144</v>
      </c>
      <c r="B83" s="424"/>
      <c r="C83" s="424"/>
      <c r="D83" s="424"/>
      <c r="E83" s="424"/>
      <c r="F83" s="424"/>
      <c r="G83" s="424"/>
      <c r="H83" s="424"/>
      <c r="I83" s="424"/>
      <c r="J83" s="424"/>
      <c r="K83" s="426"/>
    </row>
    <row r="84" spans="1:18" s="121" customFormat="1" ht="21.75" customHeight="1" thickTop="1" thickBot="1" x14ac:dyDescent="0.3">
      <c r="A84" s="132" t="s">
        <v>23</v>
      </c>
      <c r="B84" s="459" t="s">
        <v>82</v>
      </c>
      <c r="C84" s="459"/>
      <c r="D84" s="459"/>
      <c r="E84" s="459"/>
      <c r="F84" s="459"/>
      <c r="G84" s="459"/>
      <c r="H84" s="459"/>
      <c r="I84" s="459"/>
      <c r="J84" s="125">
        <f>L84</f>
        <v>9.0909090909090912E-2</v>
      </c>
      <c r="K84" s="124">
        <f>J84*$K$33</f>
        <v>0</v>
      </c>
      <c r="L84" s="133">
        <f>(5/55)</f>
        <v>9.0909090909090912E-2</v>
      </c>
      <c r="M84" s="134"/>
    </row>
    <row r="85" spans="1:18" s="121" customFormat="1" ht="21.75" customHeight="1" thickTop="1" thickBot="1" x14ac:dyDescent="0.3">
      <c r="A85" s="132" t="s">
        <v>25</v>
      </c>
      <c r="B85" s="459" t="s">
        <v>83</v>
      </c>
      <c r="C85" s="459"/>
      <c r="D85" s="459"/>
      <c r="E85" s="459"/>
      <c r="F85" s="459"/>
      <c r="G85" s="459"/>
      <c r="H85" s="459"/>
      <c r="I85" s="459"/>
      <c r="J85" s="123">
        <f>L85</f>
        <v>1.3698630136986301E-2</v>
      </c>
      <c r="K85" s="124">
        <f t="shared" ref="K85:K89" si="1">J85*$K$33</f>
        <v>0</v>
      </c>
      <c r="L85" s="133">
        <f>5/365</f>
        <v>1.3698630136986301E-2</v>
      </c>
      <c r="M85" s="135"/>
      <c r="N85" s="136"/>
      <c r="O85" s="136"/>
      <c r="P85" s="136"/>
    </row>
    <row r="86" spans="1:18" s="121" customFormat="1" ht="21.75" customHeight="1" thickTop="1" thickBot="1" x14ac:dyDescent="0.3">
      <c r="A86" s="132" t="s">
        <v>28</v>
      </c>
      <c r="B86" s="459" t="s">
        <v>84</v>
      </c>
      <c r="C86" s="459"/>
      <c r="D86" s="459"/>
      <c r="E86" s="459"/>
      <c r="F86" s="459"/>
      <c r="G86" s="459"/>
      <c r="H86" s="459"/>
      <c r="I86" s="459"/>
      <c r="J86" s="123">
        <f>L86</f>
        <v>2.0547945205479451E-4</v>
      </c>
      <c r="K86" s="124">
        <f t="shared" si="1"/>
        <v>0</v>
      </c>
      <c r="L86" s="133">
        <f>5/365*0.015</f>
        <v>2.0547945205479451E-4</v>
      </c>
      <c r="M86" s="137"/>
    </row>
    <row r="87" spans="1:18" s="121" customFormat="1" ht="21.75" customHeight="1" thickTop="1" thickBot="1" x14ac:dyDescent="0.3">
      <c r="A87" s="132" t="s">
        <v>33</v>
      </c>
      <c r="B87" s="459" t="s">
        <v>85</v>
      </c>
      <c r="C87" s="459"/>
      <c r="D87" s="459"/>
      <c r="E87" s="459"/>
      <c r="F87" s="459"/>
      <c r="G87" s="459"/>
      <c r="H87" s="459"/>
      <c r="I87" s="459"/>
      <c r="J87" s="123">
        <f>L87</f>
        <v>3.2876712328767121E-3</v>
      </c>
      <c r="K87" s="124">
        <f t="shared" si="1"/>
        <v>0</v>
      </c>
      <c r="L87" s="133">
        <f>15/365*0.08</f>
        <v>3.2876712328767121E-3</v>
      </c>
      <c r="M87" s="137"/>
    </row>
    <row r="88" spans="1:18" s="121" customFormat="1" ht="21.75" customHeight="1" thickTop="1" thickBot="1" x14ac:dyDescent="0.3">
      <c r="A88" s="132" t="s">
        <v>35</v>
      </c>
      <c r="B88" s="459" t="s">
        <v>86</v>
      </c>
      <c r="C88" s="459"/>
      <c r="D88" s="459"/>
      <c r="E88" s="459"/>
      <c r="F88" s="459"/>
      <c r="G88" s="459"/>
      <c r="H88" s="459"/>
      <c r="I88" s="459"/>
      <c r="J88" s="123">
        <f>M88</f>
        <v>1.6133333333333334E-3</v>
      </c>
      <c r="K88" s="124">
        <f t="shared" si="1"/>
        <v>0</v>
      </c>
      <c r="L88"/>
      <c r="M88" s="138">
        <f>((0.121*4)/12*0.04)</f>
        <v>1.6133333333333334E-3</v>
      </c>
      <c r="N88" s="139"/>
      <c r="Q88" s="140"/>
      <c r="R88" s="141"/>
    </row>
    <row r="89" spans="1:18" s="121" customFormat="1" ht="21.75" customHeight="1" thickTop="1" thickBot="1" x14ac:dyDescent="0.3">
      <c r="A89" s="132" t="s">
        <v>37</v>
      </c>
      <c r="B89" s="459" t="s">
        <v>87</v>
      </c>
      <c r="C89" s="459"/>
      <c r="D89" s="459"/>
      <c r="E89" s="459"/>
      <c r="F89" s="459"/>
      <c r="G89" s="459"/>
      <c r="H89" s="459"/>
      <c r="I89" s="459"/>
      <c r="J89" s="125">
        <v>0</v>
      </c>
      <c r="K89" s="124">
        <f t="shared" si="1"/>
        <v>0</v>
      </c>
      <c r="L89"/>
      <c r="M89" s="137"/>
    </row>
    <row r="90" spans="1:18" s="121" customFormat="1" ht="21.75" customHeight="1" thickTop="1" thickBot="1" x14ac:dyDescent="0.3">
      <c r="A90" s="132" t="s">
        <v>39</v>
      </c>
      <c r="B90" s="459" t="s">
        <v>88</v>
      </c>
      <c r="C90" s="459"/>
      <c r="D90" s="459"/>
      <c r="E90" s="459"/>
      <c r="F90" s="459"/>
      <c r="G90" s="459"/>
      <c r="H90" s="459"/>
      <c r="I90" s="459"/>
      <c r="J90" s="125">
        <f>(J84+J85+J86+J87+J88+J89)*J52</f>
        <v>4.0374827463677876E-2</v>
      </c>
      <c r="K90" s="124">
        <f>K33*J90</f>
        <v>0</v>
      </c>
      <c r="L90" s="137"/>
      <c r="M90" s="137"/>
      <c r="Q90" s="142"/>
    </row>
    <row r="91" spans="1:18" s="121" customFormat="1" ht="21.75" customHeight="1" thickTop="1" thickBot="1" x14ac:dyDescent="0.3">
      <c r="A91" s="423" t="s">
        <v>47</v>
      </c>
      <c r="B91" s="424"/>
      <c r="C91" s="424"/>
      <c r="D91" s="424"/>
      <c r="E91" s="424"/>
      <c r="F91" s="424"/>
      <c r="G91" s="424"/>
      <c r="H91" s="424"/>
      <c r="I91" s="426"/>
      <c r="J91" s="143">
        <f>SUM(J84:J90)</f>
        <v>0.15008903252801992</v>
      </c>
      <c r="K91" s="131">
        <f>ROUND(K84+K85+K86+K87+K88+K90,2)</f>
        <v>0</v>
      </c>
    </row>
    <row r="92" spans="1:18" s="121" customFormat="1" ht="21.75" customHeight="1" thickTop="1" x14ac:dyDescent="0.25">
      <c r="A92" s="464" t="s">
        <v>156</v>
      </c>
      <c r="B92" s="465"/>
      <c r="C92" s="465"/>
      <c r="D92" s="465"/>
      <c r="E92" s="465"/>
      <c r="F92" s="465"/>
      <c r="G92" s="465"/>
      <c r="H92" s="465"/>
      <c r="I92" s="465"/>
      <c r="J92" s="465"/>
      <c r="K92" s="466"/>
    </row>
    <row r="93" spans="1:18" s="121" customFormat="1" ht="27" customHeight="1" thickBot="1" x14ac:dyDescent="0.3">
      <c r="A93" s="467"/>
      <c r="B93" s="468"/>
      <c r="C93" s="468"/>
      <c r="D93" s="468"/>
      <c r="E93" s="468"/>
      <c r="F93" s="468"/>
      <c r="G93" s="468"/>
      <c r="H93" s="468"/>
      <c r="I93" s="468"/>
      <c r="J93" s="468"/>
      <c r="K93" s="469"/>
    </row>
    <row r="94" spans="1:18" s="121" customFormat="1" ht="21.75" customHeight="1" thickTop="1" thickBot="1" x14ac:dyDescent="0.3">
      <c r="A94" s="423" t="s">
        <v>90</v>
      </c>
      <c r="B94" s="424"/>
      <c r="C94" s="424"/>
      <c r="D94" s="424"/>
      <c r="E94" s="424"/>
      <c r="F94" s="424"/>
      <c r="G94" s="424"/>
      <c r="H94" s="424"/>
      <c r="I94" s="424"/>
      <c r="J94" s="424"/>
      <c r="K94" s="426"/>
    </row>
    <row r="95" spans="1:18" s="121" customFormat="1" ht="21.75" customHeight="1" thickTop="1" thickBot="1" x14ac:dyDescent="0.25">
      <c r="A95" s="95" t="s">
        <v>23</v>
      </c>
      <c r="B95" s="459" t="s">
        <v>91</v>
      </c>
      <c r="C95" s="459"/>
      <c r="D95" s="459"/>
      <c r="E95" s="459"/>
      <c r="F95" s="459"/>
      <c r="G95" s="459"/>
      <c r="H95" s="459"/>
      <c r="I95" s="459"/>
      <c r="J95" s="144">
        <v>0</v>
      </c>
      <c r="K95" s="102">
        <f>J95*L95</f>
        <v>0</v>
      </c>
      <c r="L95" s="136"/>
      <c r="M95" s="127"/>
      <c r="R95" s="145"/>
    </row>
    <row r="96" spans="1:18" s="121" customFormat="1" ht="21.75" customHeight="1" thickTop="1" thickBot="1" x14ac:dyDescent="0.3">
      <c r="A96" s="95"/>
      <c r="B96" s="460" t="s">
        <v>47</v>
      </c>
      <c r="C96" s="460"/>
      <c r="D96" s="460"/>
      <c r="E96" s="460"/>
      <c r="F96" s="460"/>
      <c r="G96" s="460"/>
      <c r="H96" s="460"/>
      <c r="I96" s="460"/>
      <c r="J96" s="146"/>
      <c r="K96" s="102">
        <f>K95</f>
        <v>0</v>
      </c>
      <c r="L96" s="136"/>
    </row>
    <row r="97" spans="1:13" s="121" customFormat="1" ht="35.450000000000003" customHeight="1" thickTop="1" thickBot="1" x14ac:dyDescent="0.3">
      <c r="A97" s="439" t="s">
        <v>157</v>
      </c>
      <c r="B97" s="440"/>
      <c r="C97" s="440"/>
      <c r="D97" s="440"/>
      <c r="E97" s="440"/>
      <c r="F97" s="440"/>
      <c r="G97" s="440"/>
      <c r="H97" s="440"/>
      <c r="I97" s="440"/>
      <c r="J97" s="440"/>
      <c r="K97" s="441"/>
    </row>
    <row r="98" spans="1:13" s="121" customFormat="1" ht="21.75" customHeight="1" thickTop="1" thickBot="1" x14ac:dyDescent="0.3">
      <c r="A98" s="423" t="s">
        <v>93</v>
      </c>
      <c r="B98" s="424"/>
      <c r="C98" s="424"/>
      <c r="D98" s="424"/>
      <c r="E98" s="424"/>
      <c r="F98" s="424"/>
      <c r="G98" s="424"/>
      <c r="H98" s="424"/>
      <c r="I98" s="424"/>
      <c r="J98" s="424"/>
      <c r="K98" s="426"/>
    </row>
    <row r="99" spans="1:13" s="121" customFormat="1" ht="21.75" customHeight="1" thickTop="1" thickBot="1" x14ac:dyDescent="0.3">
      <c r="A99" s="95" t="s">
        <v>94</v>
      </c>
      <c r="B99" s="461" t="s">
        <v>95</v>
      </c>
      <c r="C99" s="462"/>
      <c r="D99" s="462"/>
      <c r="E99" s="462"/>
      <c r="F99" s="462"/>
      <c r="G99" s="462"/>
      <c r="H99" s="462"/>
      <c r="I99" s="462"/>
      <c r="J99" s="463"/>
      <c r="K99" s="104">
        <f>K91</f>
        <v>0</v>
      </c>
    </row>
    <row r="100" spans="1:13" s="121" customFormat="1" ht="21.75" customHeight="1" thickTop="1" thickBot="1" x14ac:dyDescent="0.3">
      <c r="A100" s="95" t="s">
        <v>96</v>
      </c>
      <c r="B100" s="461" t="s">
        <v>97</v>
      </c>
      <c r="C100" s="462"/>
      <c r="D100" s="462"/>
      <c r="E100" s="462"/>
      <c r="F100" s="462"/>
      <c r="G100" s="462"/>
      <c r="H100" s="462"/>
      <c r="I100" s="462"/>
      <c r="J100" s="463"/>
      <c r="K100" s="104">
        <f>K96</f>
        <v>0</v>
      </c>
    </row>
    <row r="101" spans="1:13" s="121" customFormat="1" ht="21.75" customHeight="1" thickTop="1" thickBot="1" x14ac:dyDescent="0.3">
      <c r="A101" s="95"/>
      <c r="B101" s="442" t="s">
        <v>47</v>
      </c>
      <c r="C101" s="442"/>
      <c r="D101" s="442"/>
      <c r="E101" s="442"/>
      <c r="F101" s="442"/>
      <c r="G101" s="442"/>
      <c r="H101" s="442"/>
      <c r="I101" s="442"/>
      <c r="J101" s="442"/>
      <c r="K101" s="131">
        <f>K99+K100</f>
        <v>0</v>
      </c>
    </row>
    <row r="102" spans="1:13" s="121" customFormat="1" ht="21.75" customHeight="1" thickTop="1" thickBot="1" x14ac:dyDescent="0.3">
      <c r="A102" s="439"/>
      <c r="B102" s="440"/>
      <c r="C102" s="440"/>
      <c r="D102" s="440"/>
      <c r="E102" s="440"/>
      <c r="F102" s="440"/>
      <c r="G102" s="440"/>
      <c r="H102" s="440"/>
      <c r="I102" s="440"/>
      <c r="J102" s="440"/>
      <c r="K102" s="441"/>
    </row>
    <row r="103" spans="1:13" ht="21.75" customHeight="1" thickTop="1" thickBot="1" x14ac:dyDescent="0.25">
      <c r="A103" s="423" t="s">
        <v>98</v>
      </c>
      <c r="B103" s="424"/>
      <c r="C103" s="424"/>
      <c r="D103" s="424"/>
      <c r="E103" s="424"/>
      <c r="F103" s="424"/>
      <c r="G103" s="424"/>
      <c r="H103" s="424"/>
      <c r="I103" s="424"/>
      <c r="J103" s="426"/>
      <c r="K103" s="95" t="s">
        <v>99</v>
      </c>
    </row>
    <row r="104" spans="1:13" ht="21.75" customHeight="1" thickTop="1" thickBot="1" x14ac:dyDescent="0.25">
      <c r="A104" s="95" t="s">
        <v>23</v>
      </c>
      <c r="B104" s="455" t="s">
        <v>100</v>
      </c>
      <c r="C104" s="455"/>
      <c r="D104" s="455"/>
      <c r="E104" s="455"/>
      <c r="F104" s="455"/>
      <c r="G104" s="455"/>
      <c r="H104" s="455"/>
      <c r="I104" s="455"/>
      <c r="J104" s="455"/>
      <c r="K104" s="147">
        <f>'Insumos Sede'!I101</f>
        <v>0</v>
      </c>
    </row>
    <row r="105" spans="1:13" ht="21.75" customHeight="1" thickTop="1" thickBot="1" x14ac:dyDescent="0.25">
      <c r="A105" s="95" t="s">
        <v>25</v>
      </c>
      <c r="B105" s="455" t="s">
        <v>101</v>
      </c>
      <c r="C105" s="455"/>
      <c r="D105" s="455"/>
      <c r="E105" s="456" t="s">
        <v>102</v>
      </c>
      <c r="F105" s="456"/>
      <c r="G105" s="456"/>
      <c r="H105" s="456"/>
      <c r="I105" s="456"/>
      <c r="J105" s="456"/>
      <c r="K105" s="147">
        <v>0</v>
      </c>
    </row>
    <row r="106" spans="1:13" ht="21.75" customHeight="1" thickTop="1" thickBot="1" x14ac:dyDescent="0.25">
      <c r="A106" s="95" t="s">
        <v>28</v>
      </c>
      <c r="B106" s="455" t="s">
        <v>103</v>
      </c>
      <c r="C106" s="455"/>
      <c r="D106" s="455"/>
      <c r="E106" s="456" t="s">
        <v>102</v>
      </c>
      <c r="F106" s="456"/>
      <c r="G106" s="456"/>
      <c r="H106" s="456"/>
      <c r="I106" s="456"/>
      <c r="J106" s="456"/>
      <c r="K106" s="147">
        <v>0</v>
      </c>
    </row>
    <row r="107" spans="1:13" ht="21.75" customHeight="1" thickTop="1" thickBot="1" x14ac:dyDescent="0.25">
      <c r="A107" s="442" t="s">
        <v>33</v>
      </c>
      <c r="B107" s="457" t="s">
        <v>87</v>
      </c>
      <c r="C107" s="457"/>
      <c r="D107" s="458" t="s">
        <v>104</v>
      </c>
      <c r="E107" s="458"/>
      <c r="F107" s="458"/>
      <c r="G107" s="458"/>
      <c r="H107" s="458"/>
      <c r="I107" s="458"/>
      <c r="J107" s="458"/>
      <c r="K107" s="147">
        <v>0</v>
      </c>
    </row>
    <row r="108" spans="1:13" ht="21.75" customHeight="1" thickTop="1" thickBot="1" x14ac:dyDescent="0.25">
      <c r="A108" s="442"/>
      <c r="B108" s="457"/>
      <c r="C108" s="457"/>
      <c r="D108" s="458" t="s">
        <v>104</v>
      </c>
      <c r="E108" s="458"/>
      <c r="F108" s="458"/>
      <c r="G108" s="458"/>
      <c r="H108" s="458"/>
      <c r="I108" s="458"/>
      <c r="J108" s="458"/>
      <c r="K108" s="147">
        <f>J108*K33</f>
        <v>0</v>
      </c>
    </row>
    <row r="109" spans="1:13" s="121" customFormat="1" ht="21.75" customHeight="1" thickTop="1" thickBot="1" x14ac:dyDescent="0.3">
      <c r="A109" s="423" t="s">
        <v>105</v>
      </c>
      <c r="B109" s="424"/>
      <c r="C109" s="424"/>
      <c r="D109" s="424"/>
      <c r="E109" s="424"/>
      <c r="F109" s="424"/>
      <c r="G109" s="424"/>
      <c r="H109" s="424"/>
      <c r="I109" s="424"/>
      <c r="J109" s="426"/>
      <c r="K109" s="131">
        <f>SUM(K104:K108)</f>
        <v>0</v>
      </c>
    </row>
    <row r="110" spans="1:13" s="121" customFormat="1" ht="21.75" customHeight="1" thickTop="1" thickBot="1" x14ac:dyDescent="0.3">
      <c r="A110" s="439" t="s">
        <v>158</v>
      </c>
      <c r="B110" s="440"/>
      <c r="C110" s="440"/>
      <c r="D110" s="440"/>
      <c r="E110" s="440"/>
      <c r="F110" s="440"/>
      <c r="G110" s="440"/>
      <c r="H110" s="440"/>
      <c r="I110" s="440"/>
      <c r="J110" s="440"/>
      <c r="K110" s="441"/>
    </row>
    <row r="111" spans="1:13" s="121" customFormat="1" ht="21.75" customHeight="1" thickTop="1" thickBot="1" x14ac:dyDescent="0.3">
      <c r="A111" s="423" t="s">
        <v>107</v>
      </c>
      <c r="B111" s="424"/>
      <c r="C111" s="424"/>
      <c r="D111" s="424"/>
      <c r="E111" s="424"/>
      <c r="F111" s="424"/>
      <c r="G111" s="424"/>
      <c r="H111" s="424"/>
      <c r="I111" s="424"/>
      <c r="J111" s="426"/>
      <c r="K111" s="95" t="s">
        <v>22</v>
      </c>
    </row>
    <row r="112" spans="1:13" s="121" customFormat="1" ht="21.75" customHeight="1" thickTop="1" thickBot="1" x14ac:dyDescent="0.3">
      <c r="A112" s="95" t="s">
        <v>23</v>
      </c>
      <c r="B112" s="86" t="s">
        <v>108</v>
      </c>
      <c r="C112" s="86"/>
      <c r="D112" s="86"/>
      <c r="E112" s="86"/>
      <c r="F112" s="86"/>
      <c r="G112" s="86"/>
      <c r="H112" s="86"/>
      <c r="I112" s="86"/>
      <c r="J112" s="340">
        <v>0.03</v>
      </c>
      <c r="K112" s="124">
        <f>J112*K132</f>
        <v>0</v>
      </c>
      <c r="L112" s="137" t="s">
        <v>109</v>
      </c>
      <c r="M112" s="137"/>
    </row>
    <row r="113" spans="1:13" s="121" customFormat="1" ht="21.75" customHeight="1" thickTop="1" thickBot="1" x14ac:dyDescent="0.3">
      <c r="A113" s="95" t="s">
        <v>25</v>
      </c>
      <c r="B113" s="86" t="s">
        <v>110</v>
      </c>
      <c r="C113" s="86"/>
      <c r="D113" s="86"/>
      <c r="E113" s="86"/>
      <c r="F113" s="86"/>
      <c r="G113" s="86"/>
      <c r="H113" s="86"/>
      <c r="I113" s="86"/>
      <c r="J113" s="340">
        <v>6.7900000000000002E-2</v>
      </c>
      <c r="K113" s="124">
        <f>(K132+K112)*J113</f>
        <v>0</v>
      </c>
      <c r="L113" s="148"/>
      <c r="M113" s="137"/>
    </row>
    <row r="114" spans="1:13" s="121" customFormat="1" ht="21.75" customHeight="1" thickTop="1" thickBot="1" x14ac:dyDescent="0.3">
      <c r="A114" s="442" t="s">
        <v>28</v>
      </c>
      <c r="B114" s="86" t="s">
        <v>111</v>
      </c>
      <c r="C114" s="86"/>
      <c r="D114" s="86"/>
      <c r="E114" s="86"/>
      <c r="F114" s="86"/>
      <c r="G114" s="86"/>
      <c r="H114" s="86"/>
      <c r="I114" s="149" t="s">
        <v>112</v>
      </c>
      <c r="J114" s="136"/>
      <c r="K114" s="146"/>
    </row>
    <row r="115" spans="1:13" s="121" customFormat="1" ht="21.75" customHeight="1" thickTop="1" thickBot="1" x14ac:dyDescent="0.3">
      <c r="A115" s="442"/>
      <c r="B115" s="86"/>
      <c r="C115" s="150" t="s">
        <v>113</v>
      </c>
      <c r="D115" s="150"/>
      <c r="E115" s="150"/>
      <c r="F115" s="86" t="s">
        <v>114</v>
      </c>
      <c r="G115" s="151"/>
      <c r="H115" s="151"/>
      <c r="I115" s="443">
        <f>SUM(J115:J117)</f>
        <v>0.14250000000000002</v>
      </c>
      <c r="J115" s="152">
        <v>1.6500000000000001E-2</v>
      </c>
      <c r="K115" s="153">
        <f>((K132+K112+K113)/(1-I115))*J115</f>
        <v>0</v>
      </c>
    </row>
    <row r="116" spans="1:13" s="121" customFormat="1" ht="21.75" customHeight="1" thickTop="1" thickBot="1" x14ac:dyDescent="0.3">
      <c r="A116" s="442"/>
      <c r="B116" s="86"/>
      <c r="C116" s="86"/>
      <c r="D116" s="86"/>
      <c r="E116" s="86"/>
      <c r="F116" s="86" t="s">
        <v>115</v>
      </c>
      <c r="G116" s="151"/>
      <c r="H116" s="151"/>
      <c r="I116" s="444"/>
      <c r="J116" s="152">
        <v>7.5999999999999998E-2</v>
      </c>
      <c r="K116" s="153">
        <f>((K132+K112+K113)/(1-I115))*J116</f>
        <v>0</v>
      </c>
    </row>
    <row r="117" spans="1:13" s="121" customFormat="1" ht="21.75" customHeight="1" thickTop="1" thickBot="1" x14ac:dyDescent="0.3">
      <c r="A117" s="442"/>
      <c r="B117" s="150"/>
      <c r="C117" s="150" t="s">
        <v>116</v>
      </c>
      <c r="D117" s="150"/>
      <c r="E117" s="86"/>
      <c r="F117" s="86" t="s">
        <v>117</v>
      </c>
      <c r="G117" s="151"/>
      <c r="H117" s="151"/>
      <c r="I117" s="445"/>
      <c r="J117" s="152">
        <v>0.05</v>
      </c>
      <c r="K117" s="153">
        <f>((K132+K112+K113)/(1-I115))*J117</f>
        <v>0</v>
      </c>
    </row>
    <row r="118" spans="1:13" s="121" customFormat="1" ht="21.75" customHeight="1" thickTop="1" thickBot="1" x14ac:dyDescent="0.3">
      <c r="A118" s="154" t="s">
        <v>118</v>
      </c>
      <c r="B118" s="130"/>
      <c r="C118" s="130"/>
      <c r="D118" s="130"/>
      <c r="E118" s="130"/>
      <c r="F118" s="130"/>
      <c r="G118" s="130"/>
      <c r="H118" s="130"/>
      <c r="I118" s="130"/>
      <c r="J118" s="130"/>
      <c r="K118" s="131">
        <f>K112+K113+K115+K116+K117</f>
        <v>0</v>
      </c>
    </row>
    <row r="119" spans="1:13" s="121" customFormat="1" ht="37.15" customHeight="1" thickTop="1" thickBot="1" x14ac:dyDescent="0.3">
      <c r="A119" s="446" t="s">
        <v>159</v>
      </c>
      <c r="B119" s="447"/>
      <c r="C119" s="447"/>
      <c r="D119" s="447"/>
      <c r="E119" s="447"/>
      <c r="F119" s="447"/>
      <c r="G119" s="447"/>
      <c r="H119" s="447"/>
      <c r="I119" s="447"/>
      <c r="J119" s="447"/>
      <c r="K119" s="448"/>
    </row>
    <row r="120" spans="1:13" s="121" customFormat="1" ht="21.6" hidden="1" customHeight="1" x14ac:dyDescent="0.25">
      <c r="A120" s="449"/>
      <c r="B120" s="450"/>
      <c r="C120" s="450"/>
      <c r="D120" s="450"/>
      <c r="E120" s="450"/>
      <c r="F120" s="450"/>
      <c r="G120" s="450"/>
      <c r="H120" s="450"/>
      <c r="I120" s="450"/>
      <c r="J120" s="450"/>
      <c r="K120" s="451"/>
    </row>
    <row r="121" spans="1:13" s="121" customFormat="1" ht="21.6" hidden="1" customHeight="1" x14ac:dyDescent="0.25">
      <c r="A121" s="449"/>
      <c r="B121" s="450"/>
      <c r="C121" s="450"/>
      <c r="D121" s="450"/>
      <c r="E121" s="450"/>
      <c r="F121" s="450"/>
      <c r="G121" s="450"/>
      <c r="H121" s="450"/>
      <c r="I121" s="450"/>
      <c r="J121" s="450"/>
      <c r="K121" s="451"/>
    </row>
    <row r="122" spans="1:13" s="121" customFormat="1" ht="21.6" hidden="1" customHeight="1" x14ac:dyDescent="0.25">
      <c r="A122" s="449"/>
      <c r="B122" s="450"/>
      <c r="C122" s="450"/>
      <c r="D122" s="450"/>
      <c r="E122" s="450"/>
      <c r="F122" s="450"/>
      <c r="G122" s="450"/>
      <c r="H122" s="450"/>
      <c r="I122" s="450"/>
      <c r="J122" s="450"/>
      <c r="K122" s="451"/>
    </row>
    <row r="123" spans="1:13" s="121" customFormat="1" ht="21.6" hidden="1" customHeight="1" x14ac:dyDescent="0.25">
      <c r="A123" s="449"/>
      <c r="B123" s="450"/>
      <c r="C123" s="450"/>
      <c r="D123" s="450"/>
      <c r="E123" s="450"/>
      <c r="F123" s="450"/>
      <c r="G123" s="450"/>
      <c r="H123" s="450"/>
      <c r="I123" s="450"/>
      <c r="J123" s="450"/>
      <c r="K123" s="451"/>
    </row>
    <row r="124" spans="1:13" ht="21.6" hidden="1" customHeight="1" x14ac:dyDescent="0.2">
      <c r="A124" s="452"/>
      <c r="B124" s="453"/>
      <c r="C124" s="453"/>
      <c r="D124" s="453"/>
      <c r="E124" s="453"/>
      <c r="F124" s="453"/>
      <c r="G124" s="453"/>
      <c r="H124" s="453"/>
      <c r="I124" s="453"/>
      <c r="J124" s="453"/>
      <c r="K124" s="454"/>
    </row>
    <row r="125" spans="1:13" ht="21.75" customHeight="1" thickTop="1" thickBot="1" x14ac:dyDescent="0.25">
      <c r="A125" s="423" t="s">
        <v>120</v>
      </c>
      <c r="B125" s="424"/>
      <c r="C125" s="424"/>
      <c r="D125" s="424"/>
      <c r="E125" s="424"/>
      <c r="F125" s="424"/>
      <c r="G125" s="424"/>
      <c r="H125" s="424"/>
      <c r="I125" s="424"/>
      <c r="J125" s="424"/>
      <c r="K125" s="426"/>
    </row>
    <row r="126" spans="1:13" ht="21.75" customHeight="1" thickTop="1" thickBot="1" x14ac:dyDescent="0.25">
      <c r="A126" s="435" t="s">
        <v>121</v>
      </c>
      <c r="B126" s="436"/>
      <c r="C126" s="436"/>
      <c r="D126" s="436"/>
      <c r="E126" s="436"/>
      <c r="F126" s="436"/>
      <c r="G126" s="436"/>
      <c r="H126" s="436"/>
      <c r="I126" s="436"/>
      <c r="J126" s="437"/>
      <c r="K126" s="95" t="s">
        <v>99</v>
      </c>
    </row>
    <row r="127" spans="1:13" ht="21.75" customHeight="1" thickTop="1" thickBot="1" x14ac:dyDescent="0.25">
      <c r="A127" s="95" t="s">
        <v>23</v>
      </c>
      <c r="B127" s="427" t="s">
        <v>122</v>
      </c>
      <c r="C127" s="428"/>
      <c r="D127" s="428"/>
      <c r="E127" s="428"/>
      <c r="F127" s="428"/>
      <c r="G127" s="428"/>
      <c r="H127" s="428"/>
      <c r="I127" s="428"/>
      <c r="J127" s="429"/>
      <c r="K127" s="104">
        <f>K33</f>
        <v>0</v>
      </c>
    </row>
    <row r="128" spans="1:13" ht="21.75" customHeight="1" thickTop="1" thickBot="1" x14ac:dyDescent="0.25">
      <c r="A128" s="95" t="s">
        <v>25</v>
      </c>
      <c r="B128" s="438" t="s">
        <v>123</v>
      </c>
      <c r="C128" s="438"/>
      <c r="D128" s="438"/>
      <c r="E128" s="438"/>
      <c r="F128" s="438"/>
      <c r="G128" s="438"/>
      <c r="H128" s="438"/>
      <c r="I128" s="438"/>
      <c r="J128" s="438"/>
      <c r="K128" s="104">
        <f>K69</f>
        <v>0</v>
      </c>
    </row>
    <row r="129" spans="1:13" ht="21.75" customHeight="1" thickTop="1" thickBot="1" x14ac:dyDescent="0.25">
      <c r="A129" s="95" t="s">
        <v>28</v>
      </c>
      <c r="B129" s="427" t="s">
        <v>145</v>
      </c>
      <c r="C129" s="428"/>
      <c r="D129" s="428"/>
      <c r="E129" s="428"/>
      <c r="F129" s="428"/>
      <c r="G129" s="428"/>
      <c r="H129" s="428"/>
      <c r="I129" s="428"/>
      <c r="J129" s="429"/>
      <c r="K129" s="104">
        <f>K78</f>
        <v>0</v>
      </c>
    </row>
    <row r="130" spans="1:13" ht="21.75" customHeight="1" thickTop="1" thickBot="1" x14ac:dyDescent="0.25">
      <c r="A130" s="95" t="s">
        <v>33</v>
      </c>
      <c r="B130" s="427" t="s">
        <v>146</v>
      </c>
      <c r="C130" s="428"/>
      <c r="D130" s="428"/>
      <c r="E130" s="428"/>
      <c r="F130" s="428"/>
      <c r="G130" s="428"/>
      <c r="H130" s="428"/>
      <c r="I130" s="428"/>
      <c r="J130" s="429"/>
      <c r="K130" s="104">
        <f>K101</f>
        <v>0</v>
      </c>
    </row>
    <row r="131" spans="1:13" ht="21.75" customHeight="1" thickTop="1" thickBot="1" x14ac:dyDescent="0.25">
      <c r="A131" s="95" t="s">
        <v>35</v>
      </c>
      <c r="B131" s="427" t="s">
        <v>126</v>
      </c>
      <c r="C131" s="428"/>
      <c r="D131" s="428"/>
      <c r="E131" s="428"/>
      <c r="F131" s="428"/>
      <c r="G131" s="428"/>
      <c r="H131" s="428"/>
      <c r="I131" s="428"/>
      <c r="J131" s="429"/>
      <c r="K131" s="104">
        <f>K109</f>
        <v>0</v>
      </c>
    </row>
    <row r="132" spans="1:13" ht="21.75" customHeight="1" thickTop="1" thickBot="1" x14ac:dyDescent="0.25">
      <c r="A132" s="423" t="s">
        <v>127</v>
      </c>
      <c r="B132" s="424"/>
      <c r="C132" s="424"/>
      <c r="D132" s="424"/>
      <c r="E132" s="424"/>
      <c r="F132" s="424"/>
      <c r="G132" s="424"/>
      <c r="H132" s="424"/>
      <c r="I132" s="424"/>
      <c r="J132" s="426"/>
      <c r="K132" s="131">
        <f>SUM(K127:K131)</f>
        <v>0</v>
      </c>
      <c r="L132" s="156"/>
    </row>
    <row r="133" spans="1:13" s="121" customFormat="1" ht="21.75" customHeight="1" thickTop="1" thickBot="1" x14ac:dyDescent="0.3">
      <c r="A133" s="95" t="s">
        <v>37</v>
      </c>
      <c r="B133" s="427" t="s">
        <v>128</v>
      </c>
      <c r="C133" s="428"/>
      <c r="D133" s="428"/>
      <c r="E133" s="428"/>
      <c r="F133" s="428"/>
      <c r="G133" s="428"/>
      <c r="H133" s="428"/>
      <c r="I133" s="428"/>
      <c r="J133" s="429"/>
      <c r="K133" s="104">
        <f>K118</f>
        <v>0</v>
      </c>
    </row>
    <row r="134" spans="1:13" ht="34.15" customHeight="1" thickTop="1" thickBot="1" x14ac:dyDescent="0.25">
      <c r="A134" s="430" t="s">
        <v>129</v>
      </c>
      <c r="B134" s="431"/>
      <c r="C134" s="431"/>
      <c r="D134" s="431"/>
      <c r="E134" s="431"/>
      <c r="F134" s="431"/>
      <c r="G134" s="431"/>
      <c r="H134" s="431"/>
      <c r="I134" s="431"/>
      <c r="J134" s="432"/>
      <c r="K134" s="157">
        <f>SUM(K132+K133)</f>
        <v>0</v>
      </c>
    </row>
    <row r="135" spans="1:13" ht="21.75" customHeight="1" thickTop="1" thickBot="1" x14ac:dyDescent="0.25">
      <c r="A135" s="81"/>
      <c r="B135" s="82"/>
      <c r="C135" s="82"/>
      <c r="D135" s="82"/>
      <c r="E135" s="82"/>
      <c r="F135" s="82"/>
      <c r="G135" s="82"/>
      <c r="H135" s="82"/>
      <c r="I135" s="82"/>
      <c r="J135" s="82"/>
      <c r="K135" s="79"/>
    </row>
    <row r="136" spans="1:13" ht="21.75" customHeight="1" thickTop="1" thickBot="1" x14ac:dyDescent="0.25">
      <c r="A136" s="423" t="s">
        <v>130</v>
      </c>
      <c r="B136" s="424"/>
      <c r="C136" s="424"/>
      <c r="D136" s="424"/>
      <c r="E136" s="424"/>
      <c r="F136" s="424"/>
      <c r="G136" s="424"/>
      <c r="H136" s="424"/>
      <c r="I136" s="424"/>
      <c r="J136" s="424"/>
      <c r="K136" s="426"/>
    </row>
    <row r="137" spans="1:13" ht="45" customHeight="1" thickTop="1" thickBot="1" x14ac:dyDescent="0.25">
      <c r="A137" s="430" t="s">
        <v>131</v>
      </c>
      <c r="B137" s="431"/>
      <c r="C137" s="433"/>
      <c r="D137" s="434" t="s">
        <v>329</v>
      </c>
      <c r="E137" s="434"/>
      <c r="F137" s="434" t="s">
        <v>133</v>
      </c>
      <c r="G137" s="434"/>
      <c r="H137" s="434" t="s">
        <v>134</v>
      </c>
      <c r="I137" s="434"/>
      <c r="J137" s="158" t="s">
        <v>135</v>
      </c>
      <c r="K137" s="159" t="s">
        <v>136</v>
      </c>
    </row>
    <row r="138" spans="1:13" ht="21.75" customHeight="1" thickTop="1" thickBot="1" x14ac:dyDescent="0.25">
      <c r="A138" s="418" t="s">
        <v>376</v>
      </c>
      <c r="B138" s="419"/>
      <c r="C138" s="420"/>
      <c r="D138" s="421">
        <f>K134</f>
        <v>0</v>
      </c>
      <c r="E138" s="421"/>
      <c r="F138" s="422">
        <v>1</v>
      </c>
      <c r="G138" s="422"/>
      <c r="H138" s="421">
        <f>F138*D138</f>
        <v>0</v>
      </c>
      <c r="I138" s="421"/>
      <c r="J138" s="160">
        <f>K11</f>
        <v>10</v>
      </c>
      <c r="K138" s="161">
        <f>ROUND(J138*H138,2)</f>
        <v>0</v>
      </c>
    </row>
    <row r="139" spans="1:13" ht="36.75" customHeight="1" thickTop="1" thickBot="1" x14ac:dyDescent="0.25">
      <c r="A139" s="423" t="s">
        <v>137</v>
      </c>
      <c r="B139" s="424"/>
      <c r="C139" s="424"/>
      <c r="D139" s="424"/>
      <c r="E139" s="424"/>
      <c r="F139" s="424"/>
      <c r="G139" s="424"/>
      <c r="H139" s="424"/>
      <c r="I139" s="424"/>
      <c r="J139" s="425"/>
      <c r="K139" s="162">
        <f>K138</f>
        <v>0</v>
      </c>
    </row>
    <row r="140" spans="1:13" ht="36.75" customHeight="1" thickTop="1" thickBot="1" x14ac:dyDescent="0.25">
      <c r="A140" s="423" t="s">
        <v>138</v>
      </c>
      <c r="B140" s="424"/>
      <c r="C140" s="424"/>
      <c r="D140" s="424"/>
      <c r="E140" s="424"/>
      <c r="F140" s="424"/>
      <c r="G140" s="424"/>
      <c r="H140" s="424"/>
      <c r="I140" s="424"/>
      <c r="J140" s="426"/>
      <c r="K140" s="330">
        <f>K139*12</f>
        <v>0</v>
      </c>
    </row>
    <row r="141" spans="1:13" ht="16.5" thickTop="1" x14ac:dyDescent="0.2">
      <c r="K141" s="329" t="s">
        <v>139</v>
      </c>
      <c r="L141" s="163" t="e">
        <f>K134/K33</f>
        <v>#DIV/0!</v>
      </c>
      <c r="M141" s="111"/>
    </row>
    <row r="1048526" ht="12.75" customHeight="1" x14ac:dyDescent="0.2"/>
    <row r="1048527" ht="12.75" customHeight="1" x14ac:dyDescent="0.2"/>
    <row r="1048528" ht="12.75" customHeight="1" x14ac:dyDescent="0.2"/>
    <row r="1048529" ht="12.75" customHeight="1" x14ac:dyDescent="0.2"/>
    <row r="1048530" ht="12.75" customHeight="1" x14ac:dyDescent="0.2"/>
    <row r="1048531" ht="12.75" customHeight="1" x14ac:dyDescent="0.2"/>
    <row r="1048532" ht="12.75" customHeight="1" x14ac:dyDescent="0.2"/>
    <row r="1048533" ht="12.75" customHeight="1" x14ac:dyDescent="0.2"/>
    <row r="1048534" ht="12.75" customHeight="1" x14ac:dyDescent="0.2"/>
    <row r="1048535" ht="12.75" customHeight="1" x14ac:dyDescent="0.2"/>
    <row r="1048536" ht="12.75" customHeight="1" x14ac:dyDescent="0.2"/>
    <row r="1048537" ht="12.75" customHeight="1" x14ac:dyDescent="0.2"/>
    <row r="1048538" ht="12.75" customHeight="1" x14ac:dyDescent="0.2"/>
    <row r="1048539" ht="12.75" customHeight="1" x14ac:dyDescent="0.2"/>
    <row r="1048540" ht="12.75" customHeight="1" x14ac:dyDescent="0.2"/>
    <row r="1048541" ht="12.75" customHeight="1" x14ac:dyDescent="0.2"/>
    <row r="1048542" ht="12.75" customHeight="1" x14ac:dyDescent="0.2"/>
    <row r="1048543" ht="12.75" customHeight="1" x14ac:dyDescent="0.2"/>
    <row r="1048544" ht="12.75" customHeight="1" x14ac:dyDescent="0.2"/>
    <row r="1048545" ht="12.75" customHeight="1" x14ac:dyDescent="0.2"/>
    <row r="1048546" ht="12.75" customHeight="1" x14ac:dyDescent="0.2"/>
    <row r="1048547" ht="12.75" customHeight="1" x14ac:dyDescent="0.2"/>
    <row r="1048548" ht="12.75" customHeight="1" x14ac:dyDescent="0.2"/>
    <row r="1048549" ht="12.75" customHeight="1" x14ac:dyDescent="0.2"/>
    <row r="1048550" ht="12.75" customHeight="1" x14ac:dyDescent="0.2"/>
    <row r="1048551" ht="12.75" customHeight="1" x14ac:dyDescent="0.2"/>
    <row r="1048552" ht="12.75" customHeight="1" x14ac:dyDescent="0.2"/>
    <row r="1048553" ht="12.75" customHeight="1" x14ac:dyDescent="0.2"/>
    <row r="1048554" ht="12.75" customHeight="1" x14ac:dyDescent="0.2"/>
    <row r="1048555" ht="12.75" customHeight="1" x14ac:dyDescent="0.2"/>
    <row r="1048556" ht="12.75" customHeight="1" x14ac:dyDescent="0.2"/>
  </sheetData>
  <mergeCells count="137">
    <mergeCell ref="A138:C138"/>
    <mergeCell ref="D138:E138"/>
    <mergeCell ref="F138:G138"/>
    <mergeCell ref="H138:I138"/>
    <mergeCell ref="A139:J139"/>
    <mergeCell ref="A140:J140"/>
    <mergeCell ref="B133:J133"/>
    <mergeCell ref="A134:J134"/>
    <mergeCell ref="A136:K136"/>
    <mergeCell ref="A137:C137"/>
    <mergeCell ref="D137:E137"/>
    <mergeCell ref="F137:G137"/>
    <mergeCell ref="H137:I137"/>
    <mergeCell ref="B127:J127"/>
    <mergeCell ref="B128:J128"/>
    <mergeCell ref="B129:J129"/>
    <mergeCell ref="B130:J130"/>
    <mergeCell ref="B131:J131"/>
    <mergeCell ref="A132:J132"/>
    <mergeCell ref="A111:J111"/>
    <mergeCell ref="A114:A117"/>
    <mergeCell ref="I115:I117"/>
    <mergeCell ref="A119:K124"/>
    <mergeCell ref="A125:K125"/>
    <mergeCell ref="A126:J126"/>
    <mergeCell ref="A107:A108"/>
    <mergeCell ref="B107:C108"/>
    <mergeCell ref="D107:J107"/>
    <mergeCell ref="D108:J108"/>
    <mergeCell ref="A109:J109"/>
    <mergeCell ref="A110:K110"/>
    <mergeCell ref="A103:J103"/>
    <mergeCell ref="B104:J104"/>
    <mergeCell ref="B105:D105"/>
    <mergeCell ref="E105:J105"/>
    <mergeCell ref="B106:D106"/>
    <mergeCell ref="E106:J106"/>
    <mergeCell ref="A97:K97"/>
    <mergeCell ref="A98:K98"/>
    <mergeCell ref="B99:J99"/>
    <mergeCell ref="B100:J100"/>
    <mergeCell ref="B101:J101"/>
    <mergeCell ref="A102:K102"/>
    <mergeCell ref="B90:I90"/>
    <mergeCell ref="A91:I91"/>
    <mergeCell ref="A92:K93"/>
    <mergeCell ref="A94:K94"/>
    <mergeCell ref="B95:I95"/>
    <mergeCell ref="B96:I96"/>
    <mergeCell ref="B84:I84"/>
    <mergeCell ref="B85:I85"/>
    <mergeCell ref="B86:I86"/>
    <mergeCell ref="B87:I87"/>
    <mergeCell ref="B88:I88"/>
    <mergeCell ref="B89:I89"/>
    <mergeCell ref="B77:I77"/>
    <mergeCell ref="L77:M77"/>
    <mergeCell ref="A78:I78"/>
    <mergeCell ref="A79:K81"/>
    <mergeCell ref="A82:K82"/>
    <mergeCell ref="A83:K83"/>
    <mergeCell ref="B74:I74"/>
    <mergeCell ref="L74:M74"/>
    <mergeCell ref="B75:I75"/>
    <mergeCell ref="L75:M75"/>
    <mergeCell ref="B76:I76"/>
    <mergeCell ref="L76:M76"/>
    <mergeCell ref="B69:J69"/>
    <mergeCell ref="A70:K70"/>
    <mergeCell ref="A71:K71"/>
    <mergeCell ref="B72:I72"/>
    <mergeCell ref="L72:M72"/>
    <mergeCell ref="B73:I73"/>
    <mergeCell ref="L73:M73"/>
    <mergeCell ref="B62:J62"/>
    <mergeCell ref="A63:K64"/>
    <mergeCell ref="A65:K65"/>
    <mergeCell ref="B66:I66"/>
    <mergeCell ref="B67:I67"/>
    <mergeCell ref="B68:J68"/>
    <mergeCell ref="L58:O58"/>
    <mergeCell ref="B59:J59"/>
    <mergeCell ref="L59:O59"/>
    <mergeCell ref="B60:J60"/>
    <mergeCell ref="L60:O60"/>
    <mergeCell ref="B61:J61"/>
    <mergeCell ref="L61:O61"/>
    <mergeCell ref="B51:I51"/>
    <mergeCell ref="B52:I52"/>
    <mergeCell ref="A53:K55"/>
    <mergeCell ref="A56:K56"/>
    <mergeCell ref="B57:J57"/>
    <mergeCell ref="B58:J58"/>
    <mergeCell ref="B45:I45"/>
    <mergeCell ref="B46:E46"/>
    <mergeCell ref="H46:I46"/>
    <mergeCell ref="B47:I47"/>
    <mergeCell ref="B48:I48"/>
    <mergeCell ref="B50:I50"/>
    <mergeCell ref="B38:I38"/>
    <mergeCell ref="B39:I39"/>
    <mergeCell ref="B40:I40"/>
    <mergeCell ref="A41:K42"/>
    <mergeCell ref="A43:K43"/>
    <mergeCell ref="B44:I44"/>
    <mergeCell ref="B31:J31"/>
    <mergeCell ref="A32:K32"/>
    <mergeCell ref="A33:J33"/>
    <mergeCell ref="A34:K35"/>
    <mergeCell ref="A36:K36"/>
    <mergeCell ref="A37:K37"/>
    <mergeCell ref="A26:A27"/>
    <mergeCell ref="B26:D27"/>
    <mergeCell ref="K26:K27"/>
    <mergeCell ref="B28:J28"/>
    <mergeCell ref="B29:J29"/>
    <mergeCell ref="B30:J30"/>
    <mergeCell ref="A12:K14"/>
    <mergeCell ref="A15:K15"/>
    <mergeCell ref="B19:J19"/>
    <mergeCell ref="A20:K22"/>
    <mergeCell ref="A23:J23"/>
    <mergeCell ref="H25:J25"/>
    <mergeCell ref="A5:C5"/>
    <mergeCell ref="D5:I5"/>
    <mergeCell ref="B7:E7"/>
    <mergeCell ref="F7:K7"/>
    <mergeCell ref="B9:H9"/>
    <mergeCell ref="I9:K9"/>
    <mergeCell ref="A1:I1"/>
    <mergeCell ref="A2:C2"/>
    <mergeCell ref="D2:I2"/>
    <mergeCell ref="A3:C3"/>
    <mergeCell ref="D3:I3"/>
    <mergeCell ref="A4:C4"/>
    <mergeCell ref="D4:F4"/>
    <mergeCell ref="H4:I4"/>
  </mergeCells>
  <pageMargins left="0.511811024" right="0.511811024" top="0.78740157499999996" bottom="0.78740157499999996" header="0.31496062000000002" footer="0.31496062000000002"/>
  <pageSetup paperSize="9" scale="41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A431A-2979-4399-870E-3D624B8C0F3C}">
  <sheetPr>
    <pageSetUpPr fitToPage="1"/>
  </sheetPr>
  <dimension ref="A1:HT144"/>
  <sheetViews>
    <sheetView topLeftCell="A43" workbookViewId="0">
      <selection activeCell="H49" sqref="H49"/>
    </sheetView>
  </sheetViews>
  <sheetFormatPr defaultRowHeight="15" x14ac:dyDescent="0.25"/>
  <cols>
    <col min="1" max="1" width="34.42578125" style="164" customWidth="1"/>
    <col min="2" max="2" width="9.140625" style="164"/>
    <col min="3" max="3" width="11.42578125" style="164" customWidth="1"/>
    <col min="4" max="5" width="9.140625" style="164"/>
    <col min="6" max="6" width="14" style="164" customWidth="1"/>
    <col min="7" max="7" width="18.28515625" style="164" bestFit="1" customWidth="1"/>
    <col min="8" max="8" width="12.28515625" style="164" customWidth="1"/>
    <col min="9" max="9" width="10.7109375" style="164" bestFit="1" customWidth="1"/>
    <col min="10" max="10" width="15.7109375" style="164" customWidth="1"/>
    <col min="11" max="228" width="9.140625" style="164"/>
  </cols>
  <sheetData>
    <row r="1" spans="1:228" ht="36" customHeight="1" x14ac:dyDescent="0.25"/>
    <row r="2" spans="1:228" ht="36" customHeight="1" x14ac:dyDescent="0.25">
      <c r="A2" s="707" t="s">
        <v>342</v>
      </c>
      <c r="B2" s="707"/>
      <c r="C2" s="707"/>
      <c r="D2" s="707"/>
      <c r="E2" s="707"/>
      <c r="F2" s="707"/>
      <c r="G2" s="707"/>
      <c r="H2" s="707"/>
      <c r="I2" s="707"/>
      <c r="J2"/>
    </row>
    <row r="3" spans="1:228" ht="23.25" customHeight="1" x14ac:dyDescent="0.25">
      <c r="A3" s="695" t="s">
        <v>160</v>
      </c>
      <c r="B3" s="696"/>
      <c r="C3" s="696"/>
      <c r="D3" s="696"/>
      <c r="E3" s="696"/>
      <c r="F3" s="696"/>
      <c r="G3" s="696"/>
      <c r="H3" s="697"/>
      <c r="I3" s="165"/>
      <c r="J3"/>
    </row>
    <row r="4" spans="1:228" ht="21" customHeight="1" x14ac:dyDescent="0.25">
      <c r="A4" s="708" t="s">
        <v>161</v>
      </c>
      <c r="B4" s="709"/>
      <c r="C4" s="709"/>
      <c r="D4" s="709"/>
      <c r="E4" s="709"/>
      <c r="F4" s="709"/>
      <c r="G4" s="709"/>
      <c r="H4" s="710"/>
      <c r="I4" s="165"/>
      <c r="J4"/>
    </row>
    <row r="5" spans="1:228" ht="21" customHeight="1" x14ac:dyDescent="0.25">
      <c r="A5" s="166" t="s">
        <v>31</v>
      </c>
      <c r="B5" s="711">
        <f>[1]Copeira!K24</f>
        <v>987</v>
      </c>
      <c r="C5" s="711"/>
      <c r="D5" s="711"/>
      <c r="E5" s="167">
        <v>0.1</v>
      </c>
      <c r="F5" s="168">
        <v>0.2</v>
      </c>
      <c r="G5" s="169">
        <v>0.4</v>
      </c>
      <c r="H5" s="170">
        <f>B5*G5</f>
        <v>394.8</v>
      </c>
      <c r="I5" s="171"/>
      <c r="J5"/>
      <c r="O5"/>
    </row>
    <row r="6" spans="1:228" ht="21" customHeight="1" x14ac:dyDescent="0.25">
      <c r="A6" s="712"/>
      <c r="B6" s="712"/>
      <c r="C6" s="712"/>
      <c r="D6" s="712"/>
      <c r="E6" s="712"/>
      <c r="F6" s="712"/>
      <c r="G6" s="712"/>
      <c r="H6" s="712"/>
      <c r="I6" s="171"/>
      <c r="J6"/>
    </row>
    <row r="7" spans="1:228" ht="21" customHeight="1" thickBot="1" x14ac:dyDescent="0.3">
      <c r="A7"/>
      <c r="B7"/>
      <c r="C7"/>
      <c r="D7"/>
      <c r="E7"/>
      <c r="F7"/>
      <c r="G7"/>
      <c r="H7"/>
      <c r="I7" s="171"/>
      <c r="J7"/>
    </row>
    <row r="8" spans="1:228" ht="21" customHeight="1" thickTop="1" thickBot="1" x14ac:dyDescent="0.3">
      <c r="A8" s="172" t="s">
        <v>56</v>
      </c>
      <c r="B8" s="173">
        <v>0.01</v>
      </c>
      <c r="C8" s="173">
        <v>0.02</v>
      </c>
      <c r="D8" s="173">
        <v>0.03</v>
      </c>
      <c r="E8" s="174" t="s">
        <v>57</v>
      </c>
      <c r="F8" s="175">
        <v>2</v>
      </c>
      <c r="G8" s="705">
        <f>D8*F8*100</f>
        <v>6</v>
      </c>
      <c r="H8" s="706"/>
      <c r="I8" s="171"/>
      <c r="J8"/>
    </row>
    <row r="9" spans="1:228" ht="21" customHeight="1" thickTop="1" x14ac:dyDescent="0.25">
      <c r="A9" s="82"/>
      <c r="B9" s="176"/>
      <c r="C9" s="176"/>
      <c r="D9" s="176"/>
      <c r="E9" s="177"/>
      <c r="F9" s="178"/>
      <c r="G9" s="179"/>
      <c r="H9" s="179"/>
      <c r="I9" s="171"/>
      <c r="J9"/>
    </row>
    <row r="10" spans="1:228" ht="21" customHeight="1" x14ac:dyDescent="0.25">
      <c r="A10" s="695" t="s">
        <v>162</v>
      </c>
      <c r="B10" s="696"/>
      <c r="C10" s="696"/>
      <c r="D10" s="696"/>
      <c r="E10" s="696"/>
      <c r="F10" s="696"/>
      <c r="G10" s="696"/>
      <c r="H10" s="697"/>
      <c r="I10" s="171"/>
      <c r="J10"/>
    </row>
    <row r="11" spans="1:228" ht="16.5" customHeight="1" x14ac:dyDescent="0.25">
      <c r="A11" s="180" t="s">
        <v>163</v>
      </c>
      <c r="B11" s="701" t="s">
        <v>343</v>
      </c>
      <c r="C11" s="702"/>
      <c r="D11" s="702"/>
      <c r="E11" s="702"/>
      <c r="F11" s="702"/>
      <c r="G11" s="702"/>
      <c r="H11" s="703"/>
      <c r="I11" s="171"/>
      <c r="J11"/>
    </row>
    <row r="12" spans="1:228" ht="16.5" customHeight="1" x14ac:dyDescent="0.25">
      <c r="A12" s="181" t="s">
        <v>344</v>
      </c>
      <c r="B12" s="702" t="s">
        <v>400</v>
      </c>
      <c r="C12" s="702"/>
      <c r="D12" s="702"/>
      <c r="E12" s="702"/>
      <c r="F12" s="702"/>
      <c r="G12" s="702"/>
      <c r="H12" s="703"/>
      <c r="I12" s="171"/>
      <c r="J12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  <c r="BI12" s="205"/>
      <c r="BJ12" s="205"/>
      <c r="BK12" s="205"/>
      <c r="BL12" s="205"/>
      <c r="BM12" s="205"/>
      <c r="BN12" s="205"/>
      <c r="BO12" s="205"/>
      <c r="BP12" s="205"/>
      <c r="BQ12" s="205"/>
      <c r="BR12" s="205"/>
      <c r="BS12" s="205"/>
      <c r="BT12" s="205"/>
      <c r="BU12" s="205"/>
      <c r="BV12" s="205"/>
      <c r="BW12" s="205"/>
      <c r="BX12" s="205"/>
      <c r="BY12" s="205"/>
      <c r="BZ12" s="205"/>
      <c r="CA12" s="205"/>
      <c r="CB12" s="205"/>
      <c r="CC12" s="205"/>
      <c r="CD12" s="205"/>
      <c r="CE12" s="205"/>
      <c r="CF12" s="205"/>
      <c r="CG12" s="205"/>
      <c r="CH12" s="205"/>
      <c r="CI12" s="205"/>
      <c r="CJ12" s="205"/>
      <c r="CK12" s="205"/>
      <c r="CL12" s="205"/>
      <c r="CM12" s="205"/>
      <c r="CN12" s="205"/>
      <c r="CO12" s="205"/>
      <c r="CP12" s="205"/>
      <c r="CQ12" s="205"/>
      <c r="CR12" s="205"/>
      <c r="CS12" s="205"/>
      <c r="CT12" s="205"/>
      <c r="CU12" s="205"/>
      <c r="CV12" s="205"/>
      <c r="CW12" s="205"/>
      <c r="CX12" s="205"/>
      <c r="CY12" s="205"/>
      <c r="CZ12" s="205"/>
      <c r="DA12" s="205"/>
      <c r="DB12" s="205"/>
      <c r="DC12" s="205"/>
      <c r="DD12" s="205"/>
      <c r="DE12" s="205"/>
      <c r="DF12" s="205"/>
      <c r="DG12" s="205"/>
      <c r="DH12" s="205"/>
      <c r="DI12" s="205"/>
      <c r="DJ12" s="205"/>
      <c r="DK12" s="205"/>
      <c r="DL12" s="205"/>
      <c r="DM12" s="205"/>
      <c r="DN12" s="205"/>
      <c r="DO12" s="205"/>
      <c r="DP12" s="205"/>
      <c r="DQ12" s="205"/>
      <c r="DR12" s="205"/>
      <c r="DS12" s="205"/>
      <c r="DT12" s="205"/>
      <c r="DU12" s="205"/>
      <c r="DV12" s="205"/>
      <c r="DW12" s="205"/>
      <c r="DX12" s="205"/>
      <c r="DY12" s="205"/>
      <c r="DZ12" s="205"/>
      <c r="EA12" s="205"/>
      <c r="EB12" s="205"/>
      <c r="EC12" s="205"/>
      <c r="ED12" s="205"/>
      <c r="EE12" s="205"/>
      <c r="EF12" s="205"/>
      <c r="EG12" s="205"/>
      <c r="EH12" s="205"/>
      <c r="EI12" s="205"/>
      <c r="EJ12" s="205"/>
      <c r="EK12" s="205"/>
      <c r="EL12" s="205"/>
      <c r="EM12" s="205"/>
      <c r="EN12" s="205"/>
      <c r="EO12" s="205"/>
      <c r="EP12" s="205"/>
      <c r="EQ12" s="205"/>
      <c r="ER12" s="205"/>
      <c r="ES12" s="205"/>
      <c r="ET12" s="205"/>
      <c r="EU12" s="205"/>
      <c r="EV12" s="205"/>
      <c r="EW12" s="205"/>
      <c r="EX12" s="205"/>
      <c r="EY12" s="205"/>
      <c r="EZ12" s="205"/>
      <c r="FA12" s="205"/>
      <c r="FB12" s="205"/>
      <c r="FC12" s="205"/>
      <c r="FD12" s="205"/>
      <c r="FE12" s="205"/>
      <c r="FF12" s="205"/>
      <c r="FG12" s="205"/>
      <c r="FH12" s="205"/>
      <c r="FI12" s="205"/>
      <c r="FJ12" s="205"/>
      <c r="FK12" s="205"/>
      <c r="FL12" s="205"/>
      <c r="FM12" s="205"/>
      <c r="FN12" s="205"/>
      <c r="FO12" s="205"/>
      <c r="FP12" s="205"/>
      <c r="FQ12" s="205"/>
      <c r="FR12" s="205"/>
      <c r="FS12" s="205"/>
      <c r="FT12" s="205"/>
      <c r="FU12" s="205"/>
      <c r="FV12" s="205"/>
      <c r="FW12" s="205"/>
      <c r="FX12" s="205"/>
      <c r="FY12" s="205"/>
      <c r="FZ12" s="205"/>
      <c r="GA12" s="205"/>
      <c r="GB12" s="205"/>
      <c r="GC12" s="205"/>
      <c r="GD12" s="205"/>
      <c r="GE12" s="205"/>
      <c r="GF12" s="205"/>
      <c r="GG12" s="205"/>
      <c r="GH12" s="205"/>
      <c r="GI12" s="205"/>
      <c r="GJ12" s="205"/>
      <c r="GK12" s="205"/>
      <c r="GL12" s="205"/>
      <c r="GM12" s="205"/>
      <c r="GN12" s="205"/>
      <c r="GO12" s="205"/>
      <c r="GP12" s="205"/>
      <c r="GQ12" s="205"/>
      <c r="GR12" s="205"/>
      <c r="GS12" s="205"/>
      <c r="GT12" s="205"/>
      <c r="GU12" s="205"/>
      <c r="GV12" s="205"/>
      <c r="GW12" s="205"/>
      <c r="GX12" s="205"/>
      <c r="GY12" s="205"/>
      <c r="GZ12" s="205"/>
      <c r="HA12" s="205"/>
      <c r="HB12" s="205"/>
      <c r="HC12" s="205"/>
      <c r="HD12" s="205"/>
      <c r="HE12" s="205"/>
      <c r="HF12" s="205"/>
      <c r="HG12" s="205"/>
      <c r="HH12" s="205"/>
      <c r="HI12" s="205"/>
      <c r="HJ12" s="205"/>
      <c r="HK12" s="205"/>
      <c r="HL12" s="205"/>
      <c r="HM12" s="205"/>
      <c r="HN12" s="205"/>
      <c r="HO12" s="205"/>
      <c r="HP12" s="205"/>
      <c r="HQ12" s="205"/>
      <c r="HR12" s="205"/>
      <c r="HS12" s="205"/>
      <c r="HT12" s="205"/>
    </row>
    <row r="13" spans="1:228" ht="16.5" customHeight="1" x14ac:dyDescent="0.25">
      <c r="A13" s="181"/>
      <c r="B13" s="182" t="s">
        <v>339</v>
      </c>
      <c r="C13" s="182" t="s">
        <v>371</v>
      </c>
      <c r="D13" s="182" t="s">
        <v>340</v>
      </c>
      <c r="E13" s="182"/>
      <c r="F13" s="182" t="s">
        <v>231</v>
      </c>
      <c r="G13" s="182"/>
      <c r="H13" s="183" t="s">
        <v>232</v>
      </c>
      <c r="I13" s="171"/>
      <c r="J13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205"/>
      <c r="BH13" s="205"/>
      <c r="BI13" s="205"/>
      <c r="BJ13" s="205"/>
      <c r="BK13" s="205"/>
      <c r="BL13" s="205"/>
      <c r="BM13" s="205"/>
      <c r="BN13" s="205"/>
      <c r="BO13" s="205"/>
      <c r="BP13" s="205"/>
      <c r="BQ13" s="205"/>
      <c r="BR13" s="205"/>
      <c r="BS13" s="205"/>
      <c r="BT13" s="205"/>
      <c r="BU13" s="205"/>
      <c r="BV13" s="205"/>
      <c r="BW13" s="205"/>
      <c r="BX13" s="205"/>
      <c r="BY13" s="205"/>
      <c r="BZ13" s="205"/>
      <c r="CA13" s="205"/>
      <c r="CB13" s="205"/>
      <c r="CC13" s="205"/>
      <c r="CD13" s="205"/>
      <c r="CE13" s="205"/>
      <c r="CF13" s="205"/>
      <c r="CG13" s="205"/>
      <c r="CH13" s="205"/>
      <c r="CI13" s="205"/>
      <c r="CJ13" s="205"/>
      <c r="CK13" s="205"/>
      <c r="CL13" s="205"/>
      <c r="CM13" s="205"/>
      <c r="CN13" s="205"/>
      <c r="CO13" s="205"/>
      <c r="CP13" s="205"/>
      <c r="CQ13" s="205"/>
      <c r="CR13" s="205"/>
      <c r="CS13" s="205"/>
      <c r="CT13" s="205"/>
      <c r="CU13" s="205"/>
      <c r="CV13" s="205"/>
      <c r="CW13" s="205"/>
      <c r="CX13" s="205"/>
      <c r="CY13" s="205"/>
      <c r="CZ13" s="205"/>
      <c r="DA13" s="205"/>
      <c r="DB13" s="205"/>
      <c r="DC13" s="205"/>
      <c r="DD13" s="205"/>
      <c r="DE13" s="205"/>
      <c r="DF13" s="205"/>
      <c r="DG13" s="205"/>
      <c r="DH13" s="205"/>
      <c r="DI13" s="205"/>
      <c r="DJ13" s="205"/>
      <c r="DK13" s="205"/>
      <c r="DL13" s="205"/>
      <c r="DM13" s="205"/>
      <c r="DN13" s="205"/>
      <c r="DO13" s="205"/>
      <c r="DP13" s="205"/>
      <c r="DQ13" s="205"/>
      <c r="DR13" s="205"/>
      <c r="DS13" s="205"/>
      <c r="DT13" s="205"/>
      <c r="DU13" s="205"/>
      <c r="DV13" s="205"/>
      <c r="DW13" s="205"/>
      <c r="DX13" s="205"/>
      <c r="DY13" s="205"/>
      <c r="DZ13" s="205"/>
      <c r="EA13" s="205"/>
      <c r="EB13" s="205"/>
      <c r="EC13" s="205"/>
      <c r="ED13" s="205"/>
      <c r="EE13" s="205"/>
      <c r="EF13" s="205"/>
      <c r="EG13" s="205"/>
      <c r="EH13" s="205"/>
      <c r="EI13" s="205"/>
      <c r="EJ13" s="205"/>
      <c r="EK13" s="205"/>
      <c r="EL13" s="205"/>
      <c r="EM13" s="205"/>
      <c r="EN13" s="205"/>
      <c r="EO13" s="205"/>
      <c r="EP13" s="205"/>
      <c r="EQ13" s="205"/>
      <c r="ER13" s="205"/>
      <c r="ES13" s="205"/>
      <c r="ET13" s="205"/>
      <c r="EU13" s="205"/>
      <c r="EV13" s="205"/>
      <c r="EW13" s="205"/>
      <c r="EX13" s="205"/>
      <c r="EY13" s="205"/>
      <c r="EZ13" s="205"/>
      <c r="FA13" s="205"/>
      <c r="FB13" s="205"/>
      <c r="FC13" s="205"/>
      <c r="FD13" s="205"/>
      <c r="FE13" s="205"/>
      <c r="FF13" s="205"/>
      <c r="FG13" s="205"/>
      <c r="FH13" s="205"/>
      <c r="FI13" s="205"/>
      <c r="FJ13" s="205"/>
      <c r="FK13" s="205"/>
      <c r="FL13" s="205"/>
      <c r="FM13" s="205"/>
      <c r="FN13" s="205"/>
      <c r="FO13" s="205"/>
      <c r="FP13" s="205"/>
      <c r="FQ13" s="205"/>
      <c r="FR13" s="205"/>
      <c r="FS13" s="205"/>
      <c r="FT13" s="205"/>
      <c r="FU13" s="205"/>
      <c r="FV13" s="205"/>
      <c r="FW13" s="205"/>
      <c r="FX13" s="205"/>
      <c r="FY13" s="205"/>
      <c r="FZ13" s="205"/>
      <c r="GA13" s="205"/>
      <c r="GB13" s="205"/>
      <c r="GC13" s="205"/>
      <c r="GD13" s="205"/>
      <c r="GE13" s="205"/>
      <c r="GF13" s="205"/>
      <c r="GG13" s="205"/>
      <c r="GH13" s="205"/>
      <c r="GI13" s="205"/>
      <c r="GJ13" s="205"/>
      <c r="GK13" s="205"/>
      <c r="GL13" s="205"/>
      <c r="GM13" s="205"/>
      <c r="GN13" s="205"/>
      <c r="GO13" s="205"/>
      <c r="GP13" s="205"/>
      <c r="GQ13" s="205"/>
      <c r="GR13" s="205"/>
      <c r="GS13" s="205"/>
      <c r="GT13" s="205"/>
      <c r="GU13" s="205"/>
      <c r="GV13" s="205"/>
      <c r="GW13" s="205"/>
      <c r="GX13" s="205"/>
      <c r="GY13" s="205"/>
      <c r="GZ13" s="205"/>
      <c r="HA13" s="205"/>
      <c r="HB13" s="205"/>
      <c r="HC13" s="205"/>
      <c r="HD13" s="205"/>
      <c r="HE13" s="205"/>
      <c r="HF13" s="205"/>
      <c r="HG13" s="205"/>
      <c r="HH13" s="205"/>
      <c r="HI13" s="205"/>
      <c r="HJ13" s="205"/>
      <c r="HK13" s="205"/>
      <c r="HL13" s="205"/>
      <c r="HM13" s="205"/>
      <c r="HN13" s="205"/>
      <c r="HO13" s="205"/>
      <c r="HP13" s="205"/>
      <c r="HQ13" s="205"/>
      <c r="HR13" s="205"/>
      <c r="HS13" s="205"/>
      <c r="HT13" s="205"/>
    </row>
    <row r="14" spans="1:228" ht="16.5" customHeight="1" x14ac:dyDescent="0.25">
      <c r="A14" s="181" t="s">
        <v>341</v>
      </c>
      <c r="B14" s="182">
        <f>ROUND(247/12,2)</f>
        <v>20.58</v>
      </c>
      <c r="C14" s="182"/>
      <c r="D14" s="182">
        <f>ROUND(248/12,2)</f>
        <v>20.67</v>
      </c>
      <c r="E14" s="182"/>
      <c r="F14" s="182">
        <f>ROUND(250/12,2)</f>
        <v>20.83</v>
      </c>
      <c r="G14" s="182"/>
      <c r="H14" s="183">
        <f>ROUND(248/12,2)</f>
        <v>20.67</v>
      </c>
      <c r="I14" s="346" t="s">
        <v>345</v>
      </c>
      <c r="J14"/>
      <c r="N14" s="184"/>
    </row>
    <row r="15" spans="1:228" ht="16.5" customHeight="1" x14ac:dyDescent="0.25">
      <c r="A15" s="704" t="s">
        <v>164</v>
      </c>
      <c r="B15" s="704"/>
      <c r="C15" s="704"/>
      <c r="D15" s="704"/>
      <c r="E15" s="704"/>
      <c r="F15" s="704"/>
      <c r="G15" s="704"/>
      <c r="H15" s="704"/>
      <c r="I15" s="171"/>
      <c r="J15"/>
      <c r="N15"/>
    </row>
    <row r="16" spans="1:228" ht="27" customHeight="1" x14ac:dyDescent="0.25">
      <c r="A16" s="698" t="s">
        <v>165</v>
      </c>
      <c r="B16" s="698"/>
      <c r="C16" s="698"/>
      <c r="D16" s="698"/>
      <c r="E16" s="698"/>
      <c r="F16" s="698"/>
      <c r="G16" s="698"/>
      <c r="H16" s="698"/>
      <c r="I16" s="171"/>
      <c r="J16"/>
      <c r="N16" s="185"/>
    </row>
    <row r="17" spans="1:14" ht="27" customHeight="1" x14ac:dyDescent="0.25">
      <c r="A17" s="699" t="s">
        <v>166</v>
      </c>
      <c r="B17" s="699"/>
      <c r="C17" s="186">
        <v>30</v>
      </c>
      <c r="D17" s="700" t="s">
        <v>167</v>
      </c>
      <c r="E17" s="700"/>
      <c r="F17" s="187">
        <v>0.05</v>
      </c>
      <c r="G17" s="188" t="s">
        <v>168</v>
      </c>
      <c r="H17" s="189">
        <f>C17/360*F17</f>
        <v>4.1666666666666666E-3</v>
      </c>
      <c r="I17" s="171"/>
      <c r="J17"/>
      <c r="N17"/>
    </row>
    <row r="18" spans="1:14" ht="27" customHeight="1" x14ac:dyDescent="0.25">
      <c r="A18" s="698" t="s">
        <v>169</v>
      </c>
      <c r="B18" s="698"/>
      <c r="C18" s="698"/>
      <c r="D18" s="698"/>
      <c r="E18" s="698"/>
      <c r="F18" s="698"/>
      <c r="G18" s="698"/>
      <c r="H18" s="698"/>
      <c r="I18" s="171"/>
      <c r="J18"/>
      <c r="N18" s="185"/>
    </row>
    <row r="19" spans="1:14" ht="27" customHeight="1" x14ac:dyDescent="0.25">
      <c r="A19" s="690" t="s">
        <v>170</v>
      </c>
      <c r="B19" s="690"/>
      <c r="C19" s="690"/>
      <c r="D19" s="690"/>
      <c r="E19" s="690"/>
      <c r="F19" s="690"/>
      <c r="G19" s="190" t="s">
        <v>168</v>
      </c>
      <c r="H19" s="203">
        <f>0.08*H17</f>
        <v>3.3333333333333332E-4</v>
      </c>
      <c r="I19" s="171"/>
      <c r="J19"/>
    </row>
    <row r="20" spans="1:14" ht="27" customHeight="1" x14ac:dyDescent="0.25">
      <c r="A20" s="683" t="s">
        <v>171</v>
      </c>
      <c r="B20" s="683"/>
      <c r="C20" s="683"/>
      <c r="D20" s="683"/>
      <c r="E20" s="683"/>
      <c r="F20" s="683"/>
      <c r="G20" s="683"/>
      <c r="H20" s="683"/>
      <c r="I20" s="171"/>
      <c r="J20"/>
    </row>
    <row r="21" spans="1:14" ht="27" customHeight="1" x14ac:dyDescent="0.25">
      <c r="A21" s="690" t="s">
        <v>433</v>
      </c>
      <c r="B21" s="690"/>
      <c r="C21" s="690"/>
      <c r="D21" s="690"/>
      <c r="E21" s="690"/>
      <c r="F21" s="690"/>
      <c r="G21" s="190" t="s">
        <v>168</v>
      </c>
      <c r="H21" s="203">
        <f>0.4*0.08*H17</f>
        <v>1.3333333333333334E-4</v>
      </c>
      <c r="I21" s="171"/>
      <c r="J21"/>
    </row>
    <row r="22" spans="1:14" ht="27" customHeight="1" x14ac:dyDescent="0.25">
      <c r="A22" s="683" t="s">
        <v>172</v>
      </c>
      <c r="B22" s="683"/>
      <c r="C22" s="683"/>
      <c r="D22" s="683"/>
      <c r="E22" s="683"/>
      <c r="F22" s="683"/>
      <c r="G22" s="683"/>
      <c r="H22" s="683"/>
      <c r="I22" s="171"/>
      <c r="J22"/>
    </row>
    <row r="23" spans="1:14" ht="27" customHeight="1" x14ac:dyDescent="0.25">
      <c r="A23" s="690" t="s">
        <v>173</v>
      </c>
      <c r="B23" s="690"/>
      <c r="C23" s="690"/>
      <c r="D23" s="690"/>
      <c r="E23" s="690"/>
      <c r="F23" s="690"/>
      <c r="G23" s="190" t="s">
        <v>168</v>
      </c>
      <c r="H23" s="191">
        <v>1.9400000000000001E-2</v>
      </c>
      <c r="I23" s="171"/>
      <c r="J23"/>
    </row>
    <row r="24" spans="1:14" ht="27" customHeight="1" x14ac:dyDescent="0.25">
      <c r="A24" s="683" t="s">
        <v>174</v>
      </c>
      <c r="B24" s="683"/>
      <c r="C24" s="683"/>
      <c r="D24" s="683"/>
      <c r="E24" s="683"/>
      <c r="F24" s="683"/>
      <c r="G24" s="683"/>
      <c r="H24" s="683"/>
      <c r="I24" s="171"/>
      <c r="J24"/>
    </row>
    <row r="25" spans="1:14" ht="27" customHeight="1" x14ac:dyDescent="0.25">
      <c r="A25" s="690" t="s">
        <v>175</v>
      </c>
      <c r="B25" s="690"/>
      <c r="C25" s="690"/>
      <c r="D25" s="690"/>
      <c r="E25" s="690"/>
      <c r="F25" s="690"/>
      <c r="G25" s="190" t="s">
        <v>168</v>
      </c>
      <c r="H25" s="191">
        <f>H23*[1]Servente!J44</f>
        <v>7.7212000000000018E-3</v>
      </c>
      <c r="I25" s="171"/>
      <c r="J25"/>
    </row>
    <row r="26" spans="1:14" ht="27" customHeight="1" x14ac:dyDescent="0.25">
      <c r="A26" s="683" t="s">
        <v>434</v>
      </c>
      <c r="B26" s="683"/>
      <c r="C26" s="683"/>
      <c r="D26" s="683"/>
      <c r="E26" s="683"/>
      <c r="F26" s="683"/>
      <c r="G26" s="683"/>
      <c r="H26" s="683"/>
      <c r="I26" s="171"/>
      <c r="J26"/>
    </row>
    <row r="27" spans="1:14" ht="31.5" customHeight="1" x14ac:dyDescent="0.25">
      <c r="A27" s="691" t="s">
        <v>432</v>
      </c>
      <c r="B27" s="691"/>
      <c r="C27" s="691"/>
      <c r="D27" s="691"/>
      <c r="E27" s="691"/>
      <c r="F27" s="691"/>
      <c r="G27" s="190" t="s">
        <v>168</v>
      </c>
      <c r="H27" s="204">
        <f>0.4*0.08*H25</f>
        <v>2.4707840000000005E-4</v>
      </c>
      <c r="I27" s="171"/>
      <c r="J27"/>
    </row>
    <row r="28" spans="1:14" ht="31.5" customHeight="1" x14ac:dyDescent="0.25">
      <c r="A28" s="192"/>
      <c r="B28" s="193"/>
      <c r="C28" s="193"/>
      <c r="D28" s="193"/>
      <c r="E28" s="193"/>
      <c r="F28" s="193"/>
      <c r="G28" s="194"/>
      <c r="H28" s="195"/>
      <c r="I28" s="171"/>
      <c r="J28"/>
    </row>
    <row r="29" spans="1:14" ht="31.5" customHeight="1" x14ac:dyDescent="0.25">
      <c r="A29" s="695" t="s">
        <v>176</v>
      </c>
      <c r="B29" s="696"/>
      <c r="C29" s="696"/>
      <c r="D29" s="696"/>
      <c r="E29" s="696"/>
      <c r="F29" s="696"/>
      <c r="G29" s="696"/>
      <c r="H29" s="697"/>
      <c r="I29"/>
      <c r="J29"/>
    </row>
    <row r="30" spans="1:14" ht="31.5" customHeight="1" x14ac:dyDescent="0.25">
      <c r="A30" s="196" t="s">
        <v>23</v>
      </c>
      <c r="B30" s="683" t="s">
        <v>82</v>
      </c>
      <c r="C30" s="683"/>
      <c r="D30" s="683"/>
      <c r="E30" s="683"/>
      <c r="F30" s="683"/>
      <c r="G30" s="683"/>
      <c r="H30" s="683"/>
      <c r="I30" s="683"/>
      <c r="J30"/>
    </row>
    <row r="31" spans="1:14" ht="31.5" customHeight="1" x14ac:dyDescent="0.25">
      <c r="A31" s="683" t="s">
        <v>177</v>
      </c>
      <c r="B31" s="683"/>
      <c r="C31" s="683"/>
      <c r="D31" s="683"/>
      <c r="E31" s="683"/>
      <c r="F31" s="683"/>
      <c r="G31" s="683"/>
      <c r="H31" s="190" t="s">
        <v>168</v>
      </c>
      <c r="I31" s="338">
        <f>1/11</f>
        <v>9.0909090909090912E-2</v>
      </c>
      <c r="J31"/>
    </row>
    <row r="32" spans="1:14" ht="31.5" customHeight="1" x14ac:dyDescent="0.25">
      <c r="A32" s="196" t="s">
        <v>25</v>
      </c>
      <c r="B32" s="683" t="s">
        <v>83</v>
      </c>
      <c r="C32" s="683"/>
      <c r="D32" s="683"/>
      <c r="E32" s="683"/>
      <c r="F32" s="683"/>
      <c r="G32" s="683"/>
      <c r="H32" s="683"/>
      <c r="I32" s="683"/>
      <c r="J32"/>
    </row>
    <row r="33" spans="1:10" ht="31.5" customHeight="1" x14ac:dyDescent="0.25">
      <c r="A33" s="687" t="s">
        <v>178</v>
      </c>
      <c r="B33" s="687"/>
      <c r="C33" s="198">
        <v>1</v>
      </c>
      <c r="D33" s="687" t="s">
        <v>179</v>
      </c>
      <c r="E33" s="687"/>
      <c r="F33" s="199">
        <v>1</v>
      </c>
      <c r="G33" s="200"/>
      <c r="H33" s="190" t="s">
        <v>168</v>
      </c>
      <c r="I33" s="338">
        <f>C33/360*F33</f>
        <v>2.7777777777777779E-3</v>
      </c>
      <c r="J33"/>
    </row>
    <row r="34" spans="1:10" ht="31.5" customHeight="1" x14ac:dyDescent="0.25">
      <c r="A34" s="196" t="s">
        <v>28</v>
      </c>
      <c r="B34" s="683" t="s">
        <v>84</v>
      </c>
      <c r="C34" s="683"/>
      <c r="D34" s="683"/>
      <c r="E34" s="683"/>
      <c r="F34" s="683"/>
      <c r="G34" s="683"/>
      <c r="H34" s="683"/>
      <c r="I34" s="683"/>
      <c r="J34"/>
    </row>
    <row r="35" spans="1:10" ht="31.5" customHeight="1" x14ac:dyDescent="0.25">
      <c r="A35" s="687" t="s">
        <v>180</v>
      </c>
      <c r="B35" s="687"/>
      <c r="C35" s="198">
        <v>5</v>
      </c>
      <c r="D35" s="687" t="s">
        <v>179</v>
      </c>
      <c r="E35" s="687"/>
      <c r="F35" s="199">
        <v>0.02</v>
      </c>
      <c r="G35" s="200"/>
      <c r="H35" s="190" t="s">
        <v>168</v>
      </c>
      <c r="I35" s="339">
        <f>C35/360*F35</f>
        <v>2.7777777777777778E-4</v>
      </c>
      <c r="J35"/>
    </row>
    <row r="36" spans="1:10" ht="31.5" customHeight="1" x14ac:dyDescent="0.25">
      <c r="A36" s="196" t="s">
        <v>33</v>
      </c>
      <c r="B36" s="683" t="s">
        <v>85</v>
      </c>
      <c r="C36" s="683"/>
      <c r="D36" s="683"/>
      <c r="E36" s="683"/>
      <c r="F36" s="683"/>
      <c r="G36" s="683"/>
      <c r="H36" s="683"/>
      <c r="I36" s="683"/>
      <c r="J36"/>
    </row>
    <row r="37" spans="1:10" ht="31.5" customHeight="1" x14ac:dyDescent="0.25">
      <c r="A37" s="687" t="s">
        <v>180</v>
      </c>
      <c r="B37" s="687"/>
      <c r="C37" s="198">
        <v>15</v>
      </c>
      <c r="D37" s="687" t="s">
        <v>179</v>
      </c>
      <c r="E37" s="687"/>
      <c r="F37" s="199">
        <v>7.7999999999999996E-3</v>
      </c>
      <c r="G37" s="200"/>
      <c r="H37" s="190" t="s">
        <v>168</v>
      </c>
      <c r="I37" s="339">
        <f>C37/360*F37</f>
        <v>3.2499999999999999E-4</v>
      </c>
      <c r="J37"/>
    </row>
    <row r="38" spans="1:10" ht="31.5" customHeight="1" x14ac:dyDescent="0.25">
      <c r="A38" s="196" t="s">
        <v>35</v>
      </c>
      <c r="B38" s="683" t="s">
        <v>86</v>
      </c>
      <c r="C38" s="683"/>
      <c r="D38" s="683"/>
      <c r="E38" s="683"/>
      <c r="F38" s="683"/>
      <c r="G38" s="683"/>
      <c r="H38" s="683"/>
      <c r="I38" s="683"/>
      <c r="J38"/>
    </row>
    <row r="39" spans="1:10" ht="31.5" customHeight="1" x14ac:dyDescent="0.25">
      <c r="A39" s="687" t="s">
        <v>180</v>
      </c>
      <c r="B39" s="687"/>
      <c r="C39" s="200">
        <v>120</v>
      </c>
      <c r="D39" s="687" t="s">
        <v>179</v>
      </c>
      <c r="E39" s="687"/>
      <c r="F39" s="199">
        <v>0.02</v>
      </c>
      <c r="G39" s="200"/>
      <c r="H39" s="190" t="s">
        <v>168</v>
      </c>
      <c r="I39" s="339">
        <f>C39/360*F39*0.121</f>
        <v>8.0666666666666658E-4</v>
      </c>
      <c r="J39"/>
    </row>
    <row r="40" spans="1:10" ht="31.5" customHeight="1" x14ac:dyDescent="0.25">
      <c r="A40" s="196" t="s">
        <v>37</v>
      </c>
      <c r="B40" s="683" t="s">
        <v>87</v>
      </c>
      <c r="C40" s="683"/>
      <c r="D40" s="683"/>
      <c r="E40" s="683"/>
      <c r="F40" s="683"/>
      <c r="G40" s="683"/>
      <c r="H40" s="683"/>
      <c r="I40" s="683"/>
      <c r="J40"/>
    </row>
    <row r="41" spans="1:10" ht="31.5" customHeight="1" x14ac:dyDescent="0.25">
      <c r="A41" s="192"/>
      <c r="B41" s="193"/>
      <c r="C41" s="193"/>
      <c r="D41" s="193"/>
      <c r="E41" s="193"/>
      <c r="F41" s="193"/>
      <c r="G41" s="194"/>
      <c r="H41" s="195"/>
      <c r="I41" s="171"/>
      <c r="J41"/>
    </row>
    <row r="42" spans="1:10" ht="16.5" customHeight="1" x14ac:dyDescent="0.25">
      <c r="A42" s="181"/>
      <c r="B42" s="182"/>
      <c r="C42" s="182"/>
      <c r="D42" s="182"/>
      <c r="E42" s="182"/>
      <c r="F42" s="182"/>
      <c r="G42" s="182"/>
      <c r="H42" s="183"/>
      <c r="I42" s="171"/>
      <c r="J42"/>
    </row>
    <row r="43" spans="1:10" ht="23.25" customHeight="1" x14ac:dyDescent="0.25">
      <c r="A43" s="695" t="s">
        <v>337</v>
      </c>
      <c r="B43" s="696"/>
      <c r="C43" s="696"/>
      <c r="D43" s="696"/>
      <c r="E43" s="696"/>
      <c r="F43" s="696"/>
      <c r="G43" s="696"/>
      <c r="H43" s="697"/>
      <c r="I43"/>
      <c r="J43"/>
    </row>
    <row r="44" spans="1:10" ht="36" customHeight="1" x14ac:dyDescent="0.25">
      <c r="A44" s="698" t="s">
        <v>165</v>
      </c>
      <c r="B44" s="698"/>
      <c r="C44" s="698"/>
      <c r="D44" s="698"/>
      <c r="E44" s="698"/>
      <c r="F44" s="698"/>
      <c r="G44" s="698"/>
      <c r="H44" s="698"/>
      <c r="I44"/>
      <c r="J44"/>
    </row>
    <row r="45" spans="1:10" ht="36" customHeight="1" x14ac:dyDescent="0.25">
      <c r="A45" s="699" t="s">
        <v>166</v>
      </c>
      <c r="B45" s="699"/>
      <c r="C45" s="186">
        <v>30</v>
      </c>
      <c r="D45" s="700" t="s">
        <v>167</v>
      </c>
      <c r="E45" s="700"/>
      <c r="F45" s="189">
        <v>0.05</v>
      </c>
      <c r="G45" s="188" t="s">
        <v>168</v>
      </c>
      <c r="H45" s="201">
        <f>C45/360*F45</f>
        <v>4.1666666666666666E-3</v>
      </c>
      <c r="I45" s="202" t="s">
        <v>181</v>
      </c>
      <c r="J45"/>
    </row>
    <row r="46" spans="1:10" ht="51" customHeight="1" x14ac:dyDescent="0.25">
      <c r="A46" s="698" t="s">
        <v>169</v>
      </c>
      <c r="B46" s="698"/>
      <c r="C46" s="698"/>
      <c r="D46" s="698"/>
      <c r="E46" s="698"/>
      <c r="F46" s="698"/>
      <c r="G46" s="698"/>
      <c r="H46" s="698"/>
      <c r="I46" s="202"/>
      <c r="J46"/>
    </row>
    <row r="47" spans="1:10" ht="36" customHeight="1" x14ac:dyDescent="0.25">
      <c r="A47" s="690" t="s">
        <v>170</v>
      </c>
      <c r="B47" s="690"/>
      <c r="C47" s="690"/>
      <c r="D47" s="690"/>
      <c r="E47" s="690"/>
      <c r="F47" s="690"/>
      <c r="G47" s="190" t="s">
        <v>168</v>
      </c>
      <c r="H47" s="203">
        <f>0.08*H45</f>
        <v>3.3333333333333332E-4</v>
      </c>
      <c r="I47" s="202" t="s">
        <v>181</v>
      </c>
      <c r="J47"/>
    </row>
    <row r="48" spans="1:10" ht="36" customHeight="1" x14ac:dyDescent="0.25">
      <c r="A48" s="683" t="s">
        <v>171</v>
      </c>
      <c r="B48" s="683"/>
      <c r="C48" s="683"/>
      <c r="D48" s="683"/>
      <c r="E48" s="683"/>
      <c r="F48" s="683"/>
      <c r="G48" s="683"/>
      <c r="H48" s="683"/>
      <c r="I48" s="202"/>
      <c r="J48"/>
    </row>
    <row r="49" spans="1:10" ht="36" customHeight="1" x14ac:dyDescent="0.25">
      <c r="A49" s="690" t="s">
        <v>433</v>
      </c>
      <c r="B49" s="690"/>
      <c r="C49" s="690"/>
      <c r="D49" s="690"/>
      <c r="E49" s="690"/>
      <c r="F49" s="690"/>
      <c r="G49" s="190" t="s">
        <v>168</v>
      </c>
      <c r="H49" s="191">
        <f>((0.08*0.4)*0.9)*(1+5/56+5/56+5/168)</f>
        <v>3.4799999999999998E-2</v>
      </c>
      <c r="I49" s="202" t="s">
        <v>181</v>
      </c>
      <c r="J49"/>
    </row>
    <row r="50" spans="1:10" ht="15.75" x14ac:dyDescent="0.25">
      <c r="A50" s="683" t="s">
        <v>172</v>
      </c>
      <c r="B50" s="683"/>
      <c r="C50" s="683"/>
      <c r="D50" s="683"/>
      <c r="E50" s="683"/>
      <c r="F50" s="683"/>
      <c r="G50" s="683"/>
      <c r="H50" s="683"/>
      <c r="I50" s="202"/>
      <c r="J50"/>
    </row>
    <row r="51" spans="1:10" ht="41.25" customHeight="1" x14ac:dyDescent="0.25">
      <c r="A51" s="690" t="s">
        <v>173</v>
      </c>
      <c r="B51" s="690"/>
      <c r="C51" s="690"/>
      <c r="D51" s="690"/>
      <c r="E51" s="690"/>
      <c r="F51" s="690"/>
      <c r="G51" s="190" t="s">
        <v>168</v>
      </c>
      <c r="H51" s="191">
        <v>1.9400000000000001E-2</v>
      </c>
      <c r="I51" s="202" t="s">
        <v>181</v>
      </c>
      <c r="J51"/>
    </row>
    <row r="52" spans="1:10" ht="15.75" x14ac:dyDescent="0.25">
      <c r="A52" s="683" t="s">
        <v>182</v>
      </c>
      <c r="B52" s="683"/>
      <c r="C52" s="683"/>
      <c r="D52" s="683"/>
      <c r="E52" s="683"/>
      <c r="F52" s="683"/>
      <c r="G52" s="683"/>
      <c r="H52" s="683"/>
      <c r="I52" s="202"/>
      <c r="J52"/>
    </row>
    <row r="53" spans="1:10" ht="15.75" x14ac:dyDescent="0.25">
      <c r="A53" s="690" t="s">
        <v>183</v>
      </c>
      <c r="B53" s="690"/>
      <c r="C53" s="690"/>
      <c r="D53" s="690"/>
      <c r="E53" s="690"/>
      <c r="F53" s="690"/>
      <c r="G53" s="190" t="s">
        <v>168</v>
      </c>
      <c r="H53" s="191">
        <f>H51*39.8%</f>
        <v>7.7211999999999992E-3</v>
      </c>
      <c r="I53" s="202" t="s">
        <v>181</v>
      </c>
      <c r="J53"/>
    </row>
    <row r="54" spans="1:10" ht="33.75" customHeight="1" x14ac:dyDescent="0.25">
      <c r="A54" s="683" t="s">
        <v>435</v>
      </c>
      <c r="B54" s="683"/>
      <c r="C54" s="683"/>
      <c r="D54" s="683"/>
      <c r="E54" s="683"/>
      <c r="F54" s="683"/>
      <c r="G54" s="683"/>
      <c r="H54" s="683"/>
      <c r="I54"/>
      <c r="J54"/>
    </row>
    <row r="55" spans="1:10" ht="15.75" x14ac:dyDescent="0.25">
      <c r="A55" s="691" t="s">
        <v>432</v>
      </c>
      <c r="B55" s="691"/>
      <c r="C55" s="691"/>
      <c r="D55" s="691"/>
      <c r="E55" s="691"/>
      <c r="F55" s="691"/>
      <c r="G55" s="190" t="s">
        <v>168</v>
      </c>
      <c r="H55" s="204">
        <f>0.4*0.08*H51</f>
        <v>6.2080000000000002E-4</v>
      </c>
      <c r="I55" t="s">
        <v>181</v>
      </c>
      <c r="J55"/>
    </row>
    <row r="56" spans="1:10" x14ac:dyDescent="0.25">
      <c r="A56" s="692"/>
      <c r="B56" s="692"/>
      <c r="C56" s="692"/>
      <c r="D56" s="692"/>
      <c r="E56" s="692"/>
      <c r="F56" s="692"/>
      <c r="G56" s="692"/>
      <c r="H56" s="692"/>
      <c r="I56"/>
      <c r="J56"/>
    </row>
    <row r="57" spans="1:10" x14ac:dyDescent="0.25">
      <c r="A57" s="693" t="s">
        <v>338</v>
      </c>
      <c r="B57" s="694"/>
      <c r="C57" s="694"/>
      <c r="D57" s="694"/>
      <c r="E57" s="694"/>
      <c r="F57" s="694"/>
      <c r="G57" s="694"/>
      <c r="H57" s="694"/>
      <c r="I57" s="694"/>
      <c r="J57"/>
    </row>
    <row r="58" spans="1:10" ht="15.75" x14ac:dyDescent="0.25">
      <c r="A58" s="196" t="s">
        <v>23</v>
      </c>
      <c r="B58" s="683" t="s">
        <v>82</v>
      </c>
      <c r="C58" s="683"/>
      <c r="D58" s="683"/>
      <c r="E58" s="683"/>
      <c r="F58" s="683"/>
      <c r="G58" s="683"/>
      <c r="H58" s="683"/>
      <c r="I58" s="683"/>
      <c r="J58"/>
    </row>
    <row r="59" spans="1:10" ht="31.5" x14ac:dyDescent="0.25">
      <c r="A59" s="683" t="s">
        <v>184</v>
      </c>
      <c r="B59" s="683"/>
      <c r="C59" s="683"/>
      <c r="D59" s="683"/>
      <c r="E59" s="683"/>
      <c r="F59" s="683"/>
      <c r="G59" s="683"/>
      <c r="H59" s="190" t="s">
        <v>168</v>
      </c>
      <c r="I59" s="197">
        <f>1/12</f>
        <v>8.3333333333333329E-2</v>
      </c>
      <c r="J59" t="s">
        <v>181</v>
      </c>
    </row>
    <row r="60" spans="1:10" ht="15.75" x14ac:dyDescent="0.25">
      <c r="A60" s="196" t="s">
        <v>25</v>
      </c>
      <c r="B60" s="683" t="s">
        <v>185</v>
      </c>
      <c r="C60" s="683"/>
      <c r="D60" s="683"/>
      <c r="E60" s="683"/>
      <c r="F60" s="683"/>
      <c r="G60" s="683"/>
      <c r="H60" s="683"/>
      <c r="I60" s="683"/>
      <c r="J60"/>
    </row>
    <row r="61" spans="1:10" ht="31.5" x14ac:dyDescent="0.25">
      <c r="A61" s="687" t="s">
        <v>178</v>
      </c>
      <c r="B61" s="687"/>
      <c r="C61" s="198">
        <v>6</v>
      </c>
      <c r="D61" s="687" t="s">
        <v>179</v>
      </c>
      <c r="E61" s="687"/>
      <c r="F61" s="199">
        <v>1</v>
      </c>
      <c r="G61" s="200"/>
      <c r="H61" s="190" t="s">
        <v>168</v>
      </c>
      <c r="I61" s="197">
        <f>C61/360*F61</f>
        <v>1.6666666666666666E-2</v>
      </c>
      <c r="J61" t="s">
        <v>181</v>
      </c>
    </row>
    <row r="62" spans="1:10" ht="15.75" x14ac:dyDescent="0.25">
      <c r="A62" s="196" t="s">
        <v>28</v>
      </c>
      <c r="B62" s="683" t="s">
        <v>84</v>
      </c>
      <c r="C62" s="683"/>
      <c r="D62" s="683"/>
      <c r="E62" s="683"/>
      <c r="F62" s="683"/>
      <c r="G62" s="683"/>
      <c r="H62" s="683"/>
      <c r="I62" s="683"/>
      <c r="J62"/>
    </row>
    <row r="63" spans="1:10" ht="31.5" x14ac:dyDescent="0.25">
      <c r="A63" s="683" t="s">
        <v>180</v>
      </c>
      <c r="B63" s="683"/>
      <c r="C63" s="198">
        <v>5</v>
      </c>
      <c r="D63" s="687" t="s">
        <v>179</v>
      </c>
      <c r="E63" s="687"/>
      <c r="F63" s="199">
        <v>1.4999999999999999E-2</v>
      </c>
      <c r="G63" s="200"/>
      <c r="H63" s="190" t="s">
        <v>168</v>
      </c>
      <c r="I63" s="197">
        <f>C63/365*F63</f>
        <v>2.0547945205479451E-4</v>
      </c>
      <c r="J63" t="s">
        <v>181</v>
      </c>
    </row>
    <row r="64" spans="1:10" ht="15.75" x14ac:dyDescent="0.25">
      <c r="A64" s="196" t="s">
        <v>33</v>
      </c>
      <c r="B64" s="684" t="s">
        <v>83</v>
      </c>
      <c r="C64" s="685"/>
      <c r="D64" s="685"/>
      <c r="E64" s="685"/>
      <c r="F64" s="685"/>
      <c r="G64" s="686"/>
      <c r="H64" s="190"/>
      <c r="I64" s="197"/>
      <c r="J64"/>
    </row>
    <row r="65" spans="1:10" ht="31.5" x14ac:dyDescent="0.25">
      <c r="A65" s="684" t="s">
        <v>180</v>
      </c>
      <c r="B65" s="686"/>
      <c r="C65" s="198">
        <v>2.96</v>
      </c>
      <c r="D65" s="687" t="s">
        <v>179</v>
      </c>
      <c r="E65" s="687"/>
      <c r="F65" s="199">
        <f>(2.96/30)*(1/12)</f>
        <v>8.222222222222221E-3</v>
      </c>
      <c r="G65" s="200"/>
      <c r="H65" s="190" t="s">
        <v>168</v>
      </c>
      <c r="I65" s="197">
        <v>8.2000000000000007E-3</v>
      </c>
      <c r="J65" t="s">
        <v>181</v>
      </c>
    </row>
    <row r="66" spans="1:10" ht="15.75" x14ac:dyDescent="0.25">
      <c r="A66" s="196" t="s">
        <v>35</v>
      </c>
      <c r="B66" s="683" t="s">
        <v>85</v>
      </c>
      <c r="C66" s="683"/>
      <c r="D66" s="683"/>
      <c r="E66" s="683"/>
      <c r="F66" s="683"/>
      <c r="G66" s="683"/>
      <c r="H66" s="683"/>
      <c r="I66" s="683"/>
      <c r="J66"/>
    </row>
    <row r="67" spans="1:10" ht="31.5" x14ac:dyDescent="0.25">
      <c r="A67" s="683" t="s">
        <v>180</v>
      </c>
      <c r="B67" s="683"/>
      <c r="C67" s="198">
        <v>15</v>
      </c>
      <c r="D67" s="687" t="s">
        <v>179</v>
      </c>
      <c r="E67" s="687"/>
      <c r="F67" s="199">
        <f>(15/365)*0.08</f>
        <v>3.2876712328767121E-3</v>
      </c>
      <c r="G67" s="200" t="s">
        <v>186</v>
      </c>
      <c r="H67" s="190" t="s">
        <v>168</v>
      </c>
      <c r="I67" s="197">
        <f>F67</f>
        <v>3.2876712328767121E-3</v>
      </c>
      <c r="J67" t="s">
        <v>181</v>
      </c>
    </row>
    <row r="68" spans="1:10" ht="15.75" x14ac:dyDescent="0.25">
      <c r="A68" s="196" t="s">
        <v>37</v>
      </c>
      <c r="B68" s="683" t="s">
        <v>86</v>
      </c>
      <c r="C68" s="683"/>
      <c r="D68" s="683"/>
      <c r="E68" s="683"/>
      <c r="F68" s="683"/>
      <c r="G68" s="683"/>
      <c r="H68" s="683"/>
      <c r="I68" s="683"/>
      <c r="J68"/>
    </row>
    <row r="69" spans="1:10" ht="31.5" x14ac:dyDescent="0.25">
      <c r="A69" s="688" t="s">
        <v>180</v>
      </c>
      <c r="B69" s="688"/>
      <c r="C69" s="206" t="s">
        <v>187</v>
      </c>
      <c r="D69" s="689" t="s">
        <v>179</v>
      </c>
      <c r="E69" s="689"/>
      <c r="F69" s="207">
        <f>(15/365)*0.08</f>
        <v>3.2876712328767121E-3</v>
      </c>
      <c r="G69" s="208"/>
      <c r="H69" s="209" t="s">
        <v>168</v>
      </c>
      <c r="I69" s="197">
        <f>F69</f>
        <v>3.2876712328767121E-3</v>
      </c>
      <c r="J69"/>
    </row>
    <row r="70" spans="1:10" ht="15.75" x14ac:dyDescent="0.25">
      <c r="A70" s="210"/>
      <c r="B70" s="210"/>
      <c r="C70" s="198"/>
      <c r="D70" s="211"/>
      <c r="E70" s="211"/>
      <c r="F70" s="199"/>
      <c r="G70" s="200"/>
      <c r="H70" s="190"/>
      <c r="I70" s="197"/>
      <c r="J70"/>
    </row>
    <row r="71" spans="1:10" ht="15.75" x14ac:dyDescent="0.25">
      <c r="A71" s="683"/>
      <c r="B71" s="683"/>
      <c r="C71" s="200"/>
      <c r="D71" s="687"/>
      <c r="E71" s="687"/>
      <c r="F71" s="199"/>
      <c r="G71" s="200"/>
      <c r="H71" s="190"/>
      <c r="I71" s="197"/>
      <c r="J71"/>
    </row>
    <row r="72" spans="1:10" ht="15.75" x14ac:dyDescent="0.25">
      <c r="A72"/>
      <c r="B72" s="683" t="s">
        <v>87</v>
      </c>
      <c r="C72" s="683"/>
      <c r="D72" s="683"/>
      <c r="E72" s="683"/>
      <c r="F72" s="683"/>
      <c r="G72" s="683"/>
      <c r="H72" s="683"/>
      <c r="I72" s="683"/>
      <c r="J72"/>
    </row>
    <row r="117" ht="15" customHeight="1" x14ac:dyDescent="0.25"/>
    <row r="140" ht="21.75" customHeight="1" x14ac:dyDescent="0.25"/>
    <row r="142" ht="30" customHeight="1" x14ac:dyDescent="0.25"/>
    <row r="144" ht="24" customHeight="1" x14ac:dyDescent="0.25"/>
  </sheetData>
  <mergeCells count="75">
    <mergeCell ref="G8:H8"/>
    <mergeCell ref="A2:I2"/>
    <mergeCell ref="A3:H3"/>
    <mergeCell ref="A4:H4"/>
    <mergeCell ref="B5:D5"/>
    <mergeCell ref="A6:H6"/>
    <mergeCell ref="A23:F23"/>
    <mergeCell ref="A10:H10"/>
    <mergeCell ref="B11:H11"/>
    <mergeCell ref="A15:H15"/>
    <mergeCell ref="A16:H16"/>
    <mergeCell ref="A17:B17"/>
    <mergeCell ref="D17:E17"/>
    <mergeCell ref="A18:H18"/>
    <mergeCell ref="A19:F19"/>
    <mergeCell ref="A20:H20"/>
    <mergeCell ref="A21:F21"/>
    <mergeCell ref="A22:H22"/>
    <mergeCell ref="B12:H12"/>
    <mergeCell ref="A35:B35"/>
    <mergeCell ref="D35:E35"/>
    <mergeCell ref="A24:H24"/>
    <mergeCell ref="A25:F25"/>
    <mergeCell ref="A26:H26"/>
    <mergeCell ref="A27:F27"/>
    <mergeCell ref="A29:H29"/>
    <mergeCell ref="B30:I30"/>
    <mergeCell ref="A31:G31"/>
    <mergeCell ref="B32:I32"/>
    <mergeCell ref="A33:B33"/>
    <mergeCell ref="D33:E33"/>
    <mergeCell ref="B34:I34"/>
    <mergeCell ref="B36:I36"/>
    <mergeCell ref="A37:B37"/>
    <mergeCell ref="D37:E37"/>
    <mergeCell ref="B38:I38"/>
    <mergeCell ref="A39:B39"/>
    <mergeCell ref="D39:E39"/>
    <mergeCell ref="A52:H52"/>
    <mergeCell ref="B40:I40"/>
    <mergeCell ref="A43:H43"/>
    <mergeCell ref="A44:H44"/>
    <mergeCell ref="A45:B45"/>
    <mergeCell ref="D45:E45"/>
    <mergeCell ref="A46:H46"/>
    <mergeCell ref="A47:F47"/>
    <mergeCell ref="A48:H48"/>
    <mergeCell ref="A49:F49"/>
    <mergeCell ref="A50:H50"/>
    <mergeCell ref="A51:F51"/>
    <mergeCell ref="A63:B63"/>
    <mergeCell ref="D63:E63"/>
    <mergeCell ref="A53:F53"/>
    <mergeCell ref="A54:H54"/>
    <mergeCell ref="A55:F55"/>
    <mergeCell ref="A56:H56"/>
    <mergeCell ref="A57:I57"/>
    <mergeCell ref="B58:I58"/>
    <mergeCell ref="A59:G59"/>
    <mergeCell ref="B60:I60"/>
    <mergeCell ref="A61:B61"/>
    <mergeCell ref="D61:E61"/>
    <mergeCell ref="B62:I62"/>
    <mergeCell ref="B72:I72"/>
    <mergeCell ref="B64:G64"/>
    <mergeCell ref="A65:B65"/>
    <mergeCell ref="D65:E65"/>
    <mergeCell ref="B66:I66"/>
    <mergeCell ref="A67:B67"/>
    <mergeCell ref="D67:E67"/>
    <mergeCell ref="B68:I68"/>
    <mergeCell ref="A69:B69"/>
    <mergeCell ref="D69:E69"/>
    <mergeCell ref="A71:B71"/>
    <mergeCell ref="D71:E71"/>
  </mergeCells>
  <pageMargins left="0.511811024" right="0.511811024" top="0.78740157499999996" bottom="0.78740157499999996" header="0.31496062000000002" footer="0.31496062000000002"/>
  <pageSetup paperSize="9" scale="51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37435-4995-48B6-B9AC-9ABEC0A79BB7}">
  <sheetPr codeName="Planilha13">
    <pageSetUpPr fitToPage="1"/>
  </sheetPr>
  <dimension ref="B1:S15"/>
  <sheetViews>
    <sheetView workbookViewId="0">
      <selection activeCell="J5" sqref="J5"/>
    </sheetView>
  </sheetViews>
  <sheetFormatPr defaultRowHeight="12.75" x14ac:dyDescent="0.2"/>
  <cols>
    <col min="1" max="1" width="7.140625" style="212" customWidth="1"/>
    <col min="2" max="2" width="13.42578125" style="212" customWidth="1"/>
    <col min="3" max="3" width="15.5703125" style="212" customWidth="1"/>
    <col min="4" max="4" width="14.7109375" style="212" customWidth="1"/>
    <col min="5" max="5" width="18.85546875" style="212" customWidth="1"/>
    <col min="6" max="7" width="12.140625" style="212" customWidth="1"/>
    <col min="8" max="8" width="14" style="212" customWidth="1"/>
    <col min="9" max="9" width="9.140625" style="212"/>
    <col min="10" max="10" width="11.140625" style="212" customWidth="1"/>
    <col min="11" max="11" width="9.140625" style="212"/>
    <col min="12" max="12" width="12.28515625" style="212" customWidth="1"/>
    <col min="13" max="13" width="9.140625" style="212"/>
    <col min="14" max="14" width="11.42578125" style="212" customWidth="1"/>
    <col min="15" max="15" width="9.140625" style="212"/>
    <col min="16" max="16" width="11.42578125" style="212" customWidth="1"/>
    <col min="17" max="17" width="9.140625" style="212"/>
    <col min="18" max="18" width="12" style="212" customWidth="1"/>
    <col min="19" max="19" width="12.85546875" style="212" customWidth="1"/>
    <col min="20" max="16384" width="9.140625" style="212"/>
  </cols>
  <sheetData>
    <row r="1" spans="2:19" ht="18.75" thickBot="1" x14ac:dyDescent="0.3">
      <c r="B1" s="744" t="s">
        <v>419</v>
      </c>
      <c r="C1" s="745"/>
      <c r="D1" s="745"/>
      <c r="E1" s="745"/>
      <c r="F1" s="745"/>
      <c r="G1" s="745"/>
      <c r="H1" s="745"/>
      <c r="I1" s="745"/>
      <c r="J1" s="745"/>
      <c r="K1" s="745"/>
      <c r="L1" s="745"/>
      <c r="M1" s="745"/>
      <c r="N1" s="745"/>
      <c r="O1" s="745"/>
      <c r="P1" s="745"/>
      <c r="Q1" s="745"/>
      <c r="R1" s="745"/>
      <c r="S1" s="746"/>
    </row>
    <row r="2" spans="2:19" ht="22.5" customHeight="1" x14ac:dyDescent="0.2">
      <c r="B2" s="716" t="s">
        <v>227</v>
      </c>
      <c r="C2" s="717"/>
      <c r="D2" s="717"/>
      <c r="E2" s="717"/>
      <c r="F2" s="718"/>
      <c r="G2" s="377" t="s">
        <v>6</v>
      </c>
      <c r="H2" s="379" t="s">
        <v>334</v>
      </c>
      <c r="I2" s="760" t="s">
        <v>228</v>
      </c>
      <c r="J2" s="718"/>
      <c r="K2" s="716" t="s">
        <v>229</v>
      </c>
      <c r="L2" s="718"/>
      <c r="M2" s="716" t="s">
        <v>230</v>
      </c>
      <c r="N2" s="718"/>
      <c r="O2" s="760" t="s">
        <v>231</v>
      </c>
      <c r="P2" s="717"/>
      <c r="Q2" s="716" t="s">
        <v>232</v>
      </c>
      <c r="R2" s="758"/>
      <c r="S2" s="753" t="s">
        <v>206</v>
      </c>
    </row>
    <row r="3" spans="2:19" ht="15" customHeight="1" x14ac:dyDescent="0.2">
      <c r="B3" s="719" t="s">
        <v>203</v>
      </c>
      <c r="C3" s="720"/>
      <c r="D3" s="720"/>
      <c r="E3" s="720"/>
      <c r="F3" s="721"/>
      <c r="G3" s="378"/>
      <c r="H3" s="380"/>
      <c r="I3" s="761"/>
      <c r="J3" s="721"/>
      <c r="K3" s="719"/>
      <c r="L3" s="721"/>
      <c r="M3" s="719"/>
      <c r="N3" s="721"/>
      <c r="O3" s="761"/>
      <c r="P3" s="720"/>
      <c r="Q3" s="719"/>
      <c r="R3" s="759"/>
      <c r="S3" s="754"/>
    </row>
    <row r="4" spans="2:19" ht="34.5" thickBot="1" x14ac:dyDescent="0.25">
      <c r="B4" s="257" t="s">
        <v>197</v>
      </c>
      <c r="C4" s="239" t="s">
        <v>198</v>
      </c>
      <c r="D4" s="240" t="s">
        <v>241</v>
      </c>
      <c r="E4" s="240" t="s">
        <v>205</v>
      </c>
      <c r="F4" s="254" t="s">
        <v>239</v>
      </c>
      <c r="G4" s="249"/>
      <c r="H4" s="381" t="s">
        <v>205</v>
      </c>
      <c r="I4" s="251" t="s">
        <v>241</v>
      </c>
      <c r="J4" s="254" t="s">
        <v>239</v>
      </c>
      <c r="K4" s="253" t="s">
        <v>241</v>
      </c>
      <c r="L4" s="254" t="s">
        <v>239</v>
      </c>
      <c r="M4" s="253" t="s">
        <v>241</v>
      </c>
      <c r="N4" s="254" t="s">
        <v>239</v>
      </c>
      <c r="O4" s="251" t="s">
        <v>241</v>
      </c>
      <c r="P4" s="240" t="s">
        <v>239</v>
      </c>
      <c r="Q4" s="253" t="s">
        <v>204</v>
      </c>
      <c r="R4" s="249" t="s">
        <v>239</v>
      </c>
      <c r="S4" s="754"/>
    </row>
    <row r="5" spans="2:19" ht="25.5" x14ac:dyDescent="0.2">
      <c r="B5" s="723" t="s">
        <v>237</v>
      </c>
      <c r="C5" s="238" t="s">
        <v>202</v>
      </c>
      <c r="D5" s="237">
        <v>2424.31</v>
      </c>
      <c r="E5" s="238">
        <v>800</v>
      </c>
      <c r="F5" s="258">
        <f>D5/E5</f>
        <v>3.0303874999999998</v>
      </c>
      <c r="G5" s="250"/>
      <c r="H5" s="375">
        <f>1/(($F$14+$G$14+1+4+10)*E5)</f>
        <v>4.4642857142857143E-5</v>
      </c>
      <c r="I5" s="252">
        <v>234.85</v>
      </c>
      <c r="J5" s="256">
        <f>I5/E5</f>
        <v>0.2935625</v>
      </c>
      <c r="K5" s="255">
        <v>215</v>
      </c>
      <c r="L5" s="256">
        <f>K5/$E5</f>
        <v>0.26874999999999999</v>
      </c>
      <c r="M5" s="255">
        <v>162</v>
      </c>
      <c r="N5" s="256">
        <f>M5/$E5</f>
        <v>0.20250000000000001</v>
      </c>
      <c r="O5" s="252">
        <v>153.75</v>
      </c>
      <c r="P5" s="256">
        <f>O5/$E5</f>
        <v>0.19218750000000001</v>
      </c>
      <c r="Q5" s="255">
        <v>200</v>
      </c>
      <c r="R5" s="269">
        <f>Q5/$E5</f>
        <v>0.25</v>
      </c>
      <c r="S5" s="273" t="s">
        <v>242</v>
      </c>
    </row>
    <row r="6" spans="2:19" ht="25.5" x14ac:dyDescent="0.2">
      <c r="B6" s="724"/>
      <c r="C6" s="238" t="s">
        <v>234</v>
      </c>
      <c r="D6" s="237">
        <v>217.64</v>
      </c>
      <c r="E6" s="238">
        <v>800</v>
      </c>
      <c r="F6" s="258">
        <f>D6/E6</f>
        <v>0.27204999999999996</v>
      </c>
      <c r="G6" s="250"/>
      <c r="H6" s="375">
        <f>1/(($F$14+$G$14+1+4+10)*E6)</f>
        <v>4.4642857142857143E-5</v>
      </c>
      <c r="I6" s="252">
        <v>0</v>
      </c>
      <c r="J6" s="256">
        <f>I6/E6</f>
        <v>0</v>
      </c>
      <c r="K6" s="255">
        <v>0</v>
      </c>
      <c r="L6" s="256">
        <f t="shared" ref="L6:N12" si="0">K6/$E6</f>
        <v>0</v>
      </c>
      <c r="M6" s="255">
        <v>0</v>
      </c>
      <c r="N6" s="256">
        <f t="shared" si="0"/>
        <v>0</v>
      </c>
      <c r="O6" s="252">
        <v>0</v>
      </c>
      <c r="P6" s="256">
        <f t="shared" ref="P6" si="1">O6/$E6</f>
        <v>0</v>
      </c>
      <c r="Q6" s="255">
        <v>0</v>
      </c>
      <c r="R6" s="269">
        <f t="shared" ref="R6" si="2">Q6/$E6</f>
        <v>0</v>
      </c>
      <c r="S6" s="271" t="s">
        <v>242</v>
      </c>
    </row>
    <row r="7" spans="2:19" ht="38.25" x14ac:dyDescent="0.2">
      <c r="B7" s="722" t="s">
        <v>238</v>
      </c>
      <c r="C7" s="236" t="s">
        <v>199</v>
      </c>
      <c r="D7" s="725">
        <v>15969.21</v>
      </c>
      <c r="E7" s="732">
        <v>1800</v>
      </c>
      <c r="F7" s="729">
        <f>D7/E7</f>
        <v>8.8717833333333331</v>
      </c>
      <c r="G7" s="333"/>
      <c r="H7" s="755">
        <f>1/(($F$14+$G$14+1+4+10)*E7)</f>
        <v>1.9841269841269841E-5</v>
      </c>
      <c r="I7" s="741">
        <v>0</v>
      </c>
      <c r="J7" s="729">
        <f>I7/E7</f>
        <v>0</v>
      </c>
      <c r="K7" s="738">
        <v>0</v>
      </c>
      <c r="L7" s="729">
        <f>K7/$E7</f>
        <v>0</v>
      </c>
      <c r="M7" s="738">
        <v>0</v>
      </c>
      <c r="N7" s="729">
        <f>M7/$E7</f>
        <v>0</v>
      </c>
      <c r="O7" s="741">
        <v>38.89</v>
      </c>
      <c r="P7" s="729">
        <f>O7/$E7</f>
        <v>2.1605555555555555E-2</v>
      </c>
      <c r="Q7" s="738">
        <v>0</v>
      </c>
      <c r="R7" s="747">
        <f>Q7/$E7</f>
        <v>0</v>
      </c>
      <c r="S7" s="271" t="s">
        <v>242</v>
      </c>
    </row>
    <row r="8" spans="2:19" ht="38.25" x14ac:dyDescent="0.2">
      <c r="B8" s="722"/>
      <c r="C8" s="236" t="s">
        <v>200</v>
      </c>
      <c r="D8" s="726"/>
      <c r="E8" s="733"/>
      <c r="F8" s="730"/>
      <c r="G8" s="334"/>
      <c r="H8" s="756"/>
      <c r="I8" s="742"/>
      <c r="J8" s="730"/>
      <c r="K8" s="739"/>
      <c r="L8" s="730"/>
      <c r="M8" s="739"/>
      <c r="N8" s="730"/>
      <c r="O8" s="742"/>
      <c r="P8" s="730"/>
      <c r="Q8" s="739"/>
      <c r="R8" s="748"/>
      <c r="S8" s="271" t="s">
        <v>242</v>
      </c>
    </row>
    <row r="9" spans="2:19" ht="25.5" x14ac:dyDescent="0.2">
      <c r="B9" s="722"/>
      <c r="C9" s="236" t="s">
        <v>201</v>
      </c>
      <c r="D9" s="727"/>
      <c r="E9" s="734"/>
      <c r="F9" s="731"/>
      <c r="G9" s="335"/>
      <c r="H9" s="757"/>
      <c r="I9" s="743"/>
      <c r="J9" s="731"/>
      <c r="K9" s="740"/>
      <c r="L9" s="731"/>
      <c r="M9" s="740"/>
      <c r="N9" s="731"/>
      <c r="O9" s="743"/>
      <c r="P9" s="731"/>
      <c r="Q9" s="740"/>
      <c r="R9" s="749"/>
      <c r="S9" s="271" t="s">
        <v>242</v>
      </c>
    </row>
    <row r="10" spans="2:19" ht="51" x14ac:dyDescent="0.2">
      <c r="B10" s="750" t="s">
        <v>233</v>
      </c>
      <c r="C10" s="236" t="s">
        <v>235</v>
      </c>
      <c r="D10" s="237">
        <v>1027.19</v>
      </c>
      <c r="E10" s="238">
        <v>300</v>
      </c>
      <c r="F10" s="258">
        <f>D10/E10*(16/188.76)</f>
        <v>0.29022815568270116</v>
      </c>
      <c r="G10" s="250"/>
      <c r="H10" s="375">
        <f t="shared" ref="H10:H12" si="3">1/(($F$14+$G$14+1+4+10)*E10)</f>
        <v>1.1904761904761905E-4</v>
      </c>
      <c r="I10" s="252">
        <v>2</v>
      </c>
      <c r="J10" s="256">
        <f>I10/E10*(16/188.76)</f>
        <v>5.6509147418238334E-4</v>
      </c>
      <c r="K10" s="255">
        <v>9</v>
      </c>
      <c r="L10" s="256">
        <f>K10/$E10*(16/188.76)</f>
        <v>2.5429116338207248E-3</v>
      </c>
      <c r="M10" s="255">
        <v>54.31</v>
      </c>
      <c r="N10" s="256">
        <f>M10/$E10*(16/188.76)</f>
        <v>1.534505898142262E-2</v>
      </c>
      <c r="O10" s="252">
        <v>0</v>
      </c>
      <c r="P10" s="256">
        <f>O10/$E10*(16/188.76)</f>
        <v>0</v>
      </c>
      <c r="Q10" s="255">
        <v>28</v>
      </c>
      <c r="R10" s="269">
        <f>Q10/$E10*(16/188.76)</f>
        <v>7.9112806385533679E-3</v>
      </c>
      <c r="S10" s="271" t="s">
        <v>242</v>
      </c>
    </row>
    <row r="11" spans="2:19" ht="51" x14ac:dyDescent="0.2">
      <c r="B11" s="751"/>
      <c r="C11" s="236" t="s">
        <v>236</v>
      </c>
      <c r="D11" s="237">
        <v>535.29999999999995</v>
      </c>
      <c r="E11" s="238">
        <v>130</v>
      </c>
      <c r="F11" s="258">
        <f>D11/E11*(8/1132.6)</f>
        <v>2.9084882978578898E-2</v>
      </c>
      <c r="G11" s="250"/>
      <c r="H11" s="375">
        <f t="shared" si="3"/>
        <v>2.7472527472527473E-4</v>
      </c>
      <c r="I11" s="252">
        <v>0</v>
      </c>
      <c r="J11" s="256">
        <f>I11/E11*(8/1132.6)</f>
        <v>0</v>
      </c>
      <c r="K11" s="255">
        <v>0</v>
      </c>
      <c r="L11" s="256">
        <f>K11/$E11*(8/1132.6)</f>
        <v>0</v>
      </c>
      <c r="M11" s="255">
        <v>0</v>
      </c>
      <c r="N11" s="256">
        <f>M11/$E11*(8/1132.6)</f>
        <v>0</v>
      </c>
      <c r="O11" s="252">
        <v>0</v>
      </c>
      <c r="P11" s="256">
        <f>O11/$E11*(8/1132.6)</f>
        <v>0</v>
      </c>
      <c r="Q11" s="255">
        <v>0</v>
      </c>
      <c r="R11" s="269">
        <f>Q11/$E11*(8/1132.6)</f>
        <v>0</v>
      </c>
      <c r="S11" s="271" t="s">
        <v>242</v>
      </c>
    </row>
    <row r="12" spans="2:19" ht="25.5" x14ac:dyDescent="0.2">
      <c r="B12" s="752"/>
      <c r="C12" s="236" t="s">
        <v>240</v>
      </c>
      <c r="D12" s="237">
        <v>0</v>
      </c>
      <c r="E12" s="238">
        <v>130</v>
      </c>
      <c r="F12" s="258">
        <f>D12/E12</f>
        <v>0</v>
      </c>
      <c r="G12" s="250"/>
      <c r="H12" s="375">
        <f t="shared" si="3"/>
        <v>2.7472527472527473E-4</v>
      </c>
      <c r="I12" s="252">
        <v>0</v>
      </c>
      <c r="J12" s="256">
        <f>I12/E12</f>
        <v>0</v>
      </c>
      <c r="K12" s="255">
        <v>0</v>
      </c>
      <c r="L12" s="256">
        <f t="shared" si="0"/>
        <v>0</v>
      </c>
      <c r="M12" s="255">
        <v>0</v>
      </c>
      <c r="N12" s="256">
        <f t="shared" si="0"/>
        <v>0</v>
      </c>
      <c r="O12" s="252">
        <v>0</v>
      </c>
      <c r="P12" s="256">
        <f t="shared" ref="P12" si="4">O12/$E12</f>
        <v>0</v>
      </c>
      <c r="Q12" s="255">
        <v>0</v>
      </c>
      <c r="R12" s="269">
        <f t="shared" ref="R12" si="5">Q12/$E12</f>
        <v>0</v>
      </c>
      <c r="S12" s="271" t="s">
        <v>242</v>
      </c>
    </row>
    <row r="13" spans="2:19" ht="33.75" customHeight="1" thickBot="1" x14ac:dyDescent="0.25">
      <c r="B13" s="264"/>
      <c r="C13" s="265"/>
      <c r="D13" s="266">
        <f>SUM(D5:D12)</f>
        <v>20173.649999999998</v>
      </c>
      <c r="E13" s="265"/>
      <c r="F13" s="267">
        <f>ROUND(F7+F8+F9+F5+F6+F10+F11+F12,0)</f>
        <v>12</v>
      </c>
      <c r="G13" s="336"/>
      <c r="H13" s="376"/>
      <c r="I13" s="374">
        <f>SUM(I5:I12)</f>
        <v>236.85</v>
      </c>
      <c r="J13" s="268">
        <f>ROUNDUP(SUM(J3:J12),0)</f>
        <v>1</v>
      </c>
      <c r="K13" s="382">
        <f>SUM(K5:K12)</f>
        <v>224</v>
      </c>
      <c r="L13" s="268">
        <f>ROUNDUP(SUM(L3:L12),0)</f>
        <v>1</v>
      </c>
      <c r="M13" s="382">
        <f>SUM(M5:M12)</f>
        <v>216.31</v>
      </c>
      <c r="N13" s="268">
        <f>ROUNDUP(SUM(N3:N12),0)</f>
        <v>1</v>
      </c>
      <c r="O13" s="374">
        <f>SUM(O5:O12)</f>
        <v>192.64</v>
      </c>
      <c r="P13" s="268">
        <f>ROUNDUP(SUM(P3:P12),0)</f>
        <v>1</v>
      </c>
      <c r="Q13" s="266">
        <f>SUM(Q5:Q12)</f>
        <v>228</v>
      </c>
      <c r="R13" s="270">
        <f>ROUNDUP(SUM(R3:R12),0)</f>
        <v>1</v>
      </c>
      <c r="S13" s="272" t="s">
        <v>242</v>
      </c>
    </row>
    <row r="14" spans="2:19" ht="12.75" customHeight="1" x14ac:dyDescent="0.2">
      <c r="B14" s="735" t="s">
        <v>360</v>
      </c>
      <c r="C14" s="736"/>
      <c r="D14" s="736"/>
      <c r="E14" s="737"/>
      <c r="F14" s="260">
        <f>SUM(F13:F13)</f>
        <v>12</v>
      </c>
      <c r="G14" s="260">
        <v>1</v>
      </c>
      <c r="H14" s="260">
        <v>1</v>
      </c>
      <c r="I14" s="261"/>
      <c r="J14" s="260">
        <f>J13</f>
        <v>1</v>
      </c>
      <c r="K14" s="261"/>
      <c r="L14" s="260">
        <f>L13</f>
        <v>1</v>
      </c>
      <c r="M14" s="261"/>
      <c r="N14" s="260">
        <f>N13</f>
        <v>1</v>
      </c>
      <c r="O14" s="261"/>
      <c r="P14" s="260">
        <f>P13</f>
        <v>1</v>
      </c>
      <c r="Q14" s="261"/>
      <c r="R14" s="262">
        <f>R13</f>
        <v>1</v>
      </c>
      <c r="S14" s="263">
        <f>SUM(F14,J14,L14,N14,P14,R14)</f>
        <v>17</v>
      </c>
    </row>
    <row r="15" spans="2:19" ht="13.5" thickBot="1" x14ac:dyDescent="0.25">
      <c r="B15" s="713"/>
      <c r="C15" s="714"/>
      <c r="D15" s="714"/>
      <c r="E15" s="714"/>
      <c r="F15" s="715"/>
      <c r="G15" s="337"/>
      <c r="H15" s="337"/>
      <c r="I15" s="713"/>
      <c r="J15" s="715"/>
      <c r="K15" s="713"/>
      <c r="L15" s="714"/>
      <c r="M15" s="713"/>
      <c r="N15" s="714"/>
      <c r="O15" s="713"/>
      <c r="P15" s="714"/>
      <c r="Q15" s="713"/>
      <c r="R15" s="728"/>
      <c r="S15" s="259" t="s">
        <v>47</v>
      </c>
    </row>
  </sheetData>
  <mergeCells count="38">
    <mergeCell ref="B1:S1"/>
    <mergeCell ref="R7:R9"/>
    <mergeCell ref="B10:B12"/>
    <mergeCell ref="S2:S4"/>
    <mergeCell ref="H7:H9"/>
    <mergeCell ref="Q2:R2"/>
    <mergeCell ref="Q3:R3"/>
    <mergeCell ref="Q7:Q9"/>
    <mergeCell ref="M2:N2"/>
    <mergeCell ref="M3:N3"/>
    <mergeCell ref="O2:P2"/>
    <mergeCell ref="O3:P3"/>
    <mergeCell ref="K2:L2"/>
    <mergeCell ref="K3:L3"/>
    <mergeCell ref="I3:J3"/>
    <mergeCell ref="I2:J2"/>
    <mergeCell ref="Q15:R15"/>
    <mergeCell ref="F7:F9"/>
    <mergeCell ref="E7:E9"/>
    <mergeCell ref="B14:E14"/>
    <mergeCell ref="J7:J9"/>
    <mergeCell ref="L7:L9"/>
    <mergeCell ref="N7:N9"/>
    <mergeCell ref="P7:P9"/>
    <mergeCell ref="M7:M9"/>
    <mergeCell ref="M15:N15"/>
    <mergeCell ref="O7:O9"/>
    <mergeCell ref="O15:P15"/>
    <mergeCell ref="I15:J15"/>
    <mergeCell ref="K7:K9"/>
    <mergeCell ref="K15:L15"/>
    <mergeCell ref="I7:I9"/>
    <mergeCell ref="B15:F15"/>
    <mergeCell ref="B2:F2"/>
    <mergeCell ref="B3:F3"/>
    <mergeCell ref="B7:B9"/>
    <mergeCell ref="B5:B6"/>
    <mergeCell ref="D7:D9"/>
  </mergeCells>
  <pageMargins left="0.511811024" right="0.511811024" top="0.78740157499999996" bottom="0.78740157499999996" header="0.31496062000000002" footer="0.31496062000000002"/>
  <pageSetup paperSize="9" scale="60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A0578-BD73-4F4C-A8C2-3850CD0AEBB0}">
  <sheetPr codeName="Planilha11">
    <pageSetUpPr fitToPage="1"/>
  </sheetPr>
  <dimension ref="B1:L34"/>
  <sheetViews>
    <sheetView topLeftCell="A22" zoomScale="85" zoomScaleNormal="85" workbookViewId="0">
      <selection activeCell="B1" sqref="B1:J1"/>
    </sheetView>
  </sheetViews>
  <sheetFormatPr defaultRowHeight="12.75" x14ac:dyDescent="0.2"/>
  <cols>
    <col min="1" max="1" width="9.140625" style="212"/>
    <col min="2" max="3" width="15.85546875" style="212" customWidth="1"/>
    <col min="4" max="4" width="26.28515625" style="212" customWidth="1"/>
    <col min="5" max="5" width="28" style="212" customWidth="1"/>
    <col min="6" max="6" width="22.140625" style="212" customWidth="1"/>
    <col min="7" max="7" width="24.28515625" style="212" customWidth="1"/>
    <col min="8" max="8" width="25.5703125" style="212" customWidth="1"/>
    <col min="9" max="9" width="17.140625" style="212" customWidth="1"/>
    <col min="10" max="10" width="25.42578125" style="212" customWidth="1"/>
    <col min="11" max="11" width="9.140625" style="212"/>
    <col min="12" max="12" width="13" style="212" customWidth="1"/>
    <col min="13" max="13" width="8.7109375" style="212" customWidth="1"/>
    <col min="14" max="14" width="8.140625" style="212" customWidth="1"/>
    <col min="15" max="17" width="11.42578125" style="212" customWidth="1"/>
    <col min="18" max="18" width="14" style="212" customWidth="1"/>
    <col min="19" max="16384" width="9.140625" style="212"/>
  </cols>
  <sheetData>
    <row r="1" spans="2:11" ht="18" x14ac:dyDescent="0.25">
      <c r="B1" s="417" t="s">
        <v>416</v>
      </c>
      <c r="C1" s="417"/>
      <c r="D1" s="417"/>
      <c r="E1" s="417"/>
      <c r="F1" s="417"/>
      <c r="G1" s="417"/>
      <c r="H1" s="417"/>
      <c r="I1" s="417"/>
      <c r="J1" s="417"/>
    </row>
    <row r="2" spans="2:11" ht="27.75" customHeight="1" x14ac:dyDescent="0.2">
      <c r="B2" s="764" t="s">
        <v>237</v>
      </c>
      <c r="C2" s="764"/>
      <c r="D2" s="764"/>
      <c r="E2" s="764"/>
      <c r="F2" s="764"/>
      <c r="G2" s="764"/>
    </row>
    <row r="3" spans="2:11" ht="37.5" customHeight="1" x14ac:dyDescent="0.2">
      <c r="B3" s="213" t="s">
        <v>188</v>
      </c>
      <c r="C3" s="213" t="s">
        <v>189</v>
      </c>
      <c r="D3" s="213" t="s">
        <v>190</v>
      </c>
      <c r="E3" s="213" t="s">
        <v>191</v>
      </c>
      <c r="F3" s="213" t="s">
        <v>192</v>
      </c>
      <c r="G3" s="214" t="s">
        <v>378</v>
      </c>
    </row>
    <row r="4" spans="2:11" ht="28.5" customHeight="1" x14ac:dyDescent="0.2">
      <c r="B4" s="215">
        <v>800</v>
      </c>
      <c r="C4" s="216" t="s">
        <v>193</v>
      </c>
      <c r="D4" s="213">
        <f>1/B4</f>
        <v>1.25E-3</v>
      </c>
      <c r="E4" s="217">
        <f>'1 - Servente Sede'!K134</f>
        <v>0</v>
      </c>
      <c r="F4" s="218">
        <f>E4*D4</f>
        <v>0</v>
      </c>
      <c r="G4" s="218">
        <f>F4-4.44</f>
        <v>-4.4400000000000004</v>
      </c>
      <c r="J4" s="219"/>
      <c r="K4" s="220"/>
    </row>
    <row r="5" spans="2:11" ht="28.5" customHeight="1" x14ac:dyDescent="0.2">
      <c r="B5" s="247">
        <v>800</v>
      </c>
      <c r="C5" s="216" t="s">
        <v>334</v>
      </c>
      <c r="D5" s="222">
        <f>1/(('Quantitativo de pessoal'!F14)*'Valor do M² (IN 05) - Sede'!B5)</f>
        <v>1.0416666666666667E-4</v>
      </c>
      <c r="E5" s="217">
        <f>'3 - Encarregado'!K134</f>
        <v>0</v>
      </c>
      <c r="F5" s="218">
        <f>E5*D5</f>
        <v>0</v>
      </c>
      <c r="G5" s="218">
        <f>F5-0.17</f>
        <v>-0.17</v>
      </c>
      <c r="J5" s="219"/>
      <c r="K5" s="220"/>
    </row>
    <row r="6" spans="2:11" ht="28.5" customHeight="1" x14ac:dyDescent="0.2">
      <c r="B6" s="765" t="s">
        <v>47</v>
      </c>
      <c r="C6" s="766"/>
      <c r="D6" s="766"/>
      <c r="E6" s="767"/>
      <c r="F6" s="221">
        <f>SUM(F4:F5)</f>
        <v>0</v>
      </c>
      <c r="G6" s="218">
        <f>F6-4.62</f>
        <v>-4.62</v>
      </c>
    </row>
    <row r="7" spans="2:11" ht="28.5" customHeight="1" x14ac:dyDescent="0.2">
      <c r="B7" s="765" t="s">
        <v>238</v>
      </c>
      <c r="C7" s="766"/>
      <c r="D7" s="766"/>
      <c r="E7" s="766"/>
      <c r="F7" s="766"/>
      <c r="G7" s="767"/>
    </row>
    <row r="8" spans="2:11" ht="54.75" customHeight="1" x14ac:dyDescent="0.2">
      <c r="B8" s="222" t="s">
        <v>188</v>
      </c>
      <c r="C8" s="222" t="s">
        <v>189</v>
      </c>
      <c r="D8" s="222" t="s">
        <v>190</v>
      </c>
      <c r="E8" s="222" t="s">
        <v>191</v>
      </c>
      <c r="F8" s="222" t="s">
        <v>192</v>
      </c>
      <c r="G8" s="214" t="s">
        <v>378</v>
      </c>
    </row>
    <row r="9" spans="2:11" ht="36" customHeight="1" x14ac:dyDescent="0.2">
      <c r="B9" s="213">
        <v>1800</v>
      </c>
      <c r="C9" s="223" t="s">
        <v>193</v>
      </c>
      <c r="D9" s="222">
        <f>1/B9</f>
        <v>5.5555555555555556E-4</v>
      </c>
      <c r="E9" s="224">
        <f>'1 - Servente Sede'!K134</f>
        <v>0</v>
      </c>
      <c r="F9" s="218">
        <f>D9*E9</f>
        <v>0</v>
      </c>
      <c r="G9" s="214">
        <f>F9-1.97</f>
        <v>-1.97</v>
      </c>
    </row>
    <row r="10" spans="2:11" ht="36" customHeight="1" x14ac:dyDescent="0.2">
      <c r="B10" s="247">
        <v>1800</v>
      </c>
      <c r="C10" s="216" t="s">
        <v>334</v>
      </c>
      <c r="D10" s="222">
        <f>1/(('Quantitativo de pessoal'!F14)*'Valor do M² (IN 05) - Sede'!B10)</f>
        <v>4.6296296296296294E-5</v>
      </c>
      <c r="E10" s="224">
        <f>'3 - Encarregado'!K134</f>
        <v>0</v>
      </c>
      <c r="F10" s="218">
        <f>D10*E10</f>
        <v>0</v>
      </c>
      <c r="G10" s="214">
        <f>F10-0.08</f>
        <v>-0.08</v>
      </c>
    </row>
    <row r="11" spans="2:11" ht="41.25" customHeight="1" x14ac:dyDescent="0.2">
      <c r="B11" s="763" t="s">
        <v>47</v>
      </c>
      <c r="C11" s="763"/>
      <c r="D11" s="763"/>
      <c r="E11" s="763"/>
      <c r="F11" s="225">
        <f>SUM(F9:F9)</f>
        <v>0</v>
      </c>
      <c r="G11" s="214">
        <f>F11-2.05</f>
        <v>-2.0499999999999998</v>
      </c>
    </row>
    <row r="12" spans="2:11" ht="41.25" customHeight="1" x14ac:dyDescent="0.2">
      <c r="B12" s="226"/>
      <c r="C12" s="226"/>
      <c r="D12" s="226"/>
      <c r="E12" s="226"/>
      <c r="F12" s="227"/>
      <c r="G12" s="227"/>
    </row>
    <row r="13" spans="2:11" ht="28.5" customHeight="1" x14ac:dyDescent="0.2">
      <c r="B13" s="764" t="s">
        <v>382</v>
      </c>
      <c r="C13" s="764"/>
      <c r="D13" s="764"/>
      <c r="E13" s="764"/>
      <c r="F13" s="764"/>
      <c r="G13" s="764"/>
      <c r="H13" s="764"/>
      <c r="I13" s="764"/>
      <c r="J13" s="764"/>
    </row>
    <row r="14" spans="2:11" ht="53.25" customHeight="1" x14ac:dyDescent="0.2">
      <c r="B14" s="222" t="s">
        <v>188</v>
      </c>
      <c r="C14" s="222" t="s">
        <v>189</v>
      </c>
      <c r="D14" s="222" t="s">
        <v>190</v>
      </c>
      <c r="E14" s="228" t="s">
        <v>194</v>
      </c>
      <c r="F14" s="228" t="s">
        <v>195</v>
      </c>
      <c r="G14" s="228" t="s">
        <v>196</v>
      </c>
      <c r="H14" s="222" t="s">
        <v>391</v>
      </c>
      <c r="I14" s="228" t="s">
        <v>392</v>
      </c>
      <c r="J14" s="214" t="s">
        <v>378</v>
      </c>
    </row>
    <row r="15" spans="2:11" ht="23.25" customHeight="1" x14ac:dyDescent="0.2">
      <c r="B15" s="213">
        <v>300</v>
      </c>
      <c r="C15" s="223" t="s">
        <v>193</v>
      </c>
      <c r="D15" s="229">
        <f>1/B15</f>
        <v>3.3333333333333335E-3</v>
      </c>
      <c r="E15" s="218">
        <v>16</v>
      </c>
      <c r="F15" s="229">
        <f>1/188.76</f>
        <v>5.2977325704598437E-3</v>
      </c>
      <c r="G15" s="230">
        <f>D15*E15*F15</f>
        <v>2.8254573709119167E-4</v>
      </c>
      <c r="H15" s="224">
        <f>'1 - Servente Sede'!K134</f>
        <v>0</v>
      </c>
      <c r="I15" s="218">
        <f>G15*H15</f>
        <v>0</v>
      </c>
      <c r="J15" s="214">
        <f>I15-1</f>
        <v>-1</v>
      </c>
    </row>
    <row r="16" spans="2:11" ht="23.25" customHeight="1" x14ac:dyDescent="0.2">
      <c r="B16" s="247">
        <v>300</v>
      </c>
      <c r="C16" s="216" t="s">
        <v>334</v>
      </c>
      <c r="D16" s="222">
        <f>1/(('Quantitativo de pessoal'!F14)*'Valor do M² (IN 05) - Sede'!B16)</f>
        <v>2.7777777777777778E-4</v>
      </c>
      <c r="E16" s="218">
        <v>16</v>
      </c>
      <c r="F16" s="229">
        <f>1/188.76</f>
        <v>5.2977325704598437E-3</v>
      </c>
      <c r="G16" s="230">
        <f>D16*E16*F16</f>
        <v>2.3545478090932639E-5</v>
      </c>
      <c r="H16" s="224">
        <f>'3 - Encarregado'!K134</f>
        <v>0</v>
      </c>
      <c r="I16" s="218">
        <f>G16*H16</f>
        <v>0</v>
      </c>
      <c r="J16" s="214">
        <f>I16-0.04</f>
        <v>-0.04</v>
      </c>
    </row>
    <row r="17" spans="2:12" ht="22.5" customHeight="1" x14ac:dyDescent="0.2">
      <c r="B17" s="763" t="s">
        <v>47</v>
      </c>
      <c r="C17" s="763"/>
      <c r="D17" s="763"/>
      <c r="E17" s="763"/>
      <c r="F17" s="763"/>
      <c r="G17" s="763"/>
      <c r="H17" s="763"/>
      <c r="I17" s="225">
        <f>SUM(I15:I16)</f>
        <v>0</v>
      </c>
      <c r="J17" s="214">
        <f>I17-1.04</f>
        <v>-1.04</v>
      </c>
    </row>
    <row r="18" spans="2:12" ht="24.75" customHeight="1" x14ac:dyDescent="0.2">
      <c r="B18" s="219"/>
      <c r="C18" s="231"/>
      <c r="D18" s="232"/>
      <c r="E18" s="227"/>
      <c r="F18" s="232"/>
      <c r="G18" s="233"/>
      <c r="H18" s="234"/>
      <c r="I18" s="227"/>
      <c r="J18" s="227"/>
    </row>
    <row r="19" spans="2:12" ht="33.75" customHeight="1" x14ac:dyDescent="0.2">
      <c r="B19" s="764" t="s">
        <v>381</v>
      </c>
      <c r="C19" s="764"/>
      <c r="D19" s="764"/>
      <c r="E19" s="764"/>
      <c r="F19" s="764"/>
      <c r="G19" s="764"/>
      <c r="H19" s="764"/>
      <c r="I19" s="764"/>
      <c r="J19" s="764"/>
    </row>
    <row r="20" spans="2:12" ht="40.5" customHeight="1" x14ac:dyDescent="0.2">
      <c r="B20" s="222" t="s">
        <v>188</v>
      </c>
      <c r="C20" s="222" t="s">
        <v>189</v>
      </c>
      <c r="D20" s="222" t="s">
        <v>190</v>
      </c>
      <c r="E20" s="228" t="s">
        <v>194</v>
      </c>
      <c r="F20" s="228" t="s">
        <v>195</v>
      </c>
      <c r="G20" s="228" t="s">
        <v>196</v>
      </c>
      <c r="H20" s="222" t="s">
        <v>191</v>
      </c>
      <c r="I20" s="228" t="s">
        <v>192</v>
      </c>
      <c r="J20" s="214" t="s">
        <v>378</v>
      </c>
    </row>
    <row r="21" spans="2:12" ht="31.5" customHeight="1" x14ac:dyDescent="0.2">
      <c r="B21" s="247">
        <v>130</v>
      </c>
      <c r="C21" s="223" t="s">
        <v>193</v>
      </c>
      <c r="D21" s="229">
        <f>1/B21</f>
        <v>7.6923076923076927E-3</v>
      </c>
      <c r="E21" s="218">
        <v>8</v>
      </c>
      <c r="F21" s="229">
        <f>1/1132.6</f>
        <v>8.8292424509977055E-4</v>
      </c>
      <c r="G21" s="230">
        <f>D21*E21*F21</f>
        <v>5.4333799698447419E-5</v>
      </c>
      <c r="H21" s="224">
        <f>'1 - Servente Sede'!K134</f>
        <v>0</v>
      </c>
      <c r="I21" s="218">
        <f>G21*H21</f>
        <v>0</v>
      </c>
      <c r="J21" s="214">
        <f>I21-0.19</f>
        <v>-0.19</v>
      </c>
    </row>
    <row r="22" spans="2:12" ht="31.5" customHeight="1" x14ac:dyDescent="0.2">
      <c r="B22" s="247">
        <v>130</v>
      </c>
      <c r="C22" s="216" t="s">
        <v>334</v>
      </c>
      <c r="D22" s="222">
        <f>1/(('Quantitativo de pessoal'!F14)*'Valor do M² (IN 05) - Sede'!B22)</f>
        <v>6.4102564102564103E-4</v>
      </c>
      <c r="E22" s="218">
        <v>8</v>
      </c>
      <c r="F22" s="229">
        <f>1/1132.6</f>
        <v>8.8292424509977055E-4</v>
      </c>
      <c r="G22" s="230">
        <f>D22*E22*F22</f>
        <v>4.5278166415372846E-6</v>
      </c>
      <c r="H22" s="224">
        <f>'3 - Encarregado'!K134</f>
        <v>0</v>
      </c>
      <c r="I22" s="218">
        <f>G22*H22</f>
        <v>0</v>
      </c>
      <c r="J22" s="214">
        <f>I22-0.06</f>
        <v>-0.06</v>
      </c>
    </row>
    <row r="23" spans="2:12" ht="31.5" customHeight="1" x14ac:dyDescent="0.2">
      <c r="B23" s="763" t="s">
        <v>47</v>
      </c>
      <c r="C23" s="763"/>
      <c r="D23" s="763"/>
      <c r="E23" s="763"/>
      <c r="F23" s="763"/>
      <c r="G23" s="763"/>
      <c r="H23" s="763"/>
      <c r="I23" s="225">
        <f>SUM(I21:I22)</f>
        <v>0</v>
      </c>
      <c r="J23" s="214">
        <f>I23-0.25</f>
        <v>-0.25</v>
      </c>
    </row>
    <row r="25" spans="2:12" x14ac:dyDescent="0.2">
      <c r="B25" s="762" t="s">
        <v>393</v>
      </c>
      <c r="C25" s="762"/>
      <c r="D25" s="762"/>
      <c r="E25" s="762"/>
      <c r="F25" s="762"/>
      <c r="G25" s="762"/>
      <c r="H25" s="762"/>
    </row>
    <row r="26" spans="2:12" ht="15" x14ac:dyDescent="0.25">
      <c r="B26" s="247"/>
      <c r="C26" s="235" t="s">
        <v>227</v>
      </c>
      <c r="D26" s="235" t="s">
        <v>228</v>
      </c>
      <c r="E26" s="235" t="s">
        <v>229</v>
      </c>
      <c r="F26" s="235" t="s">
        <v>230</v>
      </c>
      <c r="G26" s="235" t="s">
        <v>231</v>
      </c>
      <c r="H26" s="235" t="s">
        <v>232</v>
      </c>
      <c r="I26"/>
      <c r="J26"/>
      <c r="K26"/>
      <c r="L26"/>
    </row>
    <row r="27" spans="2:12" ht="15" x14ac:dyDescent="0.25">
      <c r="B27" s="247"/>
      <c r="C27" s="247"/>
      <c r="D27" s="228" t="s">
        <v>386</v>
      </c>
      <c r="E27" s="228" t="s">
        <v>386</v>
      </c>
      <c r="F27" s="228" t="s">
        <v>386</v>
      </c>
      <c r="G27" s="228" t="s">
        <v>386</v>
      </c>
      <c r="H27" s="228" t="s">
        <v>386</v>
      </c>
      <c r="I27"/>
      <c r="J27"/>
      <c r="K27"/>
      <c r="L27"/>
    </row>
    <row r="28" spans="2:12" x14ac:dyDescent="0.2">
      <c r="B28" s="241" t="str">
        <f>B2</f>
        <v>Área interna</v>
      </c>
      <c r="C28" s="218">
        <f>F6</f>
        <v>0</v>
      </c>
      <c r="D28" s="218">
        <f>$D$4*'6 - Servente Porto do Recife'!$K$134</f>
        <v>0</v>
      </c>
      <c r="E28" s="218">
        <f>$D$4*'5 - Servente Aeroporto Recife'!$K$134</f>
        <v>0</v>
      </c>
      <c r="F28" s="218">
        <f>$D$4*'4 - Servente Porto de SUAPE'!$K$134</f>
        <v>0</v>
      </c>
      <c r="G28" s="218">
        <f>$D$4*'8 - Servente Garanhuns'!$K$134</f>
        <v>0</v>
      </c>
      <c r="H28" s="218">
        <f>$D$4*'7 - Servente Petrolina'!$K$134</f>
        <v>0</v>
      </c>
    </row>
    <row r="29" spans="2:12" x14ac:dyDescent="0.2">
      <c r="B29" s="241" t="str">
        <f>B7</f>
        <v>Área externa</v>
      </c>
      <c r="C29" s="218">
        <f>F11</f>
        <v>0</v>
      </c>
      <c r="D29" s="218">
        <f>D9*'6 - Servente Porto do Recife'!$K$134</f>
        <v>0</v>
      </c>
      <c r="E29" s="218">
        <f>D9*'5 - Servente Aeroporto Recife'!$K$134</f>
        <v>0</v>
      </c>
      <c r="F29" s="218">
        <f>D9*'4 - Servente Porto de SUAPE'!$K$134</f>
        <v>0</v>
      </c>
      <c r="G29" s="218">
        <f>D9*'8 - Servente Garanhuns'!$K$134</f>
        <v>0</v>
      </c>
      <c r="H29" s="218">
        <f>D9*'7 - Servente Petrolina'!$K$134</f>
        <v>0</v>
      </c>
    </row>
    <row r="30" spans="2:12" ht="51" x14ac:dyDescent="0.2">
      <c r="B30" s="241" t="str">
        <f>B13</f>
        <v>Esquadria Interna e Externa Sem Exposição a Risco</v>
      </c>
      <c r="C30" s="218">
        <f>I17</f>
        <v>0</v>
      </c>
      <c r="D30" s="218">
        <f>G15*'6 - Servente Porto do Recife'!$K$134</f>
        <v>0</v>
      </c>
      <c r="E30" s="218">
        <f>G15*'5 - Servente Aeroporto Recife'!$K$134</f>
        <v>0</v>
      </c>
      <c r="F30" s="218">
        <f>G15*'4 - Servente Porto de SUAPE'!$K$134</f>
        <v>0</v>
      </c>
      <c r="G30" s="218">
        <f>G15*'8 - Servente Garanhuns'!$K$134</f>
        <v>0</v>
      </c>
      <c r="H30" s="218">
        <f>G15*'7 - Servente Petrolina'!$K$134</f>
        <v>0</v>
      </c>
    </row>
    <row r="31" spans="2:12" ht="51" x14ac:dyDescent="0.2">
      <c r="B31" s="241" t="str">
        <f>B19</f>
        <v>Esquadria Externa Com Exposição a Risco</v>
      </c>
      <c r="C31" s="218">
        <f>I23</f>
        <v>0</v>
      </c>
      <c r="D31" s="218">
        <f>G21*'6 - Servente Porto do Recife'!$K$134</f>
        <v>0</v>
      </c>
      <c r="E31" s="218">
        <f>G21*'5 - Servente Aeroporto Recife'!$K$134</f>
        <v>0</v>
      </c>
      <c r="F31" s="218">
        <f>G21*'4 - Servente Porto de SUAPE'!$K$134</f>
        <v>0</v>
      </c>
      <c r="G31" s="218">
        <f>G21*'8 - Servente Garanhuns'!$K$134</f>
        <v>0</v>
      </c>
      <c r="H31" s="218">
        <f>G21*'7 - Servente Petrolina'!$K$134</f>
        <v>0</v>
      </c>
    </row>
    <row r="32" spans="2:12" x14ac:dyDescent="0.2">
      <c r="B32" s="247" t="s">
        <v>47</v>
      </c>
      <c r="C32" s="218">
        <f>ROUND(SUM(C28:C31),2)</f>
        <v>0</v>
      </c>
      <c r="D32" s="218">
        <f t="shared" ref="D32:H32" si="0">ROUND(SUM(D28:D31),2)</f>
        <v>0</v>
      </c>
      <c r="E32" s="218">
        <f t="shared" si="0"/>
        <v>0</v>
      </c>
      <c r="F32" s="218">
        <f t="shared" si="0"/>
        <v>0</v>
      </c>
      <c r="G32" s="218">
        <f t="shared" si="0"/>
        <v>0</v>
      </c>
      <c r="H32" s="218">
        <f t="shared" si="0"/>
        <v>0</v>
      </c>
    </row>
    <row r="34" spans="4:4" x14ac:dyDescent="0.2">
      <c r="D34" s="405"/>
    </row>
  </sheetData>
  <mergeCells count="10">
    <mergeCell ref="B1:J1"/>
    <mergeCell ref="B25:H25"/>
    <mergeCell ref="B23:H23"/>
    <mergeCell ref="B2:G2"/>
    <mergeCell ref="B6:E6"/>
    <mergeCell ref="B7:G7"/>
    <mergeCell ref="B11:E11"/>
    <mergeCell ref="B13:J13"/>
    <mergeCell ref="B17:H17"/>
    <mergeCell ref="B19:J19"/>
  </mergeCells>
  <pageMargins left="0.25" right="0.25" top="0.75" bottom="0.75" header="0.3" footer="0.3"/>
  <pageSetup paperSize="9" scale="47" firstPageNumber="0" fitToHeight="0" orientation="portrait" r:id="rId1"/>
  <headerFooter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D62E11-5D17-4911-8728-A62B043D693D}">
  <sheetPr>
    <pageSetUpPr fitToPage="1"/>
  </sheetPr>
  <dimension ref="A1:K73"/>
  <sheetViews>
    <sheetView topLeftCell="A52" workbookViewId="0">
      <selection activeCell="B1" sqref="B1:K1"/>
    </sheetView>
  </sheetViews>
  <sheetFormatPr defaultRowHeight="15" x14ac:dyDescent="0.25"/>
  <cols>
    <col min="3" max="3" width="12.85546875" customWidth="1"/>
    <col min="4" max="4" width="15.85546875" customWidth="1"/>
    <col min="7" max="7" width="11.85546875" customWidth="1"/>
    <col min="8" max="8" width="11.7109375" customWidth="1"/>
    <col min="9" max="9" width="9.140625" customWidth="1"/>
    <col min="10" max="10" width="15" customWidth="1"/>
    <col min="11" max="11" width="23.140625" customWidth="1"/>
  </cols>
  <sheetData>
    <row r="1" spans="1:11" ht="18" x14ac:dyDescent="0.25">
      <c r="A1" s="212"/>
      <c r="B1" s="793" t="s">
        <v>417</v>
      </c>
      <c r="C1" s="793"/>
      <c r="D1" s="793"/>
      <c r="E1" s="793"/>
      <c r="F1" s="793"/>
      <c r="G1" s="793"/>
      <c r="H1" s="793"/>
      <c r="I1" s="793"/>
      <c r="J1" s="793"/>
      <c r="K1" s="793"/>
    </row>
    <row r="2" spans="1:11" ht="15.75" x14ac:dyDescent="0.25">
      <c r="A2" s="212"/>
      <c r="B2" s="777" t="s">
        <v>227</v>
      </c>
      <c r="C2" s="777"/>
      <c r="D2" s="777"/>
      <c r="E2" s="777"/>
      <c r="F2" s="777"/>
      <c r="G2" s="777"/>
      <c r="H2" s="777"/>
      <c r="I2" s="777"/>
      <c r="J2" s="777"/>
      <c r="K2" s="777"/>
    </row>
    <row r="3" spans="1:11" ht="45" x14ac:dyDescent="0.25">
      <c r="A3" s="212"/>
      <c r="B3" s="242" t="s">
        <v>208</v>
      </c>
      <c r="C3" s="242" t="s">
        <v>209</v>
      </c>
      <c r="D3" s="243" t="s">
        <v>210</v>
      </c>
      <c r="E3" s="243" t="s">
        <v>399</v>
      </c>
      <c r="F3" s="243" t="s">
        <v>211</v>
      </c>
      <c r="G3" s="243" t="s">
        <v>212</v>
      </c>
      <c r="H3" s="243" t="s">
        <v>213</v>
      </c>
      <c r="I3" s="243" t="s">
        <v>214</v>
      </c>
      <c r="J3" s="243" t="s">
        <v>215</v>
      </c>
      <c r="K3" s="243" t="s">
        <v>216</v>
      </c>
    </row>
    <row r="4" spans="1:11" x14ac:dyDescent="0.25">
      <c r="A4" s="212"/>
      <c r="B4" s="784"/>
      <c r="C4" s="779" t="s">
        <v>380</v>
      </c>
      <c r="D4" s="247" t="s">
        <v>202</v>
      </c>
      <c r="E4" s="369">
        <v>2424.31</v>
      </c>
      <c r="F4" s="789">
        <v>800</v>
      </c>
      <c r="G4" s="791">
        <f>SUM(E4:E5)</f>
        <v>2641.95</v>
      </c>
      <c r="H4" s="791">
        <f>G4*12</f>
        <v>31703.399999999998</v>
      </c>
      <c r="I4" s="782">
        <f>'Valor do M² (IN 05) - Sede'!C28</f>
        <v>0</v>
      </c>
      <c r="J4" s="782">
        <f>I4*G4</f>
        <v>0</v>
      </c>
      <c r="K4" s="782">
        <f>J4*12</f>
        <v>0</v>
      </c>
    </row>
    <row r="5" spans="1:11" x14ac:dyDescent="0.25">
      <c r="A5" s="212"/>
      <c r="B5" s="785"/>
      <c r="C5" s="779"/>
      <c r="D5" s="247" t="s">
        <v>234</v>
      </c>
      <c r="E5" s="369">
        <v>217.64</v>
      </c>
      <c r="F5" s="790"/>
      <c r="G5" s="791"/>
      <c r="H5" s="791"/>
      <c r="I5" s="782"/>
      <c r="J5" s="782"/>
      <c r="K5" s="782"/>
    </row>
    <row r="6" spans="1:11" ht="38.25" x14ac:dyDescent="0.25">
      <c r="A6" s="212"/>
      <c r="B6" s="785"/>
      <c r="C6" s="778" t="s">
        <v>379</v>
      </c>
      <c r="D6" s="241" t="s">
        <v>199</v>
      </c>
      <c r="E6" s="771">
        <v>15969.21</v>
      </c>
      <c r="F6" s="774">
        <v>1800</v>
      </c>
      <c r="G6" s="768">
        <f>SUM(E6:E8)</f>
        <v>15969.21</v>
      </c>
      <c r="H6" s="768">
        <f>G6*12</f>
        <v>191630.52</v>
      </c>
      <c r="I6" s="781">
        <f>'Valor do M² (IN 05) - Sede'!F11</f>
        <v>0</v>
      </c>
      <c r="J6" s="781">
        <f>I6*G6</f>
        <v>0</v>
      </c>
      <c r="K6" s="781">
        <f>J6*12</f>
        <v>0</v>
      </c>
    </row>
    <row r="7" spans="1:11" ht="38.25" x14ac:dyDescent="0.25">
      <c r="A7" s="212"/>
      <c r="B7" s="785"/>
      <c r="C7" s="779"/>
      <c r="D7" s="241" t="s">
        <v>200</v>
      </c>
      <c r="E7" s="772"/>
      <c r="F7" s="775"/>
      <c r="G7" s="769"/>
      <c r="H7" s="769"/>
      <c r="I7" s="782"/>
      <c r="J7" s="782"/>
      <c r="K7" s="782"/>
    </row>
    <row r="8" spans="1:11" ht="27" customHeight="1" x14ac:dyDescent="0.25">
      <c r="A8" s="212"/>
      <c r="B8" s="785"/>
      <c r="C8" s="780"/>
      <c r="D8" s="241" t="s">
        <v>217</v>
      </c>
      <c r="E8" s="773"/>
      <c r="F8" s="776"/>
      <c r="G8" s="770"/>
      <c r="H8" s="770"/>
      <c r="I8" s="783"/>
      <c r="J8" s="783"/>
      <c r="K8" s="783"/>
    </row>
    <row r="9" spans="1:11" ht="63.75" customHeight="1" x14ac:dyDescent="0.25">
      <c r="A9" s="212"/>
      <c r="B9" s="785"/>
      <c r="C9" s="244" t="s">
        <v>382</v>
      </c>
      <c r="D9" s="241" t="s">
        <v>218</v>
      </c>
      <c r="E9" s="369">
        <v>1027.19</v>
      </c>
      <c r="F9" s="245">
        <v>300</v>
      </c>
      <c r="G9" s="370">
        <f>E9</f>
        <v>1027.19</v>
      </c>
      <c r="H9" s="370">
        <f>G9*12</f>
        <v>12326.28</v>
      </c>
      <c r="I9" s="246">
        <f>'Valor do M² (IN 05) - Sede'!I17</f>
        <v>0</v>
      </c>
      <c r="J9" s="246">
        <f>I9*G9</f>
        <v>0</v>
      </c>
      <c r="K9" s="246">
        <f>J9*12</f>
        <v>0</v>
      </c>
    </row>
    <row r="10" spans="1:11" ht="52.5" customHeight="1" x14ac:dyDescent="0.25">
      <c r="A10" s="212"/>
      <c r="B10" s="786"/>
      <c r="C10" s="244" t="s">
        <v>381</v>
      </c>
      <c r="D10" s="241" t="s">
        <v>218</v>
      </c>
      <c r="E10" s="369">
        <v>535.29999999999995</v>
      </c>
      <c r="F10" s="245">
        <v>130</v>
      </c>
      <c r="G10" s="370">
        <f>E10</f>
        <v>535.29999999999995</v>
      </c>
      <c r="H10" s="370">
        <f>G10*12</f>
        <v>6423.5999999999995</v>
      </c>
      <c r="I10" s="246">
        <f>'Valor do M² (IN 05) - Sede'!I23</f>
        <v>0</v>
      </c>
      <c r="J10" s="246">
        <f>I10*G10</f>
        <v>0</v>
      </c>
      <c r="K10" s="246">
        <f>J10*12</f>
        <v>0</v>
      </c>
    </row>
    <row r="11" spans="1:11" ht="30" customHeight="1" x14ac:dyDescent="0.25">
      <c r="A11" s="212"/>
      <c r="B11" s="787" t="s">
        <v>383</v>
      </c>
      <c r="C11" s="788"/>
      <c r="D11" s="788"/>
      <c r="E11" s="788"/>
      <c r="F11" s="788"/>
      <c r="G11" s="788"/>
      <c r="H11" s="788"/>
      <c r="I11" s="244" t="s">
        <v>47</v>
      </c>
      <c r="J11" s="383">
        <f>ROUND(SUM(J4:J10),2)</f>
        <v>0</v>
      </c>
      <c r="K11" s="386">
        <f>J11*12</f>
        <v>0</v>
      </c>
    </row>
    <row r="12" spans="1:11" ht="15" customHeight="1" x14ac:dyDescent="0.25">
      <c r="A12" s="212"/>
    </row>
    <row r="13" spans="1:11" ht="15" customHeight="1" x14ac:dyDescent="0.25">
      <c r="A13" s="212"/>
    </row>
    <row r="14" spans="1:11" ht="15" customHeight="1" x14ac:dyDescent="0.25">
      <c r="A14" s="212"/>
      <c r="B14" s="777" t="s">
        <v>384</v>
      </c>
      <c r="C14" s="777"/>
      <c r="D14" s="777"/>
      <c r="E14" s="777"/>
      <c r="F14" s="777"/>
      <c r="G14" s="777"/>
      <c r="H14" s="777"/>
      <c r="I14" s="777"/>
      <c r="J14" s="777"/>
      <c r="K14" s="777"/>
    </row>
    <row r="15" spans="1:11" ht="47.25" customHeight="1" x14ac:dyDescent="0.25">
      <c r="A15" s="212"/>
      <c r="B15" s="403" t="s">
        <v>208</v>
      </c>
      <c r="C15" s="242" t="s">
        <v>209</v>
      </c>
      <c r="D15" s="243" t="s">
        <v>210</v>
      </c>
      <c r="E15" s="243" t="s">
        <v>399</v>
      </c>
      <c r="F15" s="243" t="s">
        <v>211</v>
      </c>
      <c r="G15" s="243" t="s">
        <v>212</v>
      </c>
      <c r="H15" s="243" t="s">
        <v>213</v>
      </c>
      <c r="I15" s="243" t="s">
        <v>214</v>
      </c>
      <c r="J15" s="243" t="s">
        <v>215</v>
      </c>
      <c r="K15" s="243" t="s">
        <v>216</v>
      </c>
    </row>
    <row r="16" spans="1:11" ht="20.25" customHeight="1" x14ac:dyDescent="0.25">
      <c r="A16" s="212"/>
      <c r="B16" s="784"/>
      <c r="C16" s="792" t="s">
        <v>380</v>
      </c>
      <c r="D16" s="247" t="s">
        <v>202</v>
      </c>
      <c r="E16" s="255">
        <v>162</v>
      </c>
      <c r="F16" s="789">
        <v>800</v>
      </c>
      <c r="G16" s="789">
        <v>800</v>
      </c>
      <c r="H16" s="791">
        <f>G16*12</f>
        <v>9600</v>
      </c>
      <c r="I16" s="769">
        <f>'Valor do M² (IN 05) - Sede'!F28</f>
        <v>0</v>
      </c>
      <c r="J16" s="769">
        <f>I16*G16</f>
        <v>0</v>
      </c>
      <c r="K16" s="769">
        <f>J16*12</f>
        <v>0</v>
      </c>
    </row>
    <row r="17" spans="1:11" x14ac:dyDescent="0.25">
      <c r="A17" s="212"/>
      <c r="B17" s="785"/>
      <c r="C17" s="792"/>
      <c r="D17" s="247" t="s">
        <v>234</v>
      </c>
      <c r="E17" s="369">
        <v>0</v>
      </c>
      <c r="F17" s="790"/>
      <c r="G17" s="790"/>
      <c r="H17" s="791"/>
      <c r="I17" s="769"/>
      <c r="J17" s="769"/>
      <c r="K17" s="769"/>
    </row>
    <row r="18" spans="1:11" ht="38.25" x14ac:dyDescent="0.25">
      <c r="A18" s="212"/>
      <c r="B18" s="785"/>
      <c r="C18" s="778" t="s">
        <v>379</v>
      </c>
      <c r="D18" s="241" t="s">
        <v>199</v>
      </c>
      <c r="E18" s="771">
        <v>0</v>
      </c>
      <c r="F18" s="774">
        <v>1800</v>
      </c>
      <c r="G18" s="768">
        <f>SUM(E18:E20)</f>
        <v>0</v>
      </c>
      <c r="H18" s="768">
        <f>G18*12</f>
        <v>0</v>
      </c>
      <c r="I18" s="768">
        <f>'Valor do M² (IN 05) - Sede'!F29</f>
        <v>0</v>
      </c>
      <c r="J18" s="768">
        <f>I18*G18</f>
        <v>0</v>
      </c>
      <c r="K18" s="768">
        <f>J18*12</f>
        <v>0</v>
      </c>
    </row>
    <row r="19" spans="1:11" ht="46.5" customHeight="1" x14ac:dyDescent="0.25">
      <c r="A19" s="212"/>
      <c r="B19" s="785"/>
      <c r="C19" s="779"/>
      <c r="D19" s="241" t="s">
        <v>200</v>
      </c>
      <c r="E19" s="772"/>
      <c r="F19" s="775"/>
      <c r="G19" s="769"/>
      <c r="H19" s="769"/>
      <c r="I19" s="769"/>
      <c r="J19" s="769"/>
      <c r="K19" s="769"/>
    </row>
    <row r="20" spans="1:11" ht="25.5" x14ac:dyDescent="0.25">
      <c r="A20" s="212"/>
      <c r="B20" s="785"/>
      <c r="C20" s="780"/>
      <c r="D20" s="241" t="s">
        <v>217</v>
      </c>
      <c r="E20" s="773"/>
      <c r="F20" s="776"/>
      <c r="G20" s="770"/>
      <c r="H20" s="770"/>
      <c r="I20" s="770"/>
      <c r="J20" s="770"/>
      <c r="K20" s="770"/>
    </row>
    <row r="21" spans="1:11" ht="63.75" x14ac:dyDescent="0.25">
      <c r="A21" s="212"/>
      <c r="B21" s="785"/>
      <c r="C21" s="244" t="s">
        <v>382</v>
      </c>
      <c r="D21" s="241" t="s">
        <v>218</v>
      </c>
      <c r="E21" s="255">
        <v>54.31</v>
      </c>
      <c r="F21" s="245">
        <v>300</v>
      </c>
      <c r="G21" s="245">
        <v>300</v>
      </c>
      <c r="H21" s="370">
        <f>G21*12</f>
        <v>3600</v>
      </c>
      <c r="I21" s="372">
        <f>'Valor do M² (IN 05) - Sede'!F30</f>
        <v>0</v>
      </c>
      <c r="J21" s="372">
        <f>I21*G21</f>
        <v>0</v>
      </c>
      <c r="K21" s="372">
        <f>J21*12</f>
        <v>0</v>
      </c>
    </row>
    <row r="22" spans="1:11" ht="51" x14ac:dyDescent="0.25">
      <c r="B22" s="786"/>
      <c r="C22" s="244" t="s">
        <v>381</v>
      </c>
      <c r="D22" s="241" t="s">
        <v>218</v>
      </c>
      <c r="E22" s="369">
        <v>0</v>
      </c>
      <c r="F22" s="245">
        <v>130</v>
      </c>
      <c r="G22" s="370">
        <f>E22</f>
        <v>0</v>
      </c>
      <c r="H22" s="370">
        <f>G22*12</f>
        <v>0</v>
      </c>
      <c r="I22" s="372">
        <f>'Valor do M² (IN 05) - Sede'!F31</f>
        <v>0</v>
      </c>
      <c r="J22" s="372">
        <f>I22*G22</f>
        <v>0</v>
      </c>
      <c r="K22" s="372">
        <f>J22*12</f>
        <v>0</v>
      </c>
    </row>
    <row r="23" spans="1:11" ht="30" customHeight="1" x14ac:dyDescent="0.25">
      <c r="A23" s="212"/>
      <c r="B23" s="787" t="s">
        <v>385</v>
      </c>
      <c r="C23" s="788"/>
      <c r="D23" s="788"/>
      <c r="E23" s="788"/>
      <c r="F23" s="788"/>
      <c r="G23" s="788"/>
      <c r="H23" s="788"/>
      <c r="I23" s="244" t="s">
        <v>47</v>
      </c>
      <c r="J23" s="383">
        <f>ROUND(SUM(J16:J22),2)</f>
        <v>0</v>
      </c>
      <c r="K23" s="387">
        <f>J23*12</f>
        <v>0</v>
      </c>
    </row>
    <row r="26" spans="1:11" ht="15.75" x14ac:dyDescent="0.25">
      <c r="B26" s="777" t="s">
        <v>229</v>
      </c>
      <c r="C26" s="777"/>
      <c r="D26" s="777"/>
      <c r="E26" s="777"/>
      <c r="F26" s="777"/>
      <c r="G26" s="777"/>
      <c r="H26" s="777"/>
      <c r="I26" s="777"/>
      <c r="J26" s="777"/>
      <c r="K26" s="777"/>
    </row>
    <row r="27" spans="1:11" ht="45" x14ac:dyDescent="0.25">
      <c r="B27" s="242" t="s">
        <v>208</v>
      </c>
      <c r="C27" s="242" t="s">
        <v>209</v>
      </c>
      <c r="D27" s="243" t="s">
        <v>210</v>
      </c>
      <c r="E27" s="243" t="s">
        <v>399</v>
      </c>
      <c r="F27" s="243" t="s">
        <v>211</v>
      </c>
      <c r="G27" s="243" t="s">
        <v>212</v>
      </c>
      <c r="H27" s="243" t="s">
        <v>213</v>
      </c>
      <c r="I27" s="243" t="s">
        <v>214</v>
      </c>
      <c r="J27" s="243" t="s">
        <v>215</v>
      </c>
      <c r="K27" s="243" t="s">
        <v>216</v>
      </c>
    </row>
    <row r="28" spans="1:11" x14ac:dyDescent="0.25">
      <c r="B28" s="784"/>
      <c r="C28" s="779" t="s">
        <v>380</v>
      </c>
      <c r="D28" s="247" t="s">
        <v>202</v>
      </c>
      <c r="E28" s="255">
        <v>215</v>
      </c>
      <c r="F28" s="789">
        <v>800</v>
      </c>
      <c r="G28" s="789">
        <v>800</v>
      </c>
      <c r="H28" s="791">
        <f>G28*12</f>
        <v>9600</v>
      </c>
      <c r="I28" s="769">
        <f>'Valor do M² (IN 05) - Sede'!E28</f>
        <v>0</v>
      </c>
      <c r="J28" s="769">
        <f>I28*G28</f>
        <v>0</v>
      </c>
      <c r="K28" s="769">
        <f>J28*12</f>
        <v>0</v>
      </c>
    </row>
    <row r="29" spans="1:11" x14ac:dyDescent="0.25">
      <c r="B29" s="785"/>
      <c r="C29" s="779"/>
      <c r="D29" s="247" t="s">
        <v>234</v>
      </c>
      <c r="E29" s="369">
        <v>0</v>
      </c>
      <c r="F29" s="790"/>
      <c r="G29" s="790"/>
      <c r="H29" s="791"/>
      <c r="I29" s="769"/>
      <c r="J29" s="769"/>
      <c r="K29" s="769"/>
    </row>
    <row r="30" spans="1:11" ht="38.25" x14ac:dyDescent="0.25">
      <c r="B30" s="785"/>
      <c r="C30" s="778" t="s">
        <v>379</v>
      </c>
      <c r="D30" s="241" t="s">
        <v>199</v>
      </c>
      <c r="E30" s="771">
        <v>0</v>
      </c>
      <c r="F30" s="774">
        <v>1800</v>
      </c>
      <c r="G30" s="768">
        <f>SUM(E30:E32)</f>
        <v>0</v>
      </c>
      <c r="H30" s="768">
        <f>G30*12</f>
        <v>0</v>
      </c>
      <c r="I30" s="768">
        <f>'Valor do M² (IN 05) - Sede'!E29</f>
        <v>0</v>
      </c>
      <c r="J30" s="768">
        <f>I30*G30</f>
        <v>0</v>
      </c>
      <c r="K30" s="768">
        <f>J30*12</f>
        <v>0</v>
      </c>
    </row>
    <row r="31" spans="1:11" ht="38.25" x14ac:dyDescent="0.25">
      <c r="B31" s="785"/>
      <c r="C31" s="779"/>
      <c r="D31" s="241" t="s">
        <v>200</v>
      </c>
      <c r="E31" s="772"/>
      <c r="F31" s="775"/>
      <c r="G31" s="769"/>
      <c r="H31" s="769"/>
      <c r="I31" s="769"/>
      <c r="J31" s="769"/>
      <c r="K31" s="769"/>
    </row>
    <row r="32" spans="1:11" ht="25.5" x14ac:dyDescent="0.25">
      <c r="B32" s="785"/>
      <c r="C32" s="780"/>
      <c r="D32" s="241" t="s">
        <v>217</v>
      </c>
      <c r="E32" s="773"/>
      <c r="F32" s="776"/>
      <c r="G32" s="770"/>
      <c r="H32" s="770"/>
      <c r="I32" s="770"/>
      <c r="J32" s="770"/>
      <c r="K32" s="770"/>
    </row>
    <row r="33" spans="1:11" ht="63.75" x14ac:dyDescent="0.25">
      <c r="B33" s="785"/>
      <c r="C33" s="244" t="s">
        <v>382</v>
      </c>
      <c r="D33" s="241" t="s">
        <v>218</v>
      </c>
      <c r="E33" s="369">
        <v>9</v>
      </c>
      <c r="F33" s="245">
        <v>300</v>
      </c>
      <c r="G33" s="245">
        <v>300</v>
      </c>
      <c r="H33" s="370">
        <f>G33*12</f>
        <v>3600</v>
      </c>
      <c r="I33" s="372">
        <f>'Valor do M² (IN 05) - Sede'!E30</f>
        <v>0</v>
      </c>
      <c r="J33" s="372">
        <f>I33*G33</f>
        <v>0</v>
      </c>
      <c r="K33" s="372">
        <f>J33*12</f>
        <v>0</v>
      </c>
    </row>
    <row r="34" spans="1:11" ht="51" x14ac:dyDescent="0.25">
      <c r="B34" s="786"/>
      <c r="C34" s="244" t="s">
        <v>381</v>
      </c>
      <c r="D34" s="241" t="s">
        <v>218</v>
      </c>
      <c r="E34" s="369">
        <v>0</v>
      </c>
      <c r="F34" s="245">
        <v>130</v>
      </c>
      <c r="G34" s="370">
        <f>E34</f>
        <v>0</v>
      </c>
      <c r="H34" s="370">
        <f>G34*12</f>
        <v>0</v>
      </c>
      <c r="I34" s="372">
        <f>'Valor do M² (IN 05) - Sede'!E31</f>
        <v>0</v>
      </c>
      <c r="J34" s="372">
        <f>I34*G34</f>
        <v>0</v>
      </c>
      <c r="K34" s="372">
        <f>J34*12</f>
        <v>0</v>
      </c>
    </row>
    <row r="35" spans="1:11" ht="30" customHeight="1" x14ac:dyDescent="0.25">
      <c r="A35" s="212"/>
      <c r="B35" s="787" t="s">
        <v>385</v>
      </c>
      <c r="C35" s="788"/>
      <c r="D35" s="788"/>
      <c r="E35" s="788"/>
      <c r="F35" s="788"/>
      <c r="G35" s="788"/>
      <c r="H35" s="788"/>
      <c r="I35" s="244" t="s">
        <v>47</v>
      </c>
      <c r="J35" s="383">
        <f>ROUND(SUM(J28:J34),2)</f>
        <v>0</v>
      </c>
      <c r="K35" s="387">
        <f>J35*12</f>
        <v>0</v>
      </c>
    </row>
    <row r="38" spans="1:11" ht="15.75" x14ac:dyDescent="0.25">
      <c r="B38" s="777" t="s">
        <v>228</v>
      </c>
      <c r="C38" s="777"/>
      <c r="D38" s="777"/>
      <c r="E38" s="777"/>
      <c r="F38" s="777"/>
      <c r="G38" s="777"/>
      <c r="H38" s="777"/>
      <c r="I38" s="777"/>
      <c r="J38" s="777"/>
      <c r="K38" s="777"/>
    </row>
    <row r="39" spans="1:11" ht="45" x14ac:dyDescent="0.25">
      <c r="B39" s="242" t="s">
        <v>208</v>
      </c>
      <c r="C39" s="242" t="s">
        <v>209</v>
      </c>
      <c r="D39" s="243" t="s">
        <v>210</v>
      </c>
      <c r="E39" s="243" t="s">
        <v>399</v>
      </c>
      <c r="F39" s="243" t="s">
        <v>211</v>
      </c>
      <c r="G39" s="243" t="s">
        <v>212</v>
      </c>
      <c r="H39" s="243" t="s">
        <v>213</v>
      </c>
      <c r="I39" s="243" t="s">
        <v>214</v>
      </c>
      <c r="J39" s="243" t="s">
        <v>215</v>
      </c>
      <c r="K39" s="243" t="s">
        <v>216</v>
      </c>
    </row>
    <row r="40" spans="1:11" x14ac:dyDescent="0.25">
      <c r="B40" s="784"/>
      <c r="C40" s="779" t="s">
        <v>380</v>
      </c>
      <c r="D40" s="247" t="s">
        <v>202</v>
      </c>
      <c r="E40" s="252">
        <v>234.85</v>
      </c>
      <c r="F40" s="789">
        <v>800</v>
      </c>
      <c r="G40" s="789">
        <v>800</v>
      </c>
      <c r="H40" s="791">
        <f>G40*12</f>
        <v>9600</v>
      </c>
      <c r="I40" s="769">
        <f>'Valor do M² (IN 05) - Sede'!D28</f>
        <v>0</v>
      </c>
      <c r="J40" s="769">
        <f>I40*G40</f>
        <v>0</v>
      </c>
      <c r="K40" s="769">
        <f>J40*12</f>
        <v>0</v>
      </c>
    </row>
    <row r="41" spans="1:11" x14ac:dyDescent="0.25">
      <c r="B41" s="785"/>
      <c r="C41" s="779"/>
      <c r="D41" s="247" t="s">
        <v>234</v>
      </c>
      <c r="E41" s="369">
        <v>0</v>
      </c>
      <c r="F41" s="790"/>
      <c r="G41" s="790"/>
      <c r="H41" s="791"/>
      <c r="I41" s="769"/>
      <c r="J41" s="769"/>
      <c r="K41" s="769"/>
    </row>
    <row r="42" spans="1:11" ht="38.25" x14ac:dyDescent="0.25">
      <c r="B42" s="785"/>
      <c r="C42" s="778" t="s">
        <v>379</v>
      </c>
      <c r="D42" s="241" t="s">
        <v>199</v>
      </c>
      <c r="E42" s="771">
        <v>0</v>
      </c>
      <c r="F42" s="774">
        <v>1800</v>
      </c>
      <c r="G42" s="768">
        <f>SUM(E42:E44)</f>
        <v>0</v>
      </c>
      <c r="H42" s="768">
        <f>G42*12</f>
        <v>0</v>
      </c>
      <c r="I42" s="768">
        <f>'Valor do M² (IN 05) - Sede'!D29</f>
        <v>0</v>
      </c>
      <c r="J42" s="768">
        <f>I42*G42</f>
        <v>0</v>
      </c>
      <c r="K42" s="768">
        <f>J42*12</f>
        <v>0</v>
      </c>
    </row>
    <row r="43" spans="1:11" ht="38.25" x14ac:dyDescent="0.25">
      <c r="B43" s="785"/>
      <c r="C43" s="779"/>
      <c r="D43" s="241" t="s">
        <v>200</v>
      </c>
      <c r="E43" s="772"/>
      <c r="F43" s="775"/>
      <c r="G43" s="769"/>
      <c r="H43" s="769"/>
      <c r="I43" s="769"/>
      <c r="J43" s="769"/>
      <c r="K43" s="769"/>
    </row>
    <row r="44" spans="1:11" ht="25.5" x14ac:dyDescent="0.25">
      <c r="B44" s="785"/>
      <c r="C44" s="780"/>
      <c r="D44" s="241" t="s">
        <v>217</v>
      </c>
      <c r="E44" s="773"/>
      <c r="F44" s="776"/>
      <c r="G44" s="770"/>
      <c r="H44" s="770"/>
      <c r="I44" s="770"/>
      <c r="J44" s="770"/>
      <c r="K44" s="770"/>
    </row>
    <row r="45" spans="1:11" ht="63.75" x14ac:dyDescent="0.25">
      <c r="B45" s="785"/>
      <c r="C45" s="244" t="s">
        <v>382</v>
      </c>
      <c r="D45" s="241" t="s">
        <v>218</v>
      </c>
      <c r="E45" s="369">
        <v>2</v>
      </c>
      <c r="F45" s="245">
        <v>300</v>
      </c>
      <c r="G45" s="245">
        <v>300</v>
      </c>
      <c r="H45" s="370">
        <f>G45*12</f>
        <v>3600</v>
      </c>
      <c r="I45" s="372">
        <f>'Valor do M² (IN 05) - Sede'!D30</f>
        <v>0</v>
      </c>
      <c r="J45" s="372">
        <f>I45*G45</f>
        <v>0</v>
      </c>
      <c r="K45" s="372">
        <f>J45*12</f>
        <v>0</v>
      </c>
    </row>
    <row r="46" spans="1:11" ht="51" x14ac:dyDescent="0.25">
      <c r="B46" s="786"/>
      <c r="C46" s="244" t="s">
        <v>381</v>
      </c>
      <c r="D46" s="241" t="s">
        <v>218</v>
      </c>
      <c r="E46" s="369">
        <v>0</v>
      </c>
      <c r="F46" s="245">
        <v>130</v>
      </c>
      <c r="G46" s="370">
        <f>E46</f>
        <v>0</v>
      </c>
      <c r="H46" s="370">
        <f>G46*12</f>
        <v>0</v>
      </c>
      <c r="I46" s="372">
        <f>'Valor do M² (IN 05) - Sede'!D31</f>
        <v>0</v>
      </c>
      <c r="J46" s="372">
        <f>I46*G46</f>
        <v>0</v>
      </c>
      <c r="K46" s="372">
        <f>J46*12</f>
        <v>0</v>
      </c>
    </row>
    <row r="47" spans="1:11" ht="30" customHeight="1" x14ac:dyDescent="0.25">
      <c r="A47" s="212"/>
      <c r="B47" s="787" t="s">
        <v>385</v>
      </c>
      <c r="C47" s="788"/>
      <c r="D47" s="788"/>
      <c r="E47" s="788"/>
      <c r="F47" s="788"/>
      <c r="G47" s="788"/>
      <c r="H47" s="788"/>
      <c r="I47" s="244" t="s">
        <v>47</v>
      </c>
      <c r="J47" s="383">
        <f>ROUND(SUM(J40:J46),2)</f>
        <v>0</v>
      </c>
      <c r="K47" s="387">
        <f>J47*12</f>
        <v>0</v>
      </c>
    </row>
    <row r="50" spans="1:11" ht="15.75" x14ac:dyDescent="0.25">
      <c r="B50" s="777" t="s">
        <v>232</v>
      </c>
      <c r="C50" s="777"/>
      <c r="D50" s="777"/>
      <c r="E50" s="777"/>
      <c r="F50" s="777"/>
      <c r="G50" s="777"/>
      <c r="H50" s="777"/>
      <c r="I50" s="777"/>
      <c r="J50" s="777"/>
      <c r="K50" s="777"/>
    </row>
    <row r="51" spans="1:11" ht="45" x14ac:dyDescent="0.25">
      <c r="B51" s="242" t="s">
        <v>208</v>
      </c>
      <c r="C51" s="242" t="s">
        <v>209</v>
      </c>
      <c r="D51" s="243" t="s">
        <v>210</v>
      </c>
      <c r="E51" s="243" t="s">
        <v>399</v>
      </c>
      <c r="F51" s="243" t="s">
        <v>211</v>
      </c>
      <c r="G51" s="243" t="s">
        <v>212</v>
      </c>
      <c r="H51" s="243" t="s">
        <v>213</v>
      </c>
      <c r="I51" s="243" t="s">
        <v>214</v>
      </c>
      <c r="J51" s="243" t="s">
        <v>215</v>
      </c>
      <c r="K51" s="243" t="s">
        <v>216</v>
      </c>
    </row>
    <row r="52" spans="1:11" x14ac:dyDescent="0.25">
      <c r="B52" s="784"/>
      <c r="C52" s="779" t="s">
        <v>380</v>
      </c>
      <c r="D52" s="247" t="s">
        <v>202</v>
      </c>
      <c r="E52" s="255">
        <v>200</v>
      </c>
      <c r="F52" s="789">
        <v>800</v>
      </c>
      <c r="G52" s="789">
        <v>800</v>
      </c>
      <c r="H52" s="791">
        <f>G52*12</f>
        <v>9600</v>
      </c>
      <c r="I52" s="769">
        <f>'Valor do M² (IN 05) - Sede'!H28</f>
        <v>0</v>
      </c>
      <c r="J52" s="769">
        <f>I52*G52</f>
        <v>0</v>
      </c>
      <c r="K52" s="769">
        <f>J52*12</f>
        <v>0</v>
      </c>
    </row>
    <row r="53" spans="1:11" x14ac:dyDescent="0.25">
      <c r="B53" s="785"/>
      <c r="C53" s="779"/>
      <c r="D53" s="247" t="s">
        <v>234</v>
      </c>
      <c r="E53" s="369">
        <v>0</v>
      </c>
      <c r="F53" s="790"/>
      <c r="G53" s="790"/>
      <c r="H53" s="791"/>
      <c r="I53" s="769"/>
      <c r="J53" s="769"/>
      <c r="K53" s="769"/>
    </row>
    <row r="54" spans="1:11" ht="38.25" x14ac:dyDescent="0.25">
      <c r="B54" s="785"/>
      <c r="C54" s="778" t="s">
        <v>379</v>
      </c>
      <c r="D54" s="241" t="s">
        <v>199</v>
      </c>
      <c r="E54" s="771">
        <v>0</v>
      </c>
      <c r="F54" s="774">
        <v>1800</v>
      </c>
      <c r="G54" s="768">
        <f>SUM(E54:E56)</f>
        <v>0</v>
      </c>
      <c r="H54" s="768">
        <f>G54*12</f>
        <v>0</v>
      </c>
      <c r="I54" s="768">
        <f>'Valor do M² (IN 05) - Sede'!H29</f>
        <v>0</v>
      </c>
      <c r="J54" s="768">
        <f>I54*G54</f>
        <v>0</v>
      </c>
      <c r="K54" s="768">
        <f>J54*12</f>
        <v>0</v>
      </c>
    </row>
    <row r="55" spans="1:11" ht="38.25" x14ac:dyDescent="0.25">
      <c r="B55" s="785"/>
      <c r="C55" s="779"/>
      <c r="D55" s="241" t="s">
        <v>200</v>
      </c>
      <c r="E55" s="772"/>
      <c r="F55" s="775"/>
      <c r="G55" s="769"/>
      <c r="H55" s="769"/>
      <c r="I55" s="769"/>
      <c r="J55" s="769"/>
      <c r="K55" s="769"/>
    </row>
    <row r="56" spans="1:11" ht="25.5" x14ac:dyDescent="0.25">
      <c r="B56" s="785"/>
      <c r="C56" s="780"/>
      <c r="D56" s="241" t="s">
        <v>217</v>
      </c>
      <c r="E56" s="773"/>
      <c r="F56" s="776"/>
      <c r="G56" s="770"/>
      <c r="H56" s="770"/>
      <c r="I56" s="770"/>
      <c r="J56" s="770"/>
      <c r="K56" s="770"/>
    </row>
    <row r="57" spans="1:11" ht="64.5" customHeight="1" x14ac:dyDescent="0.25">
      <c r="B57" s="785"/>
      <c r="C57" s="244" t="s">
        <v>382</v>
      </c>
      <c r="D57" s="241" t="s">
        <v>218</v>
      </c>
      <c r="E57" s="369">
        <v>28</v>
      </c>
      <c r="F57" s="245">
        <v>300</v>
      </c>
      <c r="G57" s="370">
        <f>E57</f>
        <v>28</v>
      </c>
      <c r="H57" s="370">
        <f>G57*12</f>
        <v>336</v>
      </c>
      <c r="I57" s="372">
        <f>'Valor do M² (IN 05) - Sede'!H30</f>
        <v>0</v>
      </c>
      <c r="J57" s="372">
        <f>I57*G57</f>
        <v>0</v>
      </c>
      <c r="K57" s="372">
        <f>J57*12</f>
        <v>0</v>
      </c>
    </row>
    <row r="58" spans="1:11" ht="51" x14ac:dyDescent="0.25">
      <c r="B58" s="786"/>
      <c r="C58" s="244" t="s">
        <v>381</v>
      </c>
      <c r="D58" s="241" t="s">
        <v>218</v>
      </c>
      <c r="E58" s="369">
        <v>0</v>
      </c>
      <c r="F58" s="245">
        <v>130</v>
      </c>
      <c r="G58" s="370">
        <f>E58</f>
        <v>0</v>
      </c>
      <c r="H58" s="370">
        <f>G58*12</f>
        <v>0</v>
      </c>
      <c r="I58" s="372">
        <f>'Valor do M² (IN 05) - Sede'!H31</f>
        <v>0</v>
      </c>
      <c r="J58" s="372">
        <f>I58*G58</f>
        <v>0</v>
      </c>
      <c r="K58" s="372">
        <f>J58*12</f>
        <v>0</v>
      </c>
    </row>
    <row r="59" spans="1:11" ht="30" customHeight="1" x14ac:dyDescent="0.25">
      <c r="A59" s="212"/>
      <c r="B59" s="787" t="s">
        <v>385</v>
      </c>
      <c r="C59" s="788"/>
      <c r="D59" s="788"/>
      <c r="E59" s="788"/>
      <c r="F59" s="788"/>
      <c r="G59" s="788"/>
      <c r="H59" s="788"/>
      <c r="I59" s="244" t="s">
        <v>47</v>
      </c>
      <c r="J59" s="383">
        <f>ROUND(SUM(J52:J58),2)</f>
        <v>0</v>
      </c>
      <c r="K59" s="387">
        <f>J59*12</f>
        <v>0</v>
      </c>
    </row>
    <row r="62" spans="1:11" ht="15.75" x14ac:dyDescent="0.25">
      <c r="B62" s="777" t="s">
        <v>231</v>
      </c>
      <c r="C62" s="777"/>
      <c r="D62" s="777"/>
      <c r="E62" s="777"/>
      <c r="F62" s="777"/>
      <c r="G62" s="777"/>
      <c r="H62" s="777"/>
      <c r="I62" s="777"/>
      <c r="J62" s="777"/>
      <c r="K62" s="777"/>
    </row>
    <row r="63" spans="1:11" ht="45" x14ac:dyDescent="0.25">
      <c r="B63" s="242" t="s">
        <v>208</v>
      </c>
      <c r="C63" s="242" t="s">
        <v>209</v>
      </c>
      <c r="D63" s="243" t="s">
        <v>210</v>
      </c>
      <c r="E63" s="243" t="s">
        <v>399</v>
      </c>
      <c r="F63" s="243" t="s">
        <v>211</v>
      </c>
      <c r="G63" s="243" t="s">
        <v>212</v>
      </c>
      <c r="H63" s="243" t="s">
        <v>213</v>
      </c>
      <c r="I63" s="243" t="s">
        <v>214</v>
      </c>
      <c r="J63" s="243" t="s">
        <v>215</v>
      </c>
      <c r="K63" s="243" t="s">
        <v>216</v>
      </c>
    </row>
    <row r="64" spans="1:11" x14ac:dyDescent="0.25">
      <c r="B64" s="784"/>
      <c r="C64" s="779" t="s">
        <v>380</v>
      </c>
      <c r="D64" s="247" t="s">
        <v>202</v>
      </c>
      <c r="E64" s="252">
        <v>153.75</v>
      </c>
      <c r="F64" s="789">
        <v>800</v>
      </c>
      <c r="G64" s="789">
        <v>800</v>
      </c>
      <c r="H64" s="791">
        <f>G64*12</f>
        <v>9600</v>
      </c>
      <c r="I64" s="769">
        <f>'Valor do M² (IN 05) - Sede'!G28</f>
        <v>0</v>
      </c>
      <c r="J64" s="769">
        <f>I64*G64</f>
        <v>0</v>
      </c>
      <c r="K64" s="769">
        <f>J64*12</f>
        <v>0</v>
      </c>
    </row>
    <row r="65" spans="1:11" x14ac:dyDescent="0.25">
      <c r="B65" s="785"/>
      <c r="C65" s="779"/>
      <c r="D65" s="247" t="s">
        <v>234</v>
      </c>
      <c r="E65" s="369">
        <v>0</v>
      </c>
      <c r="F65" s="790"/>
      <c r="G65" s="790"/>
      <c r="H65" s="791"/>
      <c r="I65" s="769"/>
      <c r="J65" s="769"/>
      <c r="K65" s="769"/>
    </row>
    <row r="66" spans="1:11" ht="38.25" x14ac:dyDescent="0.25">
      <c r="B66" s="785"/>
      <c r="C66" s="778" t="s">
        <v>379</v>
      </c>
      <c r="D66" s="241" t="s">
        <v>199</v>
      </c>
      <c r="E66" s="741">
        <v>0</v>
      </c>
      <c r="F66" s="774">
        <v>1800</v>
      </c>
      <c r="G66" s="768">
        <f>SUM(E66:E68)</f>
        <v>0</v>
      </c>
      <c r="H66" s="768">
        <f>G66*12</f>
        <v>0</v>
      </c>
      <c r="I66" s="768">
        <f>'Valor do M² (IN 05) - Sede'!G29</f>
        <v>0</v>
      </c>
      <c r="J66" s="768">
        <f>I66*G66</f>
        <v>0</v>
      </c>
      <c r="K66" s="768">
        <f>J66*12</f>
        <v>0</v>
      </c>
    </row>
    <row r="67" spans="1:11" ht="38.25" x14ac:dyDescent="0.25">
      <c r="B67" s="785"/>
      <c r="C67" s="779"/>
      <c r="D67" s="241" t="s">
        <v>200</v>
      </c>
      <c r="E67" s="742"/>
      <c r="F67" s="775"/>
      <c r="G67" s="769"/>
      <c r="H67" s="769"/>
      <c r="I67" s="769"/>
      <c r="J67" s="769"/>
      <c r="K67" s="769"/>
    </row>
    <row r="68" spans="1:11" ht="25.5" x14ac:dyDescent="0.25">
      <c r="B68" s="785"/>
      <c r="C68" s="780"/>
      <c r="D68" s="241" t="s">
        <v>217</v>
      </c>
      <c r="E68" s="743"/>
      <c r="F68" s="776"/>
      <c r="G68" s="770"/>
      <c r="H68" s="770"/>
      <c r="I68" s="770"/>
      <c r="J68" s="770"/>
      <c r="K68" s="770"/>
    </row>
    <row r="69" spans="1:11" ht="63.75" x14ac:dyDescent="0.25">
      <c r="B69" s="785"/>
      <c r="C69" s="244" t="s">
        <v>382</v>
      </c>
      <c r="D69" s="241" t="s">
        <v>218</v>
      </c>
      <c r="E69" s="369">
        <v>0</v>
      </c>
      <c r="F69" s="245">
        <v>300</v>
      </c>
      <c r="G69" s="245">
        <v>300</v>
      </c>
      <c r="H69" s="370">
        <f>G69*12</f>
        <v>3600</v>
      </c>
      <c r="I69" s="372">
        <f>'Valor do M² (IN 05) - Sede'!G30</f>
        <v>0</v>
      </c>
      <c r="J69" s="372">
        <f>I69*G69</f>
        <v>0</v>
      </c>
      <c r="K69" s="372">
        <f>J69*12</f>
        <v>0</v>
      </c>
    </row>
    <row r="70" spans="1:11" ht="51" x14ac:dyDescent="0.25">
      <c r="B70" s="786"/>
      <c r="C70" s="244" t="s">
        <v>381</v>
      </c>
      <c r="D70" s="241" t="s">
        <v>218</v>
      </c>
      <c r="E70" s="369">
        <v>0</v>
      </c>
      <c r="F70" s="245">
        <v>130</v>
      </c>
      <c r="G70" s="370">
        <f>E70</f>
        <v>0</v>
      </c>
      <c r="H70" s="370">
        <f>G70*12</f>
        <v>0</v>
      </c>
      <c r="I70" s="372">
        <f>'Valor do M² (IN 05) - Sede'!G31</f>
        <v>0</v>
      </c>
      <c r="J70" s="372">
        <f>I70*G70</f>
        <v>0</v>
      </c>
      <c r="K70" s="372">
        <f>J70*12</f>
        <v>0</v>
      </c>
    </row>
    <row r="71" spans="1:11" ht="30" customHeight="1" x14ac:dyDescent="0.25">
      <c r="A71" s="212"/>
      <c r="B71" s="787" t="s">
        <v>385</v>
      </c>
      <c r="C71" s="788"/>
      <c r="D71" s="788"/>
      <c r="E71" s="788"/>
      <c r="F71" s="788"/>
      <c r="G71" s="788"/>
      <c r="H71" s="788"/>
      <c r="I71" s="244" t="s">
        <v>47</v>
      </c>
      <c r="J71" s="383">
        <f>ROUND(SUM(J64:J70),2)</f>
        <v>0</v>
      </c>
      <c r="K71" s="387">
        <f>J71*12</f>
        <v>0</v>
      </c>
    </row>
    <row r="73" spans="1:11" x14ac:dyDescent="0.25">
      <c r="I73" s="385" t="s">
        <v>47</v>
      </c>
      <c r="J73" s="384">
        <f>ROUND(SUM(J11,J23,J35,J47,J59,J71),2)</f>
        <v>0</v>
      </c>
      <c r="K73" s="384">
        <f>ROUND(SUM(K11,K23,K35,K47,K59,K71),2)</f>
        <v>0</v>
      </c>
    </row>
  </sheetData>
  <mergeCells count="109">
    <mergeCell ref="B1:K1"/>
    <mergeCell ref="G52:G53"/>
    <mergeCell ref="B40:B46"/>
    <mergeCell ref="J52:J53"/>
    <mergeCell ref="K52:K53"/>
    <mergeCell ref="B52:B58"/>
    <mergeCell ref="C40:C41"/>
    <mergeCell ref="F40:F41"/>
    <mergeCell ref="G40:G41"/>
    <mergeCell ref="H40:H41"/>
    <mergeCell ref="I40:I41"/>
    <mergeCell ref="J40:J41"/>
    <mergeCell ref="K40:K41"/>
    <mergeCell ref="K42:K44"/>
    <mergeCell ref="C42:C44"/>
    <mergeCell ref="E42:E44"/>
    <mergeCell ref="H52:H53"/>
    <mergeCell ref="I16:I17"/>
    <mergeCell ref="J16:J17"/>
    <mergeCell ref="K16:K17"/>
    <mergeCell ref="B16:B22"/>
    <mergeCell ref="F42:F44"/>
    <mergeCell ref="G42:G44"/>
    <mergeCell ref="H42:H44"/>
    <mergeCell ref="I42:I44"/>
    <mergeCell ref="J42:J44"/>
    <mergeCell ref="J30:J32"/>
    <mergeCell ref="K30:K32"/>
    <mergeCell ref="B26:K26"/>
    <mergeCell ref="B35:H35"/>
    <mergeCell ref="B23:H23"/>
    <mergeCell ref="H28:H29"/>
    <mergeCell ref="I28:I29"/>
    <mergeCell ref="J28:J29"/>
    <mergeCell ref="K28:K29"/>
    <mergeCell ref="B28:B34"/>
    <mergeCell ref="B38:K38"/>
    <mergeCell ref="B71:H71"/>
    <mergeCell ref="B59:H59"/>
    <mergeCell ref="B47:H47"/>
    <mergeCell ref="K66:K68"/>
    <mergeCell ref="B62:K62"/>
    <mergeCell ref="C66:C68"/>
    <mergeCell ref="E66:E68"/>
    <mergeCell ref="F66:F68"/>
    <mergeCell ref="G66:G68"/>
    <mergeCell ref="H66:H68"/>
    <mergeCell ref="I66:I68"/>
    <mergeCell ref="J66:J68"/>
    <mergeCell ref="K54:K56"/>
    <mergeCell ref="B50:K50"/>
    <mergeCell ref="C54:C56"/>
    <mergeCell ref="E54:E56"/>
    <mergeCell ref="F54:F56"/>
    <mergeCell ref="G54:G56"/>
    <mergeCell ref="I52:I53"/>
    <mergeCell ref="K64:K65"/>
    <mergeCell ref="B64:B70"/>
    <mergeCell ref="H64:H65"/>
    <mergeCell ref="I64:I65"/>
    <mergeCell ref="J64:J65"/>
    <mergeCell ref="H54:H56"/>
    <mergeCell ref="I54:I56"/>
    <mergeCell ref="J54:J56"/>
    <mergeCell ref="C64:C65"/>
    <mergeCell ref="F64:F65"/>
    <mergeCell ref="G64:G65"/>
    <mergeCell ref="H18:H20"/>
    <mergeCell ref="I18:I20"/>
    <mergeCell ref="J18:J20"/>
    <mergeCell ref="I30:I32"/>
    <mergeCell ref="C18:C20"/>
    <mergeCell ref="E18:E20"/>
    <mergeCell ref="F18:F20"/>
    <mergeCell ref="G18:G20"/>
    <mergeCell ref="C28:C29"/>
    <mergeCell ref="F28:F29"/>
    <mergeCell ref="G28:G29"/>
    <mergeCell ref="C30:C32"/>
    <mergeCell ref="E30:E32"/>
    <mergeCell ref="F30:F32"/>
    <mergeCell ref="G30:G32"/>
    <mergeCell ref="H30:H32"/>
    <mergeCell ref="C52:C53"/>
    <mergeCell ref="F52:F53"/>
    <mergeCell ref="K18:K20"/>
    <mergeCell ref="E6:E8"/>
    <mergeCell ref="F6:F8"/>
    <mergeCell ref="B2:K2"/>
    <mergeCell ref="C6:C8"/>
    <mergeCell ref="G6:G8"/>
    <mergeCell ref="H6:H8"/>
    <mergeCell ref="I6:I8"/>
    <mergeCell ref="J6:J8"/>
    <mergeCell ref="K6:K8"/>
    <mergeCell ref="I4:I5"/>
    <mergeCell ref="J4:J5"/>
    <mergeCell ref="K4:K5"/>
    <mergeCell ref="B4:B10"/>
    <mergeCell ref="B14:K14"/>
    <mergeCell ref="B11:H11"/>
    <mergeCell ref="C4:C5"/>
    <mergeCell ref="F4:F5"/>
    <mergeCell ref="G4:G5"/>
    <mergeCell ref="H4:H5"/>
    <mergeCell ref="C16:C17"/>
    <mergeCell ref="F16:F17"/>
    <mergeCell ref="G16:G17"/>
    <mergeCell ref="H16:H17"/>
  </mergeCells>
  <pageMargins left="0.511811024" right="0.511811024" top="0.78740157499999996" bottom="0.78740157499999996" header="0.31496062000000002" footer="0.31496062000000002"/>
  <pageSetup paperSize="9" scale="67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BC44E-7231-456C-8FBA-2FA2F226BD71}">
  <sheetPr>
    <tabColor rgb="FFFFFFFF"/>
    <pageSetUpPr fitToPage="1"/>
  </sheetPr>
  <dimension ref="A1:IW101"/>
  <sheetViews>
    <sheetView showGridLines="0" topLeftCell="A69" zoomScale="90" zoomScaleNormal="90" workbookViewId="0">
      <selection activeCell="I91" sqref="I91"/>
    </sheetView>
  </sheetViews>
  <sheetFormatPr defaultRowHeight="12.75" x14ac:dyDescent="0.2"/>
  <cols>
    <col min="1" max="1" width="58.42578125" style="284" customWidth="1"/>
    <col min="2" max="2" width="28.85546875" style="284" customWidth="1"/>
    <col min="3" max="4" width="20.42578125" style="284" customWidth="1"/>
    <col min="5" max="5" width="23.85546875" style="284" customWidth="1"/>
    <col min="6" max="6" width="24" style="284" customWidth="1"/>
    <col min="7" max="7" width="15.7109375" style="284" customWidth="1"/>
    <col min="8" max="8" width="12.85546875" style="284" customWidth="1"/>
    <col min="9" max="9" width="52.28515625" style="284" customWidth="1"/>
    <col min="10" max="257" width="9.140625" style="284"/>
    <col min="258" max="16384" width="9.140625" style="283"/>
  </cols>
  <sheetData>
    <row r="1" spans="1:9" ht="14.1" customHeight="1" x14ac:dyDescent="0.2">
      <c r="A1" s="794" t="s">
        <v>404</v>
      </c>
      <c r="B1" s="794" t="s">
        <v>244</v>
      </c>
      <c r="C1" s="794" t="s">
        <v>245</v>
      </c>
      <c r="D1" s="794" t="s">
        <v>246</v>
      </c>
      <c r="E1" s="283"/>
      <c r="F1" s="283"/>
      <c r="G1" s="283"/>
      <c r="H1" s="283"/>
      <c r="I1" s="283"/>
    </row>
    <row r="2" spans="1:9" x14ac:dyDescent="0.2">
      <c r="A2" s="794"/>
      <c r="B2" s="794"/>
      <c r="C2" s="794"/>
      <c r="D2" s="794"/>
      <c r="E2" s="283"/>
      <c r="F2" s="283"/>
      <c r="G2" s="283"/>
      <c r="H2" s="283"/>
      <c r="I2" s="283"/>
    </row>
    <row r="3" spans="1:9" ht="18" customHeight="1" x14ac:dyDescent="0.2">
      <c r="A3" s="288" t="s">
        <v>247</v>
      </c>
      <c r="B3" s="290">
        <v>50</v>
      </c>
      <c r="C3" s="328">
        <v>0</v>
      </c>
      <c r="D3" s="317">
        <f>C3*B3</f>
        <v>0</v>
      </c>
      <c r="E3" s="283"/>
      <c r="F3" s="283"/>
      <c r="G3" s="283"/>
      <c r="H3" s="283"/>
      <c r="I3" s="283"/>
    </row>
    <row r="4" spans="1:9" ht="21" customHeight="1" x14ac:dyDescent="0.2">
      <c r="A4" s="288" t="s">
        <v>248</v>
      </c>
      <c r="B4" s="290">
        <v>30</v>
      </c>
      <c r="C4" s="328">
        <v>0</v>
      </c>
      <c r="D4" s="317">
        <f t="shared" ref="D4:D29" si="0">C4*B4</f>
        <v>0</v>
      </c>
      <c r="E4" s="283"/>
      <c r="F4" s="283"/>
      <c r="G4" s="283"/>
      <c r="H4" s="283"/>
      <c r="I4" s="283"/>
    </row>
    <row r="5" spans="1:9" ht="24" customHeight="1" x14ac:dyDescent="0.2">
      <c r="A5" s="288" t="s">
        <v>394</v>
      </c>
      <c r="B5" s="290">
        <v>20</v>
      </c>
      <c r="C5" s="328">
        <v>0</v>
      </c>
      <c r="D5" s="317">
        <f t="shared" si="0"/>
        <v>0</v>
      </c>
      <c r="E5" s="283"/>
      <c r="F5" s="283"/>
      <c r="G5" s="283"/>
      <c r="H5" s="283"/>
      <c r="I5" s="283"/>
    </row>
    <row r="6" spans="1:9" ht="21.6" customHeight="1" x14ac:dyDescent="0.2">
      <c r="A6" s="288" t="s">
        <v>249</v>
      </c>
      <c r="B6" s="290">
        <v>30</v>
      </c>
      <c r="C6" s="328">
        <v>0</v>
      </c>
      <c r="D6" s="317">
        <f t="shared" si="0"/>
        <v>0</v>
      </c>
      <c r="E6" s="283"/>
      <c r="F6" s="283"/>
      <c r="G6" s="283"/>
      <c r="H6" s="283"/>
      <c r="I6" s="283"/>
    </row>
    <row r="7" spans="1:9" ht="19.149999999999999" customHeight="1" x14ac:dyDescent="0.2">
      <c r="A7" s="288" t="s">
        <v>250</v>
      </c>
      <c r="B7" s="290">
        <v>4</v>
      </c>
      <c r="C7" s="328">
        <v>0</v>
      </c>
      <c r="D7" s="317">
        <f t="shared" si="0"/>
        <v>0</v>
      </c>
      <c r="E7" s="283"/>
      <c r="F7" s="283"/>
      <c r="G7" s="283"/>
      <c r="H7" s="283"/>
      <c r="I7" s="283"/>
    </row>
    <row r="8" spans="1:9" ht="27" customHeight="1" x14ac:dyDescent="0.2">
      <c r="A8" s="288" t="s">
        <v>251</v>
      </c>
      <c r="B8" s="290">
        <v>30</v>
      </c>
      <c r="C8" s="328">
        <v>0</v>
      </c>
      <c r="D8" s="317">
        <f t="shared" si="0"/>
        <v>0</v>
      </c>
      <c r="E8" s="283"/>
      <c r="F8" s="283"/>
      <c r="G8" s="283"/>
      <c r="H8" s="283"/>
      <c r="I8" s="283"/>
    </row>
    <row r="9" spans="1:9" ht="29.25" customHeight="1" x14ac:dyDescent="0.2">
      <c r="A9" s="288" t="s">
        <v>252</v>
      </c>
      <c r="B9" s="290">
        <v>25</v>
      </c>
      <c r="C9" s="328">
        <v>0</v>
      </c>
      <c r="D9" s="317">
        <f t="shared" si="0"/>
        <v>0</v>
      </c>
      <c r="E9" s="283"/>
      <c r="F9" s="283"/>
      <c r="G9" s="283"/>
      <c r="H9" s="283"/>
      <c r="I9" s="283"/>
    </row>
    <row r="10" spans="1:9" ht="21.6" customHeight="1" x14ac:dyDescent="0.2">
      <c r="A10" s="288" t="s">
        <v>253</v>
      </c>
      <c r="B10" s="290">
        <v>25</v>
      </c>
      <c r="C10" s="328">
        <v>0</v>
      </c>
      <c r="D10" s="317">
        <f t="shared" si="0"/>
        <v>0</v>
      </c>
      <c r="E10" s="283"/>
      <c r="F10" s="283"/>
      <c r="G10" s="283"/>
      <c r="H10" s="283"/>
      <c r="I10" s="283"/>
    </row>
    <row r="11" spans="1:9" ht="36.4" customHeight="1" x14ac:dyDescent="0.2">
      <c r="A11" s="288" t="s">
        <v>254</v>
      </c>
      <c r="B11" s="290">
        <v>30</v>
      </c>
      <c r="C11" s="328">
        <v>0</v>
      </c>
      <c r="D11" s="317">
        <f t="shared" si="0"/>
        <v>0</v>
      </c>
      <c r="E11" s="283"/>
      <c r="F11" s="283"/>
      <c r="G11" s="283"/>
      <c r="H11" s="283"/>
      <c r="I11" s="283"/>
    </row>
    <row r="12" spans="1:9" ht="40.5" customHeight="1" x14ac:dyDescent="0.2">
      <c r="A12" s="288" t="s">
        <v>255</v>
      </c>
      <c r="B12" s="290">
        <v>10</v>
      </c>
      <c r="C12" s="328">
        <v>0</v>
      </c>
      <c r="D12" s="317">
        <f t="shared" si="0"/>
        <v>0</v>
      </c>
      <c r="E12" s="283"/>
      <c r="F12" s="283"/>
      <c r="G12" s="283"/>
      <c r="H12" s="283"/>
      <c r="I12" s="283"/>
    </row>
    <row r="13" spans="1:9" ht="19.899999999999999" customHeight="1" x14ac:dyDescent="0.2">
      <c r="A13" s="288" t="s">
        <v>256</v>
      </c>
      <c r="B13" s="290">
        <v>15</v>
      </c>
      <c r="C13" s="328">
        <v>0</v>
      </c>
      <c r="D13" s="317">
        <f t="shared" si="0"/>
        <v>0</v>
      </c>
      <c r="E13" s="283"/>
      <c r="F13" s="283"/>
      <c r="G13" s="283"/>
      <c r="H13" s="283"/>
      <c r="I13" s="283"/>
    </row>
    <row r="14" spans="1:9" ht="21.6" customHeight="1" x14ac:dyDescent="0.2">
      <c r="A14" s="288" t="s">
        <v>257</v>
      </c>
      <c r="B14" s="290">
        <v>2</v>
      </c>
      <c r="C14" s="328">
        <v>0</v>
      </c>
      <c r="D14" s="317">
        <f t="shared" si="0"/>
        <v>0</v>
      </c>
      <c r="E14" s="283"/>
      <c r="F14" s="283"/>
      <c r="G14" s="283"/>
      <c r="H14" s="283"/>
      <c r="I14" s="283"/>
    </row>
    <row r="15" spans="1:9" ht="23.25" customHeight="1" x14ac:dyDescent="0.2">
      <c r="A15" s="288" t="s">
        <v>258</v>
      </c>
      <c r="B15" s="290">
        <v>150</v>
      </c>
      <c r="C15" s="328">
        <v>0</v>
      </c>
      <c r="D15" s="317">
        <f t="shared" si="0"/>
        <v>0</v>
      </c>
      <c r="E15" s="283"/>
      <c r="F15" s="283"/>
      <c r="G15" s="283"/>
      <c r="H15" s="283"/>
      <c r="I15" s="283"/>
    </row>
    <row r="16" spans="1:9" ht="24.75" customHeight="1" x14ac:dyDescent="0.2">
      <c r="A16" s="288" t="s">
        <v>259</v>
      </c>
      <c r="B16" s="290">
        <v>15</v>
      </c>
      <c r="C16" s="328">
        <v>0</v>
      </c>
      <c r="D16" s="317">
        <f t="shared" si="0"/>
        <v>0</v>
      </c>
      <c r="E16" s="283"/>
      <c r="F16" s="283"/>
      <c r="G16" s="283"/>
      <c r="H16" s="283"/>
      <c r="I16" s="283"/>
    </row>
    <row r="17" spans="1:9" ht="18" customHeight="1" x14ac:dyDescent="0.2">
      <c r="A17" s="288" t="s">
        <v>260</v>
      </c>
      <c r="B17" s="290">
        <v>10</v>
      </c>
      <c r="C17" s="328">
        <v>0</v>
      </c>
      <c r="D17" s="317">
        <f t="shared" si="0"/>
        <v>0</v>
      </c>
      <c r="E17" s="283"/>
      <c r="F17" s="283"/>
      <c r="G17" s="283"/>
      <c r="H17" s="283"/>
      <c r="I17" s="283"/>
    </row>
    <row r="18" spans="1:9" ht="14.25" customHeight="1" x14ac:dyDescent="0.2">
      <c r="A18" s="288" t="s">
        <v>261</v>
      </c>
      <c r="B18" s="290">
        <v>10</v>
      </c>
      <c r="C18" s="328">
        <v>0</v>
      </c>
      <c r="D18" s="317">
        <f t="shared" si="0"/>
        <v>0</v>
      </c>
      <c r="E18" s="283"/>
      <c r="F18" s="283"/>
      <c r="G18" s="283"/>
      <c r="H18" s="283"/>
      <c r="I18" s="283"/>
    </row>
    <row r="19" spans="1:9" ht="17.25" customHeight="1" x14ac:dyDescent="0.2">
      <c r="A19" s="288" t="s">
        <v>262</v>
      </c>
      <c r="B19" s="290">
        <v>4</v>
      </c>
      <c r="C19" s="328">
        <v>0</v>
      </c>
      <c r="D19" s="317">
        <f t="shared" si="0"/>
        <v>0</v>
      </c>
      <c r="E19" s="283"/>
      <c r="F19" s="283"/>
      <c r="G19" s="283"/>
      <c r="H19" s="283"/>
      <c r="I19" s="283"/>
    </row>
    <row r="20" spans="1:9" ht="15" customHeight="1" x14ac:dyDescent="0.2">
      <c r="A20" s="288" t="s">
        <v>263</v>
      </c>
      <c r="B20" s="290">
        <v>10</v>
      </c>
      <c r="C20" s="328">
        <v>0</v>
      </c>
      <c r="D20" s="317">
        <f t="shared" si="0"/>
        <v>0</v>
      </c>
      <c r="E20" s="283"/>
      <c r="F20" s="283"/>
      <c r="G20" s="283"/>
      <c r="H20" s="283"/>
      <c r="I20" s="283"/>
    </row>
    <row r="21" spans="1:9" ht="18.75" customHeight="1" x14ac:dyDescent="0.2">
      <c r="A21" s="288" t="s">
        <v>264</v>
      </c>
      <c r="B21" s="290">
        <v>15</v>
      </c>
      <c r="C21" s="328">
        <v>0</v>
      </c>
      <c r="D21" s="317">
        <f t="shared" si="0"/>
        <v>0</v>
      </c>
      <c r="E21" s="283"/>
      <c r="F21" s="283"/>
      <c r="G21" s="283"/>
      <c r="H21" s="283"/>
      <c r="I21" s="283"/>
    </row>
    <row r="22" spans="1:9" ht="15.75" customHeight="1" x14ac:dyDescent="0.2">
      <c r="A22" s="288" t="s">
        <v>265</v>
      </c>
      <c r="B22" s="290">
        <v>3</v>
      </c>
      <c r="C22" s="328">
        <v>0</v>
      </c>
      <c r="D22" s="317">
        <f t="shared" si="0"/>
        <v>0</v>
      </c>
      <c r="E22" s="283"/>
      <c r="F22" s="283"/>
      <c r="G22" s="283"/>
      <c r="H22" s="283"/>
      <c r="I22" s="283"/>
    </row>
    <row r="23" spans="1:9" ht="15.75" customHeight="1" x14ac:dyDescent="0.2">
      <c r="A23" s="288" t="s">
        <v>266</v>
      </c>
      <c r="B23" s="290">
        <v>40</v>
      </c>
      <c r="C23" s="328">
        <v>0</v>
      </c>
      <c r="D23" s="317">
        <f t="shared" si="0"/>
        <v>0</v>
      </c>
      <c r="E23" s="283"/>
      <c r="F23" s="283"/>
      <c r="G23" s="283"/>
      <c r="H23" s="283"/>
      <c r="I23" s="283"/>
    </row>
    <row r="24" spans="1:9" ht="22.5" customHeight="1" x14ac:dyDescent="0.2">
      <c r="A24" s="288" t="s">
        <v>267</v>
      </c>
      <c r="B24" s="290">
        <v>1</v>
      </c>
      <c r="C24" s="328">
        <v>0</v>
      </c>
      <c r="D24" s="317">
        <f t="shared" si="0"/>
        <v>0</v>
      </c>
      <c r="E24" s="283"/>
      <c r="F24" s="283"/>
      <c r="G24" s="283"/>
      <c r="H24" s="283"/>
      <c r="I24" s="283"/>
    </row>
    <row r="25" spans="1:9" ht="22.35" customHeight="1" x14ac:dyDescent="0.2">
      <c r="A25" s="288" t="s">
        <v>268</v>
      </c>
      <c r="B25" s="290">
        <v>30</v>
      </c>
      <c r="C25" s="328">
        <v>0</v>
      </c>
      <c r="D25" s="317">
        <f t="shared" si="0"/>
        <v>0</v>
      </c>
      <c r="E25" s="283"/>
      <c r="F25" s="283"/>
      <c r="G25" s="283"/>
      <c r="H25" s="283"/>
      <c r="I25" s="283"/>
    </row>
    <row r="26" spans="1:9" ht="55.5" customHeight="1" x14ac:dyDescent="0.2">
      <c r="A26" s="319" t="s">
        <v>269</v>
      </c>
      <c r="B26" s="296">
        <v>100</v>
      </c>
      <c r="C26" s="328">
        <v>0</v>
      </c>
      <c r="D26" s="317">
        <f t="shared" si="0"/>
        <v>0</v>
      </c>
      <c r="E26" s="283"/>
      <c r="F26" s="283"/>
      <c r="G26" s="283"/>
      <c r="H26" s="283"/>
      <c r="I26" s="283"/>
    </row>
    <row r="27" spans="1:9" s="284" customFormat="1" ht="51" x14ac:dyDescent="0.2">
      <c r="A27" s="297" t="s">
        <v>270</v>
      </c>
      <c r="B27" s="290">
        <v>150</v>
      </c>
      <c r="C27" s="328">
        <v>0</v>
      </c>
      <c r="D27" s="317">
        <f t="shared" si="0"/>
        <v>0</v>
      </c>
      <c r="E27" s="283"/>
      <c r="F27" s="283"/>
      <c r="G27" s="283"/>
      <c r="H27" s="283"/>
      <c r="I27" s="283"/>
    </row>
    <row r="28" spans="1:9" s="284" customFormat="1" ht="15" x14ac:dyDescent="0.2">
      <c r="A28" s="289" t="s">
        <v>294</v>
      </c>
      <c r="B28" s="290">
        <v>40</v>
      </c>
      <c r="C28" s="328">
        <v>0</v>
      </c>
      <c r="D28" s="317">
        <f t="shared" si="0"/>
        <v>0</v>
      </c>
      <c r="E28" s="283"/>
      <c r="F28" s="283"/>
      <c r="G28" s="283"/>
      <c r="H28" s="283"/>
      <c r="I28" s="283"/>
    </row>
    <row r="29" spans="1:9" s="284" customFormat="1" ht="15" x14ac:dyDescent="0.2">
      <c r="A29" s="297" t="s">
        <v>271</v>
      </c>
      <c r="B29" s="290">
        <v>15</v>
      </c>
      <c r="C29" s="328">
        <v>0</v>
      </c>
      <c r="D29" s="317">
        <f t="shared" si="0"/>
        <v>0</v>
      </c>
      <c r="E29" s="283"/>
      <c r="F29" s="283"/>
      <c r="G29" s="283"/>
      <c r="H29" s="283"/>
      <c r="I29" s="283"/>
    </row>
    <row r="30" spans="1:9" s="284" customFormat="1" ht="13.35" customHeight="1" x14ac:dyDescent="0.2">
      <c r="A30" s="794" t="s">
        <v>272</v>
      </c>
      <c r="B30" s="794"/>
      <c r="C30" s="794"/>
      <c r="D30" s="298">
        <f>SUM(D3:D29)</f>
        <v>0</v>
      </c>
      <c r="E30" s="283"/>
      <c r="F30" s="283"/>
      <c r="G30" s="283"/>
      <c r="H30" s="283"/>
      <c r="I30" s="283"/>
    </row>
    <row r="31" spans="1:9" s="284" customFormat="1" x14ac:dyDescent="0.2">
      <c r="A31" s="283"/>
      <c r="B31" s="283"/>
      <c r="C31" s="283"/>
      <c r="D31" s="283"/>
      <c r="E31" s="283"/>
      <c r="F31" s="283"/>
      <c r="G31" s="283"/>
      <c r="H31" s="283"/>
      <c r="I31" s="283"/>
    </row>
    <row r="32" spans="1:9" s="284" customFormat="1" x14ac:dyDescent="0.2">
      <c r="A32" s="283"/>
      <c r="B32" s="283"/>
      <c r="C32" s="283"/>
      <c r="D32" s="283"/>
      <c r="E32" s="283"/>
      <c r="F32" s="283"/>
      <c r="G32" s="283"/>
      <c r="H32" s="283"/>
      <c r="I32" s="283"/>
    </row>
    <row r="33" spans="1:9" s="284" customFormat="1" ht="12.75" customHeight="1" x14ac:dyDescent="0.25">
      <c r="A33" s="796" t="s">
        <v>369</v>
      </c>
      <c r="B33" s="795" t="s">
        <v>274</v>
      </c>
      <c r="C33" s="794" t="s">
        <v>275</v>
      </c>
      <c r="D33" s="794" t="s">
        <v>245</v>
      </c>
      <c r="E33" s="794" t="s">
        <v>276</v>
      </c>
      <c r="F33"/>
      <c r="G33"/>
      <c r="H33"/>
      <c r="I33"/>
    </row>
    <row r="34" spans="1:9" s="284" customFormat="1" ht="15" x14ac:dyDescent="0.25">
      <c r="A34" s="797"/>
      <c r="B34" s="798"/>
      <c r="C34" s="798"/>
      <c r="D34" s="795"/>
      <c r="E34" s="795"/>
      <c r="F34"/>
      <c r="G34"/>
      <c r="H34"/>
      <c r="I34"/>
    </row>
    <row r="35" spans="1:9" s="284" customFormat="1" ht="15" x14ac:dyDescent="0.25">
      <c r="A35" s="288" t="s">
        <v>278</v>
      </c>
      <c r="B35" s="299" t="s">
        <v>219</v>
      </c>
      <c r="C35" s="290">
        <v>6</v>
      </c>
      <c r="D35" s="300">
        <v>0</v>
      </c>
      <c r="E35" s="317">
        <f>C35*D35</f>
        <v>0</v>
      </c>
      <c r="F35"/>
      <c r="G35"/>
      <c r="H35"/>
      <c r="I35"/>
    </row>
    <row r="36" spans="1:9" s="284" customFormat="1" ht="15" x14ac:dyDescent="0.25">
      <c r="A36" s="288" t="s">
        <v>279</v>
      </c>
      <c r="B36" s="299" t="s">
        <v>219</v>
      </c>
      <c r="C36" s="290">
        <v>12</v>
      </c>
      <c r="D36" s="300">
        <v>0</v>
      </c>
      <c r="E36" s="317">
        <f t="shared" ref="E36:E51" si="1">C36*D36</f>
        <v>0</v>
      </c>
      <c r="F36"/>
      <c r="G36"/>
      <c r="H36"/>
      <c r="I36"/>
    </row>
    <row r="37" spans="1:9" s="284" customFormat="1" ht="15" x14ac:dyDescent="0.25">
      <c r="A37" s="288" t="s">
        <v>280</v>
      </c>
      <c r="B37" s="299" t="s">
        <v>219</v>
      </c>
      <c r="C37" s="290">
        <v>6</v>
      </c>
      <c r="D37" s="300">
        <v>0</v>
      </c>
      <c r="E37" s="317">
        <f t="shared" si="1"/>
        <v>0</v>
      </c>
      <c r="F37"/>
      <c r="G37"/>
      <c r="H37"/>
      <c r="I37"/>
    </row>
    <row r="38" spans="1:9" s="284" customFormat="1" ht="15" x14ac:dyDescent="0.25">
      <c r="A38" s="288" t="s">
        <v>281</v>
      </c>
      <c r="B38" s="299" t="s">
        <v>219</v>
      </c>
      <c r="C38" s="290">
        <v>3</v>
      </c>
      <c r="D38" s="300">
        <v>0</v>
      </c>
      <c r="E38" s="317">
        <f t="shared" si="1"/>
        <v>0</v>
      </c>
      <c r="F38"/>
      <c r="G38"/>
      <c r="H38"/>
      <c r="I38"/>
    </row>
    <row r="39" spans="1:9" s="284" customFormat="1" ht="15" x14ac:dyDescent="0.25">
      <c r="A39" s="288" t="s">
        <v>282</v>
      </c>
      <c r="B39" s="299" t="s">
        <v>219</v>
      </c>
      <c r="C39" s="290">
        <v>6</v>
      </c>
      <c r="D39" s="300">
        <v>0</v>
      </c>
      <c r="E39" s="317">
        <f t="shared" si="1"/>
        <v>0</v>
      </c>
      <c r="F39"/>
      <c r="G39"/>
      <c r="H39"/>
      <c r="I39"/>
    </row>
    <row r="40" spans="1:9" s="284" customFormat="1" ht="15" x14ac:dyDescent="0.25">
      <c r="A40" s="288" t="s">
        <v>283</v>
      </c>
      <c r="B40" s="299" t="s">
        <v>219</v>
      </c>
      <c r="C40" s="290">
        <v>6</v>
      </c>
      <c r="D40" s="300">
        <v>0</v>
      </c>
      <c r="E40" s="317">
        <f t="shared" si="1"/>
        <v>0</v>
      </c>
      <c r="F40"/>
      <c r="G40"/>
      <c r="H40"/>
      <c r="I40"/>
    </row>
    <row r="41" spans="1:9" s="284" customFormat="1" ht="15" x14ac:dyDescent="0.25">
      <c r="A41" s="288" t="s">
        <v>284</v>
      </c>
      <c r="B41" s="299" t="s">
        <v>219</v>
      </c>
      <c r="C41" s="290">
        <v>1</v>
      </c>
      <c r="D41" s="300">
        <v>0</v>
      </c>
      <c r="E41" s="317">
        <f t="shared" si="1"/>
        <v>0</v>
      </c>
      <c r="F41"/>
      <c r="G41"/>
      <c r="H41"/>
      <c r="I41"/>
    </row>
    <row r="42" spans="1:9" s="284" customFormat="1" ht="15" x14ac:dyDescent="0.25">
      <c r="A42" s="288" t="s">
        <v>285</v>
      </c>
      <c r="B42" s="299" t="s">
        <v>219</v>
      </c>
      <c r="C42" s="290">
        <v>10</v>
      </c>
      <c r="D42" s="300">
        <v>0</v>
      </c>
      <c r="E42" s="317">
        <f t="shared" si="1"/>
        <v>0</v>
      </c>
      <c r="F42"/>
      <c r="G42"/>
      <c r="H42"/>
      <c r="I42"/>
    </row>
    <row r="43" spans="1:9" s="284" customFormat="1" ht="15" x14ac:dyDescent="0.25">
      <c r="A43" s="288" t="s">
        <v>286</v>
      </c>
      <c r="B43" s="299" t="s">
        <v>219</v>
      </c>
      <c r="C43" s="290">
        <v>2</v>
      </c>
      <c r="D43" s="300">
        <v>0</v>
      </c>
      <c r="E43" s="317">
        <f t="shared" si="1"/>
        <v>0</v>
      </c>
      <c r="F43"/>
      <c r="G43"/>
      <c r="H43"/>
      <c r="I43"/>
    </row>
    <row r="44" spans="1:9" s="284" customFormat="1" ht="15" x14ac:dyDescent="0.25">
      <c r="A44" s="288" t="s">
        <v>287</v>
      </c>
      <c r="B44" s="299" t="s">
        <v>219</v>
      </c>
      <c r="C44" s="290">
        <v>10</v>
      </c>
      <c r="D44" s="300">
        <v>0</v>
      </c>
      <c r="E44" s="317">
        <f t="shared" si="1"/>
        <v>0</v>
      </c>
      <c r="F44"/>
      <c r="G44"/>
      <c r="H44"/>
      <c r="I44"/>
    </row>
    <row r="45" spans="1:9" s="284" customFormat="1" ht="15" x14ac:dyDescent="0.25">
      <c r="A45" s="288" t="s">
        <v>288</v>
      </c>
      <c r="B45" s="299" t="s">
        <v>219</v>
      </c>
      <c r="C45" s="290">
        <v>20</v>
      </c>
      <c r="D45" s="300">
        <v>0</v>
      </c>
      <c r="E45" s="317">
        <f t="shared" si="1"/>
        <v>0</v>
      </c>
      <c r="F45"/>
      <c r="G45"/>
      <c r="H45"/>
      <c r="I45"/>
    </row>
    <row r="46" spans="1:9" s="284" customFormat="1" ht="15" x14ac:dyDescent="0.25">
      <c r="A46" s="288" t="s">
        <v>289</v>
      </c>
      <c r="B46" s="299" t="s">
        <v>219</v>
      </c>
      <c r="C46" s="301">
        <v>20</v>
      </c>
      <c r="D46" s="300">
        <v>0</v>
      </c>
      <c r="E46" s="317">
        <f t="shared" si="1"/>
        <v>0</v>
      </c>
      <c r="F46"/>
      <c r="G46"/>
      <c r="H46"/>
      <c r="I46"/>
    </row>
    <row r="47" spans="1:9" s="284" customFormat="1" ht="15" x14ac:dyDescent="0.25">
      <c r="A47" s="288" t="s">
        <v>290</v>
      </c>
      <c r="B47" s="299" t="s">
        <v>219</v>
      </c>
      <c r="C47" s="301">
        <v>15</v>
      </c>
      <c r="D47" s="300">
        <v>0</v>
      </c>
      <c r="E47" s="317">
        <f t="shared" si="1"/>
        <v>0</v>
      </c>
      <c r="F47"/>
      <c r="G47"/>
      <c r="H47"/>
      <c r="I47"/>
    </row>
    <row r="48" spans="1:9" s="284" customFormat="1" ht="15" x14ac:dyDescent="0.25">
      <c r="A48" s="288" t="s">
        <v>291</v>
      </c>
      <c r="B48" s="299" t="s">
        <v>219</v>
      </c>
      <c r="C48" s="290">
        <v>12</v>
      </c>
      <c r="D48" s="300">
        <v>0</v>
      </c>
      <c r="E48" s="317">
        <f t="shared" si="1"/>
        <v>0</v>
      </c>
      <c r="F48"/>
      <c r="G48"/>
      <c r="H48"/>
      <c r="I48"/>
    </row>
    <row r="49" spans="1:9" s="284" customFormat="1" ht="38.25" customHeight="1" x14ac:dyDescent="0.25">
      <c r="A49" s="288" t="s">
        <v>292</v>
      </c>
      <c r="B49" s="299" t="s">
        <v>219</v>
      </c>
      <c r="C49" s="290">
        <v>20</v>
      </c>
      <c r="D49" s="300">
        <v>0</v>
      </c>
      <c r="E49" s="317">
        <f t="shared" si="1"/>
        <v>0</v>
      </c>
      <c r="F49"/>
      <c r="G49"/>
      <c r="H49"/>
      <c r="I49"/>
    </row>
    <row r="50" spans="1:9" s="284" customFormat="1" ht="15" x14ac:dyDescent="0.25">
      <c r="A50" s="288" t="s">
        <v>293</v>
      </c>
      <c r="B50" s="299" t="s">
        <v>219</v>
      </c>
      <c r="C50" s="290">
        <v>6</v>
      </c>
      <c r="D50" s="300">
        <v>0</v>
      </c>
      <c r="E50" s="317">
        <f t="shared" si="1"/>
        <v>0</v>
      </c>
      <c r="F50"/>
      <c r="G50"/>
      <c r="H50"/>
      <c r="I50"/>
    </row>
    <row r="51" spans="1:9" s="284" customFormat="1" ht="15" x14ac:dyDescent="0.25">
      <c r="A51" s="289" t="s">
        <v>294</v>
      </c>
      <c r="B51" s="299" t="s">
        <v>219</v>
      </c>
      <c r="C51" s="290">
        <v>40</v>
      </c>
      <c r="D51" s="300">
        <v>0</v>
      </c>
      <c r="E51" s="317">
        <f t="shared" si="1"/>
        <v>0</v>
      </c>
      <c r="F51"/>
      <c r="G51"/>
      <c r="H51"/>
      <c r="I51"/>
    </row>
    <row r="52" spans="1:9" s="284" customFormat="1" ht="14.1" customHeight="1" x14ac:dyDescent="0.2">
      <c r="A52" s="801" t="s">
        <v>275</v>
      </c>
      <c r="B52" s="801"/>
      <c r="C52" s="801"/>
      <c r="D52" s="795"/>
      <c r="E52" s="298">
        <f>SUM(E35:E51)</f>
        <v>0</v>
      </c>
      <c r="F52" s="283"/>
      <c r="G52" s="283"/>
      <c r="H52" s="283"/>
      <c r="I52" s="283"/>
    </row>
    <row r="53" spans="1:9" s="284" customFormat="1" x14ac:dyDescent="0.2">
      <c r="A53" s="283"/>
      <c r="B53" s="283"/>
      <c r="C53" s="283"/>
      <c r="D53" s="283"/>
      <c r="E53" s="283"/>
      <c r="F53" s="283"/>
      <c r="G53" s="283"/>
      <c r="H53" s="283"/>
      <c r="I53" s="283"/>
    </row>
    <row r="54" spans="1:9" s="284" customFormat="1" x14ac:dyDescent="0.2">
      <c r="A54" s="283"/>
      <c r="B54" s="283"/>
      <c r="C54" s="283"/>
      <c r="D54" s="283"/>
      <c r="E54" s="283"/>
      <c r="F54" s="283"/>
      <c r="G54" s="283"/>
      <c r="H54" s="283"/>
      <c r="I54" s="283"/>
    </row>
    <row r="55" spans="1:9" s="284" customFormat="1" ht="39" customHeight="1" x14ac:dyDescent="0.25">
      <c r="A55" s="795" t="s">
        <v>295</v>
      </c>
      <c r="B55" s="795" t="s">
        <v>274</v>
      </c>
      <c r="C55" s="795" t="s">
        <v>275</v>
      </c>
      <c r="D55" s="795" t="s">
        <v>245</v>
      </c>
      <c r="E55" s="795" t="s">
        <v>276</v>
      </c>
      <c r="F55" s="799" t="s">
        <v>277</v>
      </c>
      <c r="G55" s="799" t="s">
        <v>296</v>
      </c>
      <c r="H55"/>
      <c r="I55"/>
    </row>
    <row r="56" spans="1:9" s="284" customFormat="1" ht="15" x14ac:dyDescent="0.25">
      <c r="A56" s="795"/>
      <c r="B56" s="795"/>
      <c r="C56" s="795"/>
      <c r="D56" s="795"/>
      <c r="E56" s="795" t="s">
        <v>276</v>
      </c>
      <c r="F56" s="800"/>
      <c r="G56" s="800"/>
      <c r="H56"/>
      <c r="I56"/>
    </row>
    <row r="57" spans="1:9" s="284" customFormat="1" ht="31.5" customHeight="1" x14ac:dyDescent="0.25">
      <c r="A57" s="407" t="s">
        <v>402</v>
      </c>
      <c r="B57" s="302" t="s">
        <v>219</v>
      </c>
      <c r="C57" s="290">
        <v>1</v>
      </c>
      <c r="D57" s="303">
        <v>0</v>
      </c>
      <c r="E57" s="318">
        <v>0</v>
      </c>
      <c r="F57" s="349">
        <f>E57*10%</f>
        <v>0</v>
      </c>
      <c r="G57" s="807">
        <f>SUM(F57:F71)/12</f>
        <v>0</v>
      </c>
      <c r="H57"/>
      <c r="I57"/>
    </row>
    <row r="58" spans="1:9" s="284" customFormat="1" ht="15" x14ac:dyDescent="0.25">
      <c r="A58" s="288" t="s">
        <v>297</v>
      </c>
      <c r="B58" s="302" t="s">
        <v>219</v>
      </c>
      <c r="C58" s="290">
        <v>4</v>
      </c>
      <c r="D58" s="303">
        <v>0</v>
      </c>
      <c r="E58" s="318">
        <v>0</v>
      </c>
      <c r="F58" s="349">
        <f t="shared" ref="F58:F72" si="2">E58*10%</f>
        <v>0</v>
      </c>
      <c r="G58" s="808"/>
      <c r="H58"/>
      <c r="I58"/>
    </row>
    <row r="59" spans="1:9" s="284" customFormat="1" ht="25.5" x14ac:dyDescent="0.25">
      <c r="A59" s="304" t="s">
        <v>298</v>
      </c>
      <c r="B59" s="302" t="s">
        <v>219</v>
      </c>
      <c r="C59" s="290">
        <v>10</v>
      </c>
      <c r="D59" s="303">
        <v>0</v>
      </c>
      <c r="E59" s="318">
        <v>0</v>
      </c>
      <c r="F59" s="349">
        <f t="shared" si="2"/>
        <v>0</v>
      </c>
      <c r="G59" s="808"/>
      <c r="H59"/>
      <c r="I59"/>
    </row>
    <row r="60" spans="1:9" s="284" customFormat="1" ht="25.5" x14ac:dyDescent="0.25">
      <c r="A60" s="288" t="s">
        <v>299</v>
      </c>
      <c r="B60" s="302" t="s">
        <v>219</v>
      </c>
      <c r="C60" s="290">
        <v>4</v>
      </c>
      <c r="D60" s="303">
        <v>0</v>
      </c>
      <c r="E60" s="318">
        <v>0</v>
      </c>
      <c r="F60" s="349">
        <f t="shared" si="2"/>
        <v>0</v>
      </c>
      <c r="G60" s="808"/>
      <c r="H60"/>
      <c r="I60"/>
    </row>
    <row r="61" spans="1:9" s="284" customFormat="1" ht="15" x14ac:dyDescent="0.25">
      <c r="A61" s="288" t="s">
        <v>300</v>
      </c>
      <c r="B61" s="299" t="s">
        <v>219</v>
      </c>
      <c r="C61" s="290">
        <v>2</v>
      </c>
      <c r="D61" s="303">
        <v>0</v>
      </c>
      <c r="E61" s="318">
        <v>0</v>
      </c>
      <c r="F61" s="349">
        <f t="shared" si="2"/>
        <v>0</v>
      </c>
      <c r="G61" s="808"/>
      <c r="H61"/>
      <c r="I61"/>
    </row>
    <row r="62" spans="1:9" s="284" customFormat="1" ht="15" x14ac:dyDescent="0.25">
      <c r="A62" s="304" t="s">
        <v>301</v>
      </c>
      <c r="B62" s="302" t="s">
        <v>219</v>
      </c>
      <c r="C62" s="290">
        <v>1</v>
      </c>
      <c r="D62" s="303">
        <v>0</v>
      </c>
      <c r="E62" s="318">
        <v>0</v>
      </c>
      <c r="F62" s="349">
        <f t="shared" si="2"/>
        <v>0</v>
      </c>
      <c r="G62" s="808"/>
      <c r="H62"/>
      <c r="I62"/>
    </row>
    <row r="63" spans="1:9" s="284" customFormat="1" ht="15" x14ac:dyDescent="0.25">
      <c r="A63" s="288" t="s">
        <v>302</v>
      </c>
      <c r="B63" s="305" t="s">
        <v>219</v>
      </c>
      <c r="C63" s="290">
        <v>1</v>
      </c>
      <c r="D63" s="303">
        <v>0</v>
      </c>
      <c r="E63" s="318">
        <v>0</v>
      </c>
      <c r="F63" s="349">
        <f t="shared" si="2"/>
        <v>0</v>
      </c>
      <c r="G63" s="808"/>
      <c r="H63"/>
      <c r="I63"/>
    </row>
    <row r="64" spans="1:9" s="284" customFormat="1" ht="15" x14ac:dyDescent="0.25">
      <c r="A64" s="288" t="s">
        <v>403</v>
      </c>
      <c r="B64" s="305" t="s">
        <v>219</v>
      </c>
      <c r="C64" s="290">
        <v>2</v>
      </c>
      <c r="D64" s="303">
        <v>0</v>
      </c>
      <c r="E64" s="318">
        <v>0</v>
      </c>
      <c r="F64" s="349">
        <f t="shared" si="2"/>
        <v>0</v>
      </c>
      <c r="G64" s="808"/>
      <c r="H64"/>
      <c r="I64"/>
    </row>
    <row r="65" spans="1:9" s="284" customFormat="1" ht="51" x14ac:dyDescent="0.25">
      <c r="A65" s="288" t="s">
        <v>303</v>
      </c>
      <c r="B65" s="299" t="s">
        <v>219</v>
      </c>
      <c r="C65" s="290">
        <v>4</v>
      </c>
      <c r="D65" s="303">
        <v>0</v>
      </c>
      <c r="E65" s="318">
        <v>0</v>
      </c>
      <c r="F65" s="349">
        <f t="shared" si="2"/>
        <v>0</v>
      </c>
      <c r="G65" s="808"/>
      <c r="H65"/>
      <c r="I65"/>
    </row>
    <row r="66" spans="1:9" s="284" customFormat="1" ht="25.5" customHeight="1" x14ac:dyDescent="0.25">
      <c r="A66" s="295" t="s">
        <v>304</v>
      </c>
      <c r="B66" s="306" t="s">
        <v>219</v>
      </c>
      <c r="C66" s="290">
        <v>30</v>
      </c>
      <c r="D66" s="303">
        <v>0</v>
      </c>
      <c r="E66" s="318">
        <v>0</v>
      </c>
      <c r="F66" s="349">
        <f t="shared" si="2"/>
        <v>0</v>
      </c>
      <c r="G66" s="808"/>
      <c r="H66"/>
      <c r="I66"/>
    </row>
    <row r="67" spans="1:9" s="284" customFormat="1" ht="15" x14ac:dyDescent="0.25">
      <c r="A67" s="288" t="s">
        <v>305</v>
      </c>
      <c r="B67" s="299" t="s">
        <v>219</v>
      </c>
      <c r="C67" s="290">
        <v>40</v>
      </c>
      <c r="D67" s="303">
        <v>0</v>
      </c>
      <c r="E67" s="318">
        <v>0</v>
      </c>
      <c r="F67" s="349">
        <f t="shared" si="2"/>
        <v>0</v>
      </c>
      <c r="G67" s="808"/>
      <c r="H67"/>
      <c r="I67"/>
    </row>
    <row r="68" spans="1:9" s="284" customFormat="1" ht="15" x14ac:dyDescent="0.25">
      <c r="A68" s="295" t="s">
        <v>397</v>
      </c>
      <c r="B68" s="299" t="s">
        <v>219</v>
      </c>
      <c r="C68" s="290">
        <v>35</v>
      </c>
      <c r="D68" s="303">
        <v>0</v>
      </c>
      <c r="E68" s="318">
        <v>0</v>
      </c>
      <c r="F68" s="349">
        <f t="shared" si="2"/>
        <v>0</v>
      </c>
      <c r="G68" s="808"/>
      <c r="H68"/>
      <c r="I68"/>
    </row>
    <row r="69" spans="1:9" s="284" customFormat="1" ht="15" x14ac:dyDescent="0.25">
      <c r="A69" s="288" t="s">
        <v>306</v>
      </c>
      <c r="B69" s="299" t="s">
        <v>219</v>
      </c>
      <c r="C69" s="290">
        <v>2</v>
      </c>
      <c r="D69" s="303">
        <v>0</v>
      </c>
      <c r="E69" s="318">
        <v>0</v>
      </c>
      <c r="F69" s="349">
        <f t="shared" si="2"/>
        <v>0</v>
      </c>
      <c r="G69" s="808"/>
      <c r="H69"/>
      <c r="I69"/>
    </row>
    <row r="70" spans="1:9" s="284" customFormat="1" ht="15" x14ac:dyDescent="0.25">
      <c r="A70" s="304" t="s">
        <v>307</v>
      </c>
      <c r="B70" s="299" t="s">
        <v>219</v>
      </c>
      <c r="C70" s="290">
        <v>1</v>
      </c>
      <c r="D70" s="303">
        <v>0</v>
      </c>
      <c r="E70" s="318">
        <v>0</v>
      </c>
      <c r="F70" s="349">
        <f t="shared" si="2"/>
        <v>0</v>
      </c>
      <c r="G70" s="808"/>
      <c r="H70"/>
      <c r="I70"/>
    </row>
    <row r="71" spans="1:9" s="284" customFormat="1" ht="15" x14ac:dyDescent="0.25">
      <c r="A71" s="288" t="s">
        <v>308</v>
      </c>
      <c r="B71" s="299" t="s">
        <v>219</v>
      </c>
      <c r="C71" s="290">
        <v>1</v>
      </c>
      <c r="D71" s="303">
        <v>0</v>
      </c>
      <c r="E71" s="318">
        <v>0</v>
      </c>
      <c r="F71" s="349">
        <f t="shared" si="2"/>
        <v>0</v>
      </c>
      <c r="G71" s="808"/>
      <c r="H71"/>
      <c r="I71"/>
    </row>
    <row r="72" spans="1:9" s="284" customFormat="1" ht="14.1" customHeight="1" x14ac:dyDescent="0.25">
      <c r="A72" s="295" t="s">
        <v>309</v>
      </c>
      <c r="B72" s="299" t="s">
        <v>219</v>
      </c>
      <c r="C72" s="290">
        <v>2</v>
      </c>
      <c r="D72" s="303">
        <v>0</v>
      </c>
      <c r="E72" s="318">
        <v>0</v>
      </c>
      <c r="F72" s="349">
        <f t="shared" si="2"/>
        <v>0</v>
      </c>
      <c r="G72" s="809"/>
      <c r="H72"/>
      <c r="I72"/>
    </row>
    <row r="73" spans="1:9" s="284" customFormat="1" ht="14.1" customHeight="1" x14ac:dyDescent="0.2">
      <c r="A73" s="801" t="s">
        <v>275</v>
      </c>
      <c r="B73" s="795"/>
      <c r="C73" s="795"/>
      <c r="D73" s="795"/>
      <c r="E73" s="298">
        <f>SUM(E55:E72)</f>
        <v>0</v>
      </c>
      <c r="F73" s="283"/>
    </row>
    <row r="74" spans="1:9" s="284" customFormat="1" x14ac:dyDescent="0.2">
      <c r="A74" s="283"/>
      <c r="B74" s="283"/>
      <c r="C74" s="283"/>
      <c r="D74" s="283"/>
      <c r="E74" s="283"/>
      <c r="F74" s="283"/>
    </row>
    <row r="75" spans="1:9" s="284" customFormat="1" x14ac:dyDescent="0.2">
      <c r="A75" s="283"/>
      <c r="B75" s="283"/>
      <c r="C75" s="283"/>
      <c r="D75" s="283"/>
      <c r="E75" s="283"/>
      <c r="F75" s="283"/>
    </row>
    <row r="76" spans="1:9" s="284" customFormat="1" x14ac:dyDescent="0.2">
      <c r="A76" s="283"/>
      <c r="B76" s="283"/>
      <c r="C76" s="283"/>
      <c r="D76" s="283"/>
      <c r="E76" s="283"/>
      <c r="F76" s="283"/>
    </row>
    <row r="77" spans="1:9" s="284" customFormat="1" ht="13.5" thickBot="1" x14ac:dyDescent="0.25">
      <c r="A77" s="283"/>
      <c r="B77" s="283"/>
      <c r="C77" s="283"/>
      <c r="D77" s="283"/>
      <c r="E77" s="283"/>
      <c r="F77" s="283"/>
    </row>
    <row r="78" spans="1:9" s="284" customFormat="1" ht="14.1" customHeight="1" thickBot="1" x14ac:dyDescent="0.25">
      <c r="A78" s="810" t="s">
        <v>207</v>
      </c>
      <c r="B78" s="810"/>
      <c r="C78" s="283"/>
      <c r="D78" s="283"/>
      <c r="E78" s="283"/>
      <c r="F78" s="283"/>
    </row>
    <row r="79" spans="1:9" s="284" customFormat="1" ht="13.5" thickBot="1" x14ac:dyDescent="0.25">
      <c r="A79" s="307" t="s">
        <v>310</v>
      </c>
      <c r="B79" s="308">
        <f>D30</f>
        <v>0</v>
      </c>
      <c r="C79" s="283"/>
      <c r="D79" s="283"/>
      <c r="E79" s="283"/>
      <c r="F79" s="283"/>
    </row>
    <row r="80" spans="1:9" s="284" customFormat="1" ht="13.5" thickBot="1" x14ac:dyDescent="0.25">
      <c r="A80" s="307" t="s">
        <v>311</v>
      </c>
      <c r="B80" s="309">
        <f>E52/6</f>
        <v>0</v>
      </c>
      <c r="C80" s="283"/>
      <c r="D80" s="283"/>
      <c r="E80" s="283"/>
      <c r="F80" s="283"/>
    </row>
    <row r="81" spans="1:12" s="284" customFormat="1" ht="13.5" thickBot="1" x14ac:dyDescent="0.25">
      <c r="A81" s="307" t="s">
        <v>312</v>
      </c>
      <c r="B81" s="309">
        <f>G57</f>
        <v>0</v>
      </c>
      <c r="C81" s="283"/>
      <c r="D81" s="283"/>
      <c r="E81" s="283"/>
      <c r="F81" s="283"/>
    </row>
    <row r="82" spans="1:12" s="284" customFormat="1" ht="13.5" thickBot="1" x14ac:dyDescent="0.25">
      <c r="A82" s="283"/>
      <c r="B82" s="283"/>
      <c r="C82" s="283"/>
      <c r="D82" s="283"/>
      <c r="E82" s="283"/>
      <c r="F82" s="283"/>
    </row>
    <row r="83" spans="1:12" s="284" customFormat="1" ht="13.35" customHeight="1" thickBot="1" x14ac:dyDescent="0.25">
      <c r="A83" s="810" t="s">
        <v>313</v>
      </c>
      <c r="B83" s="810"/>
      <c r="C83" s="283"/>
      <c r="D83" s="283"/>
      <c r="E83" s="283"/>
      <c r="F83" s="283"/>
    </row>
    <row r="84" spans="1:12" s="284" customFormat="1" ht="13.5" thickBot="1" x14ac:dyDescent="0.25">
      <c r="A84" s="307" t="s">
        <v>314</v>
      </c>
      <c r="B84" s="310">
        <f>'Quantitativo de pessoal'!F14+'Quantitativo de pessoal'!G14+'Quantitativo de pessoal'!H14</f>
        <v>14</v>
      </c>
      <c r="C84" s="283"/>
      <c r="D84" s="283"/>
      <c r="E84" s="283"/>
      <c r="F84" s="283"/>
    </row>
    <row r="85" spans="1:12" s="284" customFormat="1" ht="13.5" thickBot="1" x14ac:dyDescent="0.25">
      <c r="A85" s="307" t="s">
        <v>310</v>
      </c>
      <c r="B85" s="309">
        <f>B79/B84</f>
        <v>0</v>
      </c>
      <c r="C85" s="283"/>
      <c r="D85" s="283"/>
      <c r="E85" s="283"/>
      <c r="F85" s="283"/>
    </row>
    <row r="86" spans="1:12" s="284" customFormat="1" ht="13.5" thickBot="1" x14ac:dyDescent="0.25">
      <c r="A86" s="307" t="s">
        <v>311</v>
      </c>
      <c r="B86" s="309">
        <f>B80/B84</f>
        <v>0</v>
      </c>
      <c r="C86" s="283"/>
      <c r="D86" s="283"/>
      <c r="E86" s="283"/>
      <c r="F86" s="283"/>
    </row>
    <row r="87" spans="1:12" s="284" customFormat="1" ht="13.5" thickBot="1" x14ac:dyDescent="0.25">
      <c r="A87" s="307" t="s">
        <v>312</v>
      </c>
      <c r="B87" s="309">
        <f>B81/B84</f>
        <v>0</v>
      </c>
      <c r="C87" s="283"/>
      <c r="D87" s="283"/>
      <c r="E87" s="283"/>
      <c r="F87" s="283"/>
    </row>
    <row r="88" spans="1:12" s="284" customFormat="1" x14ac:dyDescent="0.2">
      <c r="A88" s="283"/>
      <c r="B88" s="283"/>
      <c r="C88" s="283"/>
      <c r="D88" s="283"/>
      <c r="E88" s="283"/>
      <c r="F88" s="283"/>
    </row>
    <row r="89" spans="1:12" s="284" customFormat="1" ht="13.5" thickBot="1" x14ac:dyDescent="0.25">
      <c r="A89" s="283"/>
      <c r="B89" s="283"/>
      <c r="C89" s="283"/>
      <c r="D89" s="283"/>
      <c r="E89" s="283"/>
      <c r="F89" s="283"/>
    </row>
    <row r="90" spans="1:12" s="284" customFormat="1" ht="14.1" customHeight="1" thickBot="1" x14ac:dyDescent="0.3">
      <c r="A90" s="804" t="s">
        <v>315</v>
      </c>
      <c r="B90" s="805"/>
      <c r="C90" s="805"/>
      <c r="D90" s="805"/>
      <c r="E90" s="805"/>
      <c r="F90" s="805"/>
      <c r="G90" s="805"/>
      <c r="H90" s="805"/>
      <c r="I90" s="806"/>
      <c r="J90"/>
      <c r="K90"/>
      <c r="L90"/>
    </row>
    <row r="91" spans="1:12" s="284" customFormat="1" ht="14.1" customHeight="1" thickBot="1" x14ac:dyDescent="0.3">
      <c r="A91" s="320" t="s">
        <v>208</v>
      </c>
      <c r="B91" s="320" t="s">
        <v>316</v>
      </c>
      <c r="C91" s="320" t="s">
        <v>317</v>
      </c>
      <c r="D91" s="320" t="s">
        <v>318</v>
      </c>
      <c r="E91" s="817" t="s">
        <v>430</v>
      </c>
      <c r="F91" s="817" t="s">
        <v>431</v>
      </c>
      <c r="G91" s="802" t="s">
        <v>333</v>
      </c>
      <c r="H91" s="803"/>
      <c r="I91" s="315" t="s">
        <v>373</v>
      </c>
      <c r="J91"/>
    </row>
    <row r="92" spans="1:12" s="284" customFormat="1" ht="16.5" thickTop="1" thickBot="1" x14ac:dyDescent="0.3">
      <c r="A92" s="322" t="s">
        <v>320</v>
      </c>
      <c r="B92" s="323">
        <v>0</v>
      </c>
      <c r="C92" s="324">
        <v>12</v>
      </c>
      <c r="D92" s="324">
        <v>2</v>
      </c>
      <c r="E92" s="818">
        <f>ROUND($B92*$D92/$C92,2)</f>
        <v>0</v>
      </c>
      <c r="F92" s="818">
        <f>ROUND($B92*$D92/$C92,2)</f>
        <v>0</v>
      </c>
      <c r="G92" s="822">
        <f>ROUND(B92*D92/C92,2)</f>
        <v>0</v>
      </c>
      <c r="H92" s="823"/>
      <c r="I92" s="366">
        <f>G92</f>
        <v>0</v>
      </c>
      <c r="J92"/>
    </row>
    <row r="93" spans="1:12" s="284" customFormat="1" ht="15.75" thickBot="1" x14ac:dyDescent="0.3">
      <c r="A93" s="325" t="s">
        <v>321</v>
      </c>
      <c r="B93" s="323">
        <v>0</v>
      </c>
      <c r="C93" s="321">
        <v>12</v>
      </c>
      <c r="D93" s="321">
        <v>2</v>
      </c>
      <c r="E93" s="818">
        <f t="shared" ref="E93:H100" si="3">ROUND($B93*$D93/$C93,2)</f>
        <v>0</v>
      </c>
      <c r="F93" s="818">
        <f t="shared" si="3"/>
        <v>0</v>
      </c>
      <c r="G93" s="820">
        <f t="shared" ref="G93:G98" si="4">ROUND(B93*D93/C93,2)</f>
        <v>0</v>
      </c>
      <c r="H93" s="821"/>
      <c r="I93" s="366">
        <f t="shared" ref="I93:I97" si="5">G93</f>
        <v>0</v>
      </c>
      <c r="J93"/>
    </row>
    <row r="94" spans="1:12" s="284" customFormat="1" ht="15.75" thickBot="1" x14ac:dyDescent="0.3">
      <c r="A94" s="325" t="s">
        <v>322</v>
      </c>
      <c r="B94" s="323">
        <v>0</v>
      </c>
      <c r="C94" s="321">
        <v>12</v>
      </c>
      <c r="D94" s="321">
        <v>1</v>
      </c>
      <c r="E94" s="818">
        <f t="shared" si="3"/>
        <v>0</v>
      </c>
      <c r="F94" s="818">
        <f t="shared" si="3"/>
        <v>0</v>
      </c>
      <c r="G94" s="820">
        <f t="shared" si="4"/>
        <v>0</v>
      </c>
      <c r="H94" s="821"/>
      <c r="I94" s="366">
        <f t="shared" si="5"/>
        <v>0</v>
      </c>
      <c r="J94"/>
    </row>
    <row r="95" spans="1:12" s="284" customFormat="1" ht="15.75" thickBot="1" x14ac:dyDescent="0.3">
      <c r="A95" s="325" t="s">
        <v>323</v>
      </c>
      <c r="B95" s="323">
        <v>0</v>
      </c>
      <c r="C95" s="321">
        <v>12</v>
      </c>
      <c r="D95" s="321">
        <v>4</v>
      </c>
      <c r="E95" s="818">
        <f t="shared" si="3"/>
        <v>0</v>
      </c>
      <c r="F95" s="818">
        <f t="shared" si="3"/>
        <v>0</v>
      </c>
      <c r="G95" s="820">
        <f t="shared" si="4"/>
        <v>0</v>
      </c>
      <c r="H95" s="821"/>
      <c r="I95" s="366">
        <f t="shared" si="5"/>
        <v>0</v>
      </c>
      <c r="J95"/>
    </row>
    <row r="96" spans="1:12" s="284" customFormat="1" ht="15.75" thickBot="1" x14ac:dyDescent="0.3">
      <c r="A96" s="325" t="s">
        <v>324</v>
      </c>
      <c r="B96" s="323">
        <v>0</v>
      </c>
      <c r="C96" s="321">
        <v>12</v>
      </c>
      <c r="D96" s="321">
        <v>1</v>
      </c>
      <c r="E96" s="818">
        <f t="shared" si="3"/>
        <v>0</v>
      </c>
      <c r="F96" s="818">
        <f t="shared" si="3"/>
        <v>0</v>
      </c>
      <c r="G96" s="820">
        <f t="shared" si="4"/>
        <v>0</v>
      </c>
      <c r="H96" s="821"/>
      <c r="I96" s="366">
        <v>0</v>
      </c>
      <c r="J96"/>
    </row>
    <row r="97" spans="1:10" s="284" customFormat="1" ht="15.75" thickBot="1" x14ac:dyDescent="0.3">
      <c r="A97" s="325" t="s">
        <v>325</v>
      </c>
      <c r="B97" s="323">
        <v>0</v>
      </c>
      <c r="C97" s="321">
        <v>12</v>
      </c>
      <c r="D97" s="321">
        <v>1</v>
      </c>
      <c r="E97" s="818">
        <f t="shared" si="3"/>
        <v>0</v>
      </c>
      <c r="F97" s="818">
        <f t="shared" si="3"/>
        <v>0</v>
      </c>
      <c r="G97" s="820">
        <f t="shared" si="4"/>
        <v>0</v>
      </c>
      <c r="H97" s="821"/>
      <c r="I97" s="366">
        <f t="shared" si="5"/>
        <v>0</v>
      </c>
      <c r="J97"/>
    </row>
    <row r="98" spans="1:10" s="284" customFormat="1" ht="15.75" thickBot="1" x14ac:dyDescent="0.3">
      <c r="A98" s="325" t="s">
        <v>326</v>
      </c>
      <c r="B98" s="323">
        <v>0</v>
      </c>
      <c r="C98" s="321">
        <v>6</v>
      </c>
      <c r="D98" s="321">
        <v>3</v>
      </c>
      <c r="E98" s="818">
        <f t="shared" si="3"/>
        <v>0</v>
      </c>
      <c r="F98" s="818">
        <f t="shared" si="3"/>
        <v>0</v>
      </c>
      <c r="G98" s="820">
        <f t="shared" si="4"/>
        <v>0</v>
      </c>
      <c r="H98" s="821"/>
      <c r="I98" s="366">
        <v>0</v>
      </c>
      <c r="J98"/>
    </row>
    <row r="99" spans="1:10" s="284" customFormat="1" ht="15.75" thickBot="1" x14ac:dyDescent="0.3">
      <c r="A99" s="325" t="s">
        <v>327</v>
      </c>
      <c r="B99" s="323">
        <v>0</v>
      </c>
      <c r="C99" s="321">
        <v>12</v>
      </c>
      <c r="D99" s="321">
        <v>1</v>
      </c>
      <c r="E99" s="818">
        <f t="shared" si="3"/>
        <v>0</v>
      </c>
      <c r="F99" s="818">
        <f t="shared" si="3"/>
        <v>0</v>
      </c>
      <c r="G99" s="820">
        <v>0</v>
      </c>
      <c r="H99" s="821"/>
      <c r="I99" s="367">
        <v>0</v>
      </c>
      <c r="J99"/>
    </row>
    <row r="100" spans="1:10" s="284" customFormat="1" ht="15.75" thickBot="1" x14ac:dyDescent="0.3">
      <c r="A100" s="326" t="s">
        <v>87</v>
      </c>
      <c r="B100" s="323">
        <v>0</v>
      </c>
      <c r="C100" s="327">
        <v>12</v>
      </c>
      <c r="D100" s="327"/>
      <c r="E100" s="818">
        <f t="shared" si="3"/>
        <v>0</v>
      </c>
      <c r="F100" s="818">
        <f t="shared" si="3"/>
        <v>0</v>
      </c>
      <c r="G100" s="826">
        <v>0</v>
      </c>
      <c r="H100" s="827"/>
      <c r="I100" s="367">
        <v>0</v>
      </c>
      <c r="J100"/>
    </row>
    <row r="101" spans="1:10" s="284" customFormat="1" ht="15.75" thickBot="1" x14ac:dyDescent="0.3">
      <c r="A101" s="314"/>
      <c r="B101" s="314"/>
      <c r="C101" s="314"/>
      <c r="D101" s="311" t="s">
        <v>328</v>
      </c>
      <c r="E101" s="819">
        <f>SUM(E92:E100)</f>
        <v>0</v>
      </c>
      <c r="F101" s="819">
        <f>SUM(F92:F100)</f>
        <v>0</v>
      </c>
      <c r="G101" s="824">
        <f>SUM(G92:G100)</f>
        <v>0</v>
      </c>
      <c r="H101" s="825"/>
      <c r="I101" s="368">
        <f>SUM(I92:I100)</f>
        <v>0</v>
      </c>
      <c r="J101"/>
    </row>
  </sheetData>
  <mergeCells count="34">
    <mergeCell ref="A90:I90"/>
    <mergeCell ref="G57:G72"/>
    <mergeCell ref="G97:H97"/>
    <mergeCell ref="G98:H98"/>
    <mergeCell ref="G99:H99"/>
    <mergeCell ref="A73:D73"/>
    <mergeCell ref="A78:B78"/>
    <mergeCell ref="A83:B83"/>
    <mergeCell ref="G100:H100"/>
    <mergeCell ref="G101:H101"/>
    <mergeCell ref="G91:H91"/>
    <mergeCell ref="G92:H92"/>
    <mergeCell ref="G93:H93"/>
    <mergeCell ref="G94:H94"/>
    <mergeCell ref="G95:H95"/>
    <mergeCell ref="G96:H96"/>
    <mergeCell ref="F55:F56"/>
    <mergeCell ref="G55:G56"/>
    <mergeCell ref="A52:D52"/>
    <mergeCell ref="A55:A56"/>
    <mergeCell ref="B55:B56"/>
    <mergeCell ref="C55:C56"/>
    <mergeCell ref="D55:D56"/>
    <mergeCell ref="E55:E56"/>
    <mergeCell ref="E33:E34"/>
    <mergeCell ref="A1:A2"/>
    <mergeCell ref="B1:B2"/>
    <mergeCell ref="C1:C2"/>
    <mergeCell ref="D1:D2"/>
    <mergeCell ref="A30:C30"/>
    <mergeCell ref="A33:A34"/>
    <mergeCell ref="B33:B34"/>
    <mergeCell ref="C33:C34"/>
    <mergeCell ref="D33:D34"/>
  </mergeCells>
  <dataValidations count="1">
    <dataValidation operator="equal" allowBlank="1" showErrorMessage="1" sqref="D35:D51 D57:D72" xr:uid="{EC394DBA-E821-4731-BD85-72A5C050F7F5}">
      <formula1>0</formula1>
      <formula2>0</formula2>
    </dataValidation>
  </dataValidations>
  <pageMargins left="0.51180555555555496" right="0.51180555555555496" top="0.78749999999999998" bottom="0.78749999999999998" header="0.51180555555555496" footer="0.51180555555555496"/>
  <pageSetup paperSize="9" scale="52" firstPageNumber="0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BB98C7-0690-440B-895D-351356333DAF}">
  <sheetPr>
    <tabColor rgb="FFFFFFFF"/>
    <pageSetUpPr fitToPage="1"/>
  </sheetPr>
  <dimension ref="A1:IW72"/>
  <sheetViews>
    <sheetView showGridLines="0" topLeftCell="A40" zoomScale="90" zoomScaleNormal="90" workbookViewId="0">
      <selection activeCell="D69" sqref="D69"/>
    </sheetView>
  </sheetViews>
  <sheetFormatPr defaultRowHeight="12.75" x14ac:dyDescent="0.2"/>
  <cols>
    <col min="1" max="1" width="57.5703125" style="284" customWidth="1"/>
    <col min="2" max="2" width="28.85546875" style="284" customWidth="1"/>
    <col min="3" max="4" width="20.42578125" style="284" customWidth="1"/>
    <col min="5" max="5" width="23.85546875" style="284" customWidth="1"/>
    <col min="6" max="6" width="24" style="284" customWidth="1"/>
    <col min="7" max="7" width="15.7109375" style="284" customWidth="1"/>
    <col min="8" max="8" width="12.85546875" style="284" customWidth="1"/>
    <col min="9" max="257" width="9.140625" style="284"/>
    <col min="258" max="16384" width="9.140625" style="283"/>
  </cols>
  <sheetData>
    <row r="1" spans="1:9" ht="14.1" customHeight="1" x14ac:dyDescent="0.2">
      <c r="A1" s="794" t="s">
        <v>405</v>
      </c>
      <c r="B1" s="794" t="s">
        <v>244</v>
      </c>
      <c r="C1" s="794" t="s">
        <v>245</v>
      </c>
      <c r="D1" s="794" t="s">
        <v>246</v>
      </c>
      <c r="E1" s="283"/>
      <c r="F1" s="283"/>
      <c r="G1" s="283"/>
      <c r="H1" s="283"/>
      <c r="I1" s="283"/>
    </row>
    <row r="2" spans="1:9" x14ac:dyDescent="0.2">
      <c r="A2" s="794"/>
      <c r="B2" s="794"/>
      <c r="C2" s="794"/>
      <c r="D2" s="794"/>
      <c r="E2" s="283"/>
      <c r="F2" s="283"/>
      <c r="G2" s="283"/>
      <c r="H2" s="283"/>
      <c r="I2" s="283"/>
    </row>
    <row r="3" spans="1:9" ht="18" customHeight="1" x14ac:dyDescent="0.2">
      <c r="A3" s="288" t="s">
        <v>346</v>
      </c>
      <c r="B3" s="290">
        <v>4</v>
      </c>
      <c r="C3" s="316">
        <v>0</v>
      </c>
      <c r="D3" s="317">
        <v>0</v>
      </c>
      <c r="E3" s="283"/>
      <c r="F3" s="283"/>
      <c r="G3" s="283"/>
      <c r="H3" s="283"/>
      <c r="I3" s="283"/>
    </row>
    <row r="4" spans="1:9" ht="21" customHeight="1" x14ac:dyDescent="0.2">
      <c r="A4" s="288" t="s">
        <v>248</v>
      </c>
      <c r="B4" s="290">
        <v>5</v>
      </c>
      <c r="C4" s="409">
        <v>0</v>
      </c>
      <c r="D4" s="317">
        <v>0</v>
      </c>
      <c r="E4" s="283"/>
      <c r="F4" s="283"/>
      <c r="G4" s="283"/>
      <c r="H4" s="283"/>
      <c r="I4" s="283"/>
    </row>
    <row r="5" spans="1:9" ht="19.149999999999999" customHeight="1" x14ac:dyDescent="0.2">
      <c r="A5" s="288" t="s">
        <v>395</v>
      </c>
      <c r="B5" s="290">
        <v>5</v>
      </c>
      <c r="C5" s="409">
        <v>0</v>
      </c>
      <c r="D5" s="317">
        <v>0</v>
      </c>
      <c r="E5" s="283"/>
      <c r="F5" s="283"/>
      <c r="G5" s="283"/>
      <c r="H5" s="283"/>
      <c r="I5" s="283"/>
    </row>
    <row r="6" spans="1:9" ht="21.6" customHeight="1" x14ac:dyDescent="0.2">
      <c r="A6" s="288" t="s">
        <v>347</v>
      </c>
      <c r="B6" s="290">
        <v>3</v>
      </c>
      <c r="C6" s="409">
        <v>0</v>
      </c>
      <c r="D6" s="317">
        <v>0</v>
      </c>
      <c r="E6" s="283"/>
      <c r="F6" s="283"/>
      <c r="G6" s="283"/>
      <c r="H6" s="283"/>
      <c r="I6" s="283"/>
    </row>
    <row r="7" spans="1:9" ht="29.25" customHeight="1" x14ac:dyDescent="0.2">
      <c r="A7" s="288" t="s">
        <v>348</v>
      </c>
      <c r="B7" s="290">
        <v>4</v>
      </c>
      <c r="C7" s="409">
        <v>0</v>
      </c>
      <c r="D7" s="317">
        <v>0</v>
      </c>
      <c r="E7" s="283"/>
      <c r="F7" s="283"/>
      <c r="G7" s="283"/>
      <c r="H7" s="283"/>
      <c r="I7" s="283"/>
    </row>
    <row r="8" spans="1:9" ht="27" customHeight="1" x14ac:dyDescent="0.2">
      <c r="A8" s="288" t="s">
        <v>252</v>
      </c>
      <c r="B8" s="290">
        <v>4</v>
      </c>
      <c r="C8" s="409">
        <v>0</v>
      </c>
      <c r="D8" s="317">
        <v>0</v>
      </c>
      <c r="E8" s="283"/>
      <c r="F8" s="283"/>
      <c r="G8" s="283"/>
      <c r="H8" s="283"/>
      <c r="I8" s="283"/>
    </row>
    <row r="9" spans="1:9" ht="42" customHeight="1" x14ac:dyDescent="0.2">
      <c r="A9" s="288" t="s">
        <v>349</v>
      </c>
      <c r="B9" s="290">
        <v>1</v>
      </c>
      <c r="C9" s="409">
        <v>0</v>
      </c>
      <c r="D9" s="317">
        <v>0</v>
      </c>
      <c r="E9" s="283"/>
      <c r="F9" s="283"/>
      <c r="G9" s="283"/>
      <c r="H9" s="283"/>
      <c r="I9" s="283"/>
    </row>
    <row r="10" spans="1:9" ht="21.6" customHeight="1" x14ac:dyDescent="0.2">
      <c r="A10" s="288" t="s">
        <v>256</v>
      </c>
      <c r="B10" s="290">
        <v>1</v>
      </c>
      <c r="C10" s="409">
        <v>0</v>
      </c>
      <c r="D10" s="317">
        <v>0</v>
      </c>
      <c r="E10" s="283"/>
      <c r="F10" s="283"/>
      <c r="G10" s="283"/>
      <c r="H10" s="283"/>
      <c r="I10" s="283"/>
    </row>
    <row r="11" spans="1:9" ht="19.5" customHeight="1" x14ac:dyDescent="0.2">
      <c r="A11" s="288" t="s">
        <v>350</v>
      </c>
      <c r="B11" s="290">
        <v>10</v>
      </c>
      <c r="C11" s="409">
        <v>0</v>
      </c>
      <c r="D11" s="317">
        <v>0</v>
      </c>
      <c r="E11" s="283"/>
      <c r="F11" s="283"/>
      <c r="G11" s="283"/>
      <c r="H11" s="283"/>
      <c r="I11" s="283"/>
    </row>
    <row r="12" spans="1:9" ht="21.75" customHeight="1" x14ac:dyDescent="0.2">
      <c r="A12" s="288" t="s">
        <v>351</v>
      </c>
      <c r="B12" s="290">
        <v>2</v>
      </c>
      <c r="C12" s="409">
        <v>0</v>
      </c>
      <c r="D12" s="317">
        <v>0</v>
      </c>
      <c r="E12" s="283"/>
      <c r="F12" s="283"/>
      <c r="G12" s="283"/>
      <c r="H12" s="283"/>
      <c r="I12" s="283"/>
    </row>
    <row r="13" spans="1:9" ht="19.899999999999999" customHeight="1" x14ac:dyDescent="0.2">
      <c r="A13" s="288" t="s">
        <v>352</v>
      </c>
      <c r="B13" s="290">
        <v>2</v>
      </c>
      <c r="C13" s="409">
        <v>0</v>
      </c>
      <c r="D13" s="317">
        <v>0</v>
      </c>
      <c r="E13" s="283"/>
      <c r="F13" s="283"/>
      <c r="G13" s="283"/>
      <c r="H13" s="283"/>
      <c r="I13" s="283"/>
    </row>
    <row r="14" spans="1:9" ht="21.6" customHeight="1" x14ac:dyDescent="0.2">
      <c r="A14" s="288" t="s">
        <v>353</v>
      </c>
      <c r="B14" s="290">
        <v>1</v>
      </c>
      <c r="C14" s="409">
        <v>0</v>
      </c>
      <c r="D14" s="317">
        <v>0</v>
      </c>
      <c r="E14" s="283"/>
      <c r="F14" s="283"/>
      <c r="G14" s="283"/>
      <c r="H14" s="283"/>
      <c r="I14" s="283"/>
    </row>
    <row r="15" spans="1:9" ht="23.25" customHeight="1" x14ac:dyDescent="0.2">
      <c r="A15" s="288" t="s">
        <v>354</v>
      </c>
      <c r="B15" s="290">
        <v>1</v>
      </c>
      <c r="C15" s="409">
        <v>0</v>
      </c>
      <c r="D15" s="317">
        <v>0</v>
      </c>
      <c r="E15" s="283"/>
      <c r="F15" s="283"/>
      <c r="G15" s="283"/>
      <c r="H15" s="283"/>
      <c r="I15" s="283"/>
    </row>
    <row r="16" spans="1:9" ht="24.75" customHeight="1" x14ac:dyDescent="0.2">
      <c r="A16" s="288" t="s">
        <v>355</v>
      </c>
      <c r="B16" s="290">
        <v>30</v>
      </c>
      <c r="C16" s="409">
        <v>0</v>
      </c>
      <c r="D16" s="317">
        <v>0</v>
      </c>
      <c r="E16" s="283"/>
      <c r="F16" s="283"/>
      <c r="G16" s="283"/>
      <c r="H16" s="283"/>
      <c r="I16" s="283"/>
    </row>
    <row r="17" spans="1:9" ht="18" customHeight="1" x14ac:dyDescent="0.2">
      <c r="A17" s="288" t="s">
        <v>356</v>
      </c>
      <c r="B17" s="290">
        <v>2</v>
      </c>
      <c r="C17" s="409">
        <v>0</v>
      </c>
      <c r="D17" s="317">
        <v>0</v>
      </c>
      <c r="E17" s="283"/>
      <c r="F17" s="283"/>
      <c r="G17" s="283"/>
      <c r="H17" s="283"/>
      <c r="I17" s="283"/>
    </row>
    <row r="18" spans="1:9" s="284" customFormat="1" ht="55.5" customHeight="1" x14ac:dyDescent="0.2">
      <c r="A18" s="319" t="s">
        <v>269</v>
      </c>
      <c r="B18" s="296">
        <v>6</v>
      </c>
      <c r="C18" s="409">
        <v>0</v>
      </c>
      <c r="D18" s="317">
        <v>0</v>
      </c>
      <c r="E18" s="283"/>
      <c r="F18" s="283"/>
      <c r="G18" s="283"/>
      <c r="H18" s="283"/>
      <c r="I18" s="283"/>
    </row>
    <row r="19" spans="1:9" s="284" customFormat="1" ht="51" x14ac:dyDescent="0.2">
      <c r="A19" s="297" t="s">
        <v>270</v>
      </c>
      <c r="B19" s="290">
        <v>8</v>
      </c>
      <c r="C19" s="409">
        <v>0</v>
      </c>
      <c r="D19" s="317">
        <v>0</v>
      </c>
      <c r="E19" s="283"/>
      <c r="F19" s="283"/>
      <c r="G19" s="283"/>
      <c r="H19" s="283"/>
      <c r="I19" s="283"/>
    </row>
    <row r="20" spans="1:9" s="284" customFormat="1" ht="15" x14ac:dyDescent="0.2">
      <c r="A20" s="297" t="s">
        <v>271</v>
      </c>
      <c r="B20" s="290">
        <v>1</v>
      </c>
      <c r="C20" s="409">
        <v>0</v>
      </c>
      <c r="D20" s="317">
        <v>0</v>
      </c>
      <c r="E20" s="283"/>
      <c r="F20" s="283"/>
      <c r="G20" s="283"/>
      <c r="H20" s="283"/>
      <c r="I20" s="283"/>
    </row>
    <row r="21" spans="1:9" s="284" customFormat="1" ht="13.35" customHeight="1" x14ac:dyDescent="0.2">
      <c r="A21" s="794" t="s">
        <v>272</v>
      </c>
      <c r="B21" s="794"/>
      <c r="C21" s="794"/>
      <c r="D21" s="298">
        <f>SUM(D3:D20)</f>
        <v>0</v>
      </c>
      <c r="E21" s="283"/>
      <c r="F21" s="283"/>
      <c r="G21" s="283"/>
      <c r="H21" s="283"/>
      <c r="I21" s="283"/>
    </row>
    <row r="22" spans="1:9" s="284" customFormat="1" x14ac:dyDescent="0.2">
      <c r="A22" s="283"/>
      <c r="B22" s="283"/>
      <c r="C22" s="283"/>
      <c r="D22" s="283"/>
      <c r="E22" s="283"/>
      <c r="F22" s="283"/>
      <c r="G22" s="283"/>
      <c r="H22" s="283"/>
      <c r="I22" s="283"/>
    </row>
    <row r="23" spans="1:9" s="284" customFormat="1" x14ac:dyDescent="0.2">
      <c r="A23" s="283"/>
      <c r="B23" s="283"/>
      <c r="C23" s="283"/>
      <c r="D23" s="283"/>
      <c r="E23" s="283"/>
      <c r="F23" s="283"/>
      <c r="G23" s="283"/>
      <c r="H23" s="283"/>
      <c r="I23" s="283"/>
    </row>
    <row r="24" spans="1:9" s="284" customFormat="1" ht="12.75" customHeight="1" x14ac:dyDescent="0.25">
      <c r="A24" s="796" t="s">
        <v>369</v>
      </c>
      <c r="B24" s="795" t="s">
        <v>274</v>
      </c>
      <c r="C24" s="794" t="s">
        <v>275</v>
      </c>
      <c r="D24" s="794" t="s">
        <v>245</v>
      </c>
      <c r="E24" s="794" t="s">
        <v>276</v>
      </c>
      <c r="F24"/>
      <c r="G24"/>
      <c r="H24"/>
      <c r="I24"/>
    </row>
    <row r="25" spans="1:9" s="284" customFormat="1" ht="15" x14ac:dyDescent="0.25">
      <c r="A25" s="797"/>
      <c r="B25" s="798"/>
      <c r="C25" s="798"/>
      <c r="D25" s="798"/>
      <c r="E25" s="795"/>
      <c r="F25"/>
      <c r="G25"/>
      <c r="H25"/>
      <c r="I25"/>
    </row>
    <row r="26" spans="1:9" s="284" customFormat="1" ht="15" x14ac:dyDescent="0.25">
      <c r="A26" s="288" t="s">
        <v>278</v>
      </c>
      <c r="B26" s="299" t="s">
        <v>219</v>
      </c>
      <c r="C26" s="290">
        <v>1</v>
      </c>
      <c r="D26" s="303">
        <v>0</v>
      </c>
      <c r="E26" s="317">
        <v>0</v>
      </c>
      <c r="F26"/>
      <c r="G26"/>
      <c r="H26"/>
      <c r="I26"/>
    </row>
    <row r="27" spans="1:9" s="284" customFormat="1" ht="15" x14ac:dyDescent="0.25">
      <c r="A27" s="288" t="s">
        <v>280</v>
      </c>
      <c r="B27" s="299" t="s">
        <v>219</v>
      </c>
      <c r="C27" s="290">
        <v>1</v>
      </c>
      <c r="D27" s="303">
        <v>0</v>
      </c>
      <c r="E27" s="317">
        <v>0</v>
      </c>
      <c r="F27"/>
      <c r="G27"/>
      <c r="H27"/>
      <c r="I27"/>
    </row>
    <row r="28" spans="1:9" s="284" customFormat="1" ht="15" x14ac:dyDescent="0.25">
      <c r="A28" s="288" t="s">
        <v>281</v>
      </c>
      <c r="B28" s="299" t="s">
        <v>219</v>
      </c>
      <c r="C28" s="290">
        <v>1</v>
      </c>
      <c r="D28" s="303">
        <v>0</v>
      </c>
      <c r="E28" s="317">
        <v>0</v>
      </c>
      <c r="F28"/>
      <c r="G28"/>
      <c r="H28"/>
      <c r="I28"/>
    </row>
    <row r="29" spans="1:9" s="284" customFormat="1" ht="15" x14ac:dyDescent="0.25">
      <c r="A29" s="288" t="s">
        <v>285</v>
      </c>
      <c r="B29" s="299" t="s">
        <v>219</v>
      </c>
      <c r="C29" s="290">
        <v>1</v>
      </c>
      <c r="D29" s="303">
        <v>0</v>
      </c>
      <c r="E29" s="317">
        <v>0</v>
      </c>
      <c r="F29"/>
      <c r="G29"/>
      <c r="H29"/>
      <c r="I29"/>
    </row>
    <row r="30" spans="1:9" s="284" customFormat="1" ht="15" x14ac:dyDescent="0.25">
      <c r="A30" s="288" t="s">
        <v>287</v>
      </c>
      <c r="B30" s="299" t="s">
        <v>219</v>
      </c>
      <c r="C30" s="290">
        <v>1</v>
      </c>
      <c r="D30" s="303">
        <v>0</v>
      </c>
      <c r="E30" s="317">
        <v>0</v>
      </c>
      <c r="F30"/>
      <c r="G30"/>
      <c r="H30"/>
      <c r="I30"/>
    </row>
    <row r="31" spans="1:9" s="284" customFormat="1" ht="15" x14ac:dyDescent="0.25">
      <c r="A31" s="288" t="s">
        <v>357</v>
      </c>
      <c r="B31" s="299" t="s">
        <v>219</v>
      </c>
      <c r="C31" s="290">
        <v>1</v>
      </c>
      <c r="D31" s="303">
        <v>0</v>
      </c>
      <c r="E31" s="317">
        <v>0</v>
      </c>
      <c r="F31"/>
      <c r="G31"/>
      <c r="H31"/>
      <c r="I31"/>
    </row>
    <row r="32" spans="1:9" s="284" customFormat="1" ht="38.25" customHeight="1" x14ac:dyDescent="0.25">
      <c r="A32" s="288" t="s">
        <v>292</v>
      </c>
      <c r="B32" s="299" t="s">
        <v>219</v>
      </c>
      <c r="C32" s="290">
        <v>2</v>
      </c>
      <c r="D32" s="303">
        <v>0</v>
      </c>
      <c r="E32" s="317">
        <v>0</v>
      </c>
      <c r="F32"/>
      <c r="G32"/>
      <c r="H32"/>
      <c r="I32"/>
    </row>
    <row r="33" spans="1:9" ht="15" x14ac:dyDescent="0.25">
      <c r="A33" s="288" t="s">
        <v>293</v>
      </c>
      <c r="B33" s="299" t="s">
        <v>219</v>
      </c>
      <c r="C33" s="290">
        <v>1</v>
      </c>
      <c r="D33" s="303">
        <v>0</v>
      </c>
      <c r="E33" s="317">
        <v>0</v>
      </c>
      <c r="F33"/>
      <c r="G33"/>
      <c r="H33"/>
      <c r="I33"/>
    </row>
    <row r="34" spans="1:9" ht="14.1" customHeight="1" x14ac:dyDescent="0.2">
      <c r="A34" s="801" t="s">
        <v>275</v>
      </c>
      <c r="B34" s="801"/>
      <c r="C34" s="801"/>
      <c r="D34" s="801"/>
      <c r="E34" s="298">
        <f>SUM(E26:E33)</f>
        <v>0</v>
      </c>
      <c r="F34" s="283"/>
      <c r="G34" s="283"/>
      <c r="H34" s="283"/>
      <c r="I34" s="283"/>
    </row>
    <row r="35" spans="1:9" x14ac:dyDescent="0.2">
      <c r="A35" s="283"/>
      <c r="B35" s="283"/>
      <c r="C35" s="283"/>
      <c r="D35" s="283"/>
      <c r="E35" s="283"/>
      <c r="F35" s="283"/>
      <c r="G35" s="283"/>
      <c r="H35" s="283"/>
      <c r="I35" s="283"/>
    </row>
    <row r="36" spans="1:9" x14ac:dyDescent="0.2">
      <c r="A36" s="283"/>
      <c r="B36" s="283"/>
      <c r="C36" s="283"/>
      <c r="D36" s="283"/>
      <c r="E36" s="283"/>
      <c r="F36" s="283"/>
      <c r="G36" s="283"/>
      <c r="H36" s="283"/>
      <c r="I36" s="283"/>
    </row>
    <row r="37" spans="1:9" ht="39" customHeight="1" x14ac:dyDescent="0.25">
      <c r="A37" s="795" t="s">
        <v>295</v>
      </c>
      <c r="B37" s="795" t="s">
        <v>274</v>
      </c>
      <c r="C37" s="795" t="s">
        <v>275</v>
      </c>
      <c r="D37" s="795" t="s">
        <v>245</v>
      </c>
      <c r="E37" s="794" t="s">
        <v>276</v>
      </c>
      <c r="F37" s="794" t="s">
        <v>277</v>
      </c>
      <c r="G37" s="794" t="s">
        <v>296</v>
      </c>
      <c r="H37"/>
      <c r="I37"/>
    </row>
    <row r="38" spans="1:9" ht="15" x14ac:dyDescent="0.25">
      <c r="A38" s="795"/>
      <c r="B38" s="795"/>
      <c r="C38" s="795"/>
      <c r="D38" s="795"/>
      <c r="E38" s="794" t="s">
        <v>276</v>
      </c>
      <c r="F38" s="794"/>
      <c r="G38" s="794"/>
      <c r="H38"/>
      <c r="I38"/>
    </row>
    <row r="39" spans="1:9" ht="25.5" x14ac:dyDescent="0.25">
      <c r="A39" s="288" t="s">
        <v>298</v>
      </c>
      <c r="B39" s="299" t="s">
        <v>219</v>
      </c>
      <c r="C39" s="290">
        <v>1</v>
      </c>
      <c r="D39" s="303">
        <v>0</v>
      </c>
      <c r="E39" s="317">
        <v>0</v>
      </c>
      <c r="F39" s="348">
        <f>E39*10%</f>
        <v>0</v>
      </c>
      <c r="G39" s="812">
        <f>SUM(F39:F43)/12</f>
        <v>0</v>
      </c>
      <c r="H39"/>
      <c r="I39"/>
    </row>
    <row r="40" spans="1:9" ht="25.5" x14ac:dyDescent="0.25">
      <c r="A40" s="288" t="s">
        <v>358</v>
      </c>
      <c r="B40" s="299" t="s">
        <v>219</v>
      </c>
      <c r="C40" s="290">
        <v>1</v>
      </c>
      <c r="D40" s="303">
        <v>0</v>
      </c>
      <c r="E40" s="317">
        <v>0</v>
      </c>
      <c r="F40" s="348">
        <f t="shared" ref="F40:F43" si="0">E40*10%</f>
        <v>0</v>
      </c>
      <c r="G40" s="812"/>
      <c r="H40"/>
      <c r="I40"/>
    </row>
    <row r="41" spans="1:9" ht="25.5" x14ac:dyDescent="0.25">
      <c r="A41" s="288" t="s">
        <v>359</v>
      </c>
      <c r="B41" s="299" t="s">
        <v>219</v>
      </c>
      <c r="C41" s="290">
        <v>5</v>
      </c>
      <c r="D41" s="303">
        <v>0</v>
      </c>
      <c r="E41" s="317">
        <v>0</v>
      </c>
      <c r="F41" s="348">
        <f t="shared" si="0"/>
        <v>0</v>
      </c>
      <c r="G41" s="812"/>
      <c r="H41"/>
      <c r="I41"/>
    </row>
    <row r="42" spans="1:9" ht="27" customHeight="1" x14ac:dyDescent="0.25">
      <c r="A42" s="288" t="s">
        <v>304</v>
      </c>
      <c r="B42" s="299" t="s">
        <v>219</v>
      </c>
      <c r="C42" s="290">
        <v>8</v>
      </c>
      <c r="D42" s="303">
        <v>0</v>
      </c>
      <c r="E42" s="317">
        <v>0</v>
      </c>
      <c r="F42" s="348">
        <f t="shared" si="0"/>
        <v>0</v>
      </c>
      <c r="G42" s="812"/>
      <c r="H42"/>
      <c r="I42"/>
    </row>
    <row r="43" spans="1:9" ht="15" x14ac:dyDescent="0.25">
      <c r="A43" s="347" t="s">
        <v>396</v>
      </c>
      <c r="B43" s="299" t="s">
        <v>219</v>
      </c>
      <c r="C43" s="290">
        <v>10</v>
      </c>
      <c r="D43" s="303">
        <v>0</v>
      </c>
      <c r="E43" s="317">
        <v>0</v>
      </c>
      <c r="F43" s="348">
        <f t="shared" si="0"/>
        <v>0</v>
      </c>
      <c r="G43" s="812"/>
      <c r="H43"/>
      <c r="I43"/>
    </row>
    <row r="44" spans="1:9" ht="14.1" customHeight="1" x14ac:dyDescent="0.25">
      <c r="A44" s="801" t="s">
        <v>275</v>
      </c>
      <c r="B44" s="801"/>
      <c r="C44" s="801"/>
      <c r="D44" s="801"/>
      <c r="E44" s="298">
        <f>SUM(E37:E43)</f>
        <v>0</v>
      </c>
      <c r="F44" s="283"/>
      <c r="G44"/>
    </row>
    <row r="45" spans="1:9" ht="15" x14ac:dyDescent="0.25">
      <c r="A45" s="283"/>
      <c r="B45" s="283"/>
      <c r="C45" s="283"/>
      <c r="D45" s="283"/>
      <c r="E45" s="283"/>
      <c r="F45" s="283"/>
      <c r="G45"/>
    </row>
    <row r="46" spans="1:9" ht="15" x14ac:dyDescent="0.25">
      <c r="A46" s="283"/>
      <c r="B46" s="283"/>
      <c r="C46" s="283"/>
      <c r="D46" s="283"/>
      <c r="E46" s="283"/>
      <c r="F46" s="283"/>
      <c r="G46"/>
    </row>
    <row r="47" spans="1:9" ht="15" x14ac:dyDescent="0.25">
      <c r="A47" s="283"/>
      <c r="B47" s="283"/>
      <c r="C47" s="283"/>
      <c r="D47" s="283"/>
      <c r="E47" s="283"/>
      <c r="F47" s="283"/>
      <c r="G47"/>
    </row>
    <row r="48" spans="1:9" ht="15.75" thickBot="1" x14ac:dyDescent="0.3">
      <c r="A48" s="283"/>
      <c r="B48" s="283"/>
      <c r="C48" s="283"/>
      <c r="D48" s="283"/>
      <c r="E48" s="283"/>
      <c r="F48" s="283"/>
      <c r="G48"/>
    </row>
    <row r="49" spans="1:7" ht="14.1" customHeight="1" thickBot="1" x14ac:dyDescent="0.3">
      <c r="A49" s="810" t="s">
        <v>207</v>
      </c>
      <c r="B49" s="810"/>
      <c r="C49" s="283"/>
      <c r="D49" s="283"/>
      <c r="E49" s="283"/>
      <c r="F49" s="283"/>
      <c r="G49"/>
    </row>
    <row r="50" spans="1:7" ht="15.75" thickBot="1" x14ac:dyDescent="0.3">
      <c r="A50" s="307" t="s">
        <v>310</v>
      </c>
      <c r="B50" s="308">
        <f>D21</f>
        <v>0</v>
      </c>
      <c r="C50" s="283"/>
      <c r="D50" s="283"/>
      <c r="E50" s="283"/>
      <c r="F50" s="283"/>
      <c r="G50"/>
    </row>
    <row r="51" spans="1:7" ht="15.75" thickBot="1" x14ac:dyDescent="0.3">
      <c r="A51" s="307" t="s">
        <v>311</v>
      </c>
      <c r="B51" s="309">
        <f>E34/6</f>
        <v>0</v>
      </c>
      <c r="C51" s="283"/>
      <c r="D51" s="283"/>
      <c r="E51" s="283"/>
      <c r="F51" s="283"/>
      <c r="G51"/>
    </row>
    <row r="52" spans="1:7" ht="15.75" thickBot="1" x14ac:dyDescent="0.3">
      <c r="A52" s="307" t="s">
        <v>312</v>
      </c>
      <c r="B52" s="309">
        <f>G39</f>
        <v>0</v>
      </c>
      <c r="C52" s="283"/>
      <c r="D52" s="283"/>
      <c r="E52" s="283"/>
      <c r="F52" s="283"/>
      <c r="G52"/>
    </row>
    <row r="53" spans="1:7" ht="15.75" thickBot="1" x14ac:dyDescent="0.3">
      <c r="A53" s="283"/>
      <c r="B53" s="283"/>
      <c r="C53" s="283"/>
      <c r="D53" s="283"/>
      <c r="E53" s="283"/>
      <c r="F53" s="283"/>
      <c r="G53"/>
    </row>
    <row r="54" spans="1:7" ht="13.35" customHeight="1" thickBot="1" x14ac:dyDescent="0.25">
      <c r="A54" s="810" t="s">
        <v>313</v>
      </c>
      <c r="B54" s="810"/>
      <c r="C54" s="283"/>
      <c r="D54" s="283"/>
      <c r="E54" s="283"/>
      <c r="F54" s="283"/>
    </row>
    <row r="55" spans="1:7" ht="13.5" thickBot="1" x14ac:dyDescent="0.25">
      <c r="A55" s="307" t="s">
        <v>314</v>
      </c>
      <c r="B55" s="310">
        <f>SUM('[2]Quadro Resumo Grupo 1'!F7)</f>
        <v>1</v>
      </c>
      <c r="C55" s="283"/>
      <c r="D55" s="283"/>
      <c r="E55" s="283"/>
      <c r="F55" s="283"/>
    </row>
    <row r="56" spans="1:7" ht="13.5" thickBot="1" x14ac:dyDescent="0.25">
      <c r="A56" s="307" t="s">
        <v>310</v>
      </c>
      <c r="B56" s="309">
        <f>B50/B55</f>
        <v>0</v>
      </c>
      <c r="C56" s="283"/>
      <c r="D56" s="283"/>
      <c r="E56" s="283"/>
      <c r="F56" s="283"/>
    </row>
    <row r="57" spans="1:7" ht="13.5" thickBot="1" x14ac:dyDescent="0.25">
      <c r="A57" s="307" t="s">
        <v>311</v>
      </c>
      <c r="B57" s="309">
        <f>B51/B55</f>
        <v>0</v>
      </c>
      <c r="C57" s="283"/>
      <c r="D57" s="283"/>
      <c r="E57" s="283"/>
      <c r="F57" s="283"/>
    </row>
    <row r="58" spans="1:7" ht="13.5" thickBot="1" x14ac:dyDescent="0.25">
      <c r="A58" s="307" t="s">
        <v>312</v>
      </c>
      <c r="B58" s="309">
        <f>B52/B55</f>
        <v>0</v>
      </c>
      <c r="C58" s="283"/>
      <c r="D58" s="283"/>
      <c r="E58" s="283"/>
      <c r="F58" s="283"/>
    </row>
    <row r="59" spans="1:7" x14ac:dyDescent="0.2">
      <c r="A59" s="283"/>
      <c r="B59" s="283"/>
      <c r="C59" s="283"/>
      <c r="D59" s="283"/>
      <c r="E59" s="283"/>
      <c r="F59" s="283"/>
    </row>
    <row r="60" spans="1:7" ht="13.5" thickBot="1" x14ac:dyDescent="0.25">
      <c r="A60" s="283"/>
      <c r="B60" s="283"/>
      <c r="C60" s="283"/>
      <c r="D60" s="283"/>
      <c r="E60" s="283"/>
      <c r="F60" s="283"/>
    </row>
    <row r="61" spans="1:7" ht="14.1" customHeight="1" thickTop="1" thickBot="1" x14ac:dyDescent="0.25">
      <c r="A61" s="813" t="s">
        <v>315</v>
      </c>
      <c r="B61" s="813"/>
      <c r="C61" s="813"/>
      <c r="D61" s="813"/>
      <c r="E61" s="813"/>
      <c r="F61" s="813"/>
    </row>
    <row r="62" spans="1:7" ht="14.1" customHeight="1" thickTop="1" thickBot="1" x14ac:dyDescent="0.25">
      <c r="A62" s="311" t="s">
        <v>208</v>
      </c>
      <c r="B62" s="311" t="s">
        <v>316</v>
      </c>
      <c r="C62" s="311" t="s">
        <v>317</v>
      </c>
      <c r="D62" s="311" t="s">
        <v>318</v>
      </c>
      <c r="E62" s="814" t="s">
        <v>319</v>
      </c>
      <c r="F62" s="814"/>
    </row>
    <row r="63" spans="1:7" ht="15.75" thickBot="1" x14ac:dyDescent="0.25">
      <c r="A63" s="312" t="s">
        <v>320</v>
      </c>
      <c r="B63" s="360">
        <v>0</v>
      </c>
      <c r="C63" s="312">
        <v>12</v>
      </c>
      <c r="D63" s="312">
        <v>2</v>
      </c>
      <c r="E63" s="811">
        <f t="shared" ref="E63:E71" si="1">ROUND(B63*D63/C63,2)</f>
        <v>0</v>
      </c>
      <c r="F63" s="811"/>
    </row>
    <row r="64" spans="1:7" ht="15.75" thickBot="1" x14ac:dyDescent="0.25">
      <c r="A64" s="312" t="s">
        <v>321</v>
      </c>
      <c r="B64" s="360">
        <v>0</v>
      </c>
      <c r="C64" s="312">
        <v>12</v>
      </c>
      <c r="D64" s="312">
        <v>2</v>
      </c>
      <c r="E64" s="811">
        <f t="shared" si="1"/>
        <v>0</v>
      </c>
      <c r="F64" s="811"/>
    </row>
    <row r="65" spans="1:6" ht="15.75" thickBot="1" x14ac:dyDescent="0.25">
      <c r="A65" s="312" t="s">
        <v>322</v>
      </c>
      <c r="B65" s="360">
        <v>0</v>
      </c>
      <c r="C65" s="312">
        <v>12</v>
      </c>
      <c r="D65" s="312">
        <v>1</v>
      </c>
      <c r="E65" s="811">
        <f t="shared" si="1"/>
        <v>0</v>
      </c>
      <c r="F65" s="811"/>
    </row>
    <row r="66" spans="1:6" ht="15.75" thickBot="1" x14ac:dyDescent="0.25">
      <c r="A66" s="312" t="s">
        <v>323</v>
      </c>
      <c r="B66" s="360">
        <v>0</v>
      </c>
      <c r="C66" s="312">
        <v>12</v>
      </c>
      <c r="D66" s="312">
        <v>4</v>
      </c>
      <c r="E66" s="811">
        <f t="shared" si="1"/>
        <v>0</v>
      </c>
      <c r="F66" s="811"/>
    </row>
    <row r="67" spans="1:6" ht="15.75" thickBot="1" x14ac:dyDescent="0.25">
      <c r="A67" s="312" t="s">
        <v>324</v>
      </c>
      <c r="B67" s="360">
        <v>0</v>
      </c>
      <c r="C67" s="312">
        <v>12</v>
      </c>
      <c r="D67" s="312">
        <v>1</v>
      </c>
      <c r="E67" s="811">
        <f t="shared" si="1"/>
        <v>0</v>
      </c>
      <c r="F67" s="811"/>
    </row>
    <row r="68" spans="1:6" ht="15.75" thickBot="1" x14ac:dyDescent="0.25">
      <c r="A68" s="312" t="s">
        <v>325</v>
      </c>
      <c r="B68" s="360">
        <v>0</v>
      </c>
      <c r="C68" s="312">
        <v>12</v>
      </c>
      <c r="D68" s="312">
        <v>1</v>
      </c>
      <c r="E68" s="811">
        <f t="shared" si="1"/>
        <v>0</v>
      </c>
      <c r="F68" s="811"/>
    </row>
    <row r="69" spans="1:6" ht="15.75" thickBot="1" x14ac:dyDescent="0.25">
      <c r="A69" s="312" t="s">
        <v>326</v>
      </c>
      <c r="B69" s="360">
        <v>0</v>
      </c>
      <c r="C69" s="312">
        <v>6</v>
      </c>
      <c r="D69" s="312">
        <v>3</v>
      </c>
      <c r="E69" s="811">
        <f t="shared" si="1"/>
        <v>0</v>
      </c>
      <c r="F69" s="811"/>
    </row>
    <row r="70" spans="1:6" ht="15.75" thickBot="1" x14ac:dyDescent="0.25">
      <c r="A70" s="312" t="s">
        <v>327</v>
      </c>
      <c r="B70" s="360">
        <v>0</v>
      </c>
      <c r="C70" s="312">
        <v>12</v>
      </c>
      <c r="D70" s="312">
        <v>1</v>
      </c>
      <c r="E70" s="811">
        <f t="shared" si="1"/>
        <v>0</v>
      </c>
      <c r="F70" s="811"/>
    </row>
    <row r="71" spans="1:6" ht="15.75" thickBot="1" x14ac:dyDescent="0.25">
      <c r="A71" s="312" t="s">
        <v>87</v>
      </c>
      <c r="B71" s="313"/>
      <c r="C71" s="312"/>
      <c r="D71" s="312"/>
      <c r="E71" s="811" t="e">
        <f t="shared" si="1"/>
        <v>#DIV/0!</v>
      </c>
      <c r="F71" s="811"/>
    </row>
    <row r="72" spans="1:6" ht="13.5" thickBot="1" x14ac:dyDescent="0.25">
      <c r="A72" s="314"/>
      <c r="B72" s="314"/>
      <c r="C72" s="314"/>
      <c r="D72" s="315" t="s">
        <v>328</v>
      </c>
      <c r="E72" s="815">
        <f>SUM(E63:E70)</f>
        <v>0</v>
      </c>
      <c r="F72" s="815"/>
    </row>
  </sheetData>
  <mergeCells count="34">
    <mergeCell ref="E70:F70"/>
    <mergeCell ref="E71:F71"/>
    <mergeCell ref="E72:F72"/>
    <mergeCell ref="E64:F64"/>
    <mergeCell ref="E65:F65"/>
    <mergeCell ref="E66:F66"/>
    <mergeCell ref="E67:F67"/>
    <mergeCell ref="E68:F68"/>
    <mergeCell ref="E69:F69"/>
    <mergeCell ref="E63:F63"/>
    <mergeCell ref="F37:F38"/>
    <mergeCell ref="G37:G38"/>
    <mergeCell ref="G39:G43"/>
    <mergeCell ref="A34:D34"/>
    <mergeCell ref="A37:A38"/>
    <mergeCell ref="B37:B38"/>
    <mergeCell ref="C37:C38"/>
    <mergeCell ref="D37:D38"/>
    <mergeCell ref="E37:E38"/>
    <mergeCell ref="A44:D44"/>
    <mergeCell ref="A49:B49"/>
    <mergeCell ref="A54:B54"/>
    <mergeCell ref="A61:F61"/>
    <mergeCell ref="E62:F62"/>
    <mergeCell ref="E24:E25"/>
    <mergeCell ref="A1:A2"/>
    <mergeCell ref="B1:B2"/>
    <mergeCell ref="C1:C2"/>
    <mergeCell ref="D1:D2"/>
    <mergeCell ref="A21:C21"/>
    <mergeCell ref="A24:A25"/>
    <mergeCell ref="B24:B25"/>
    <mergeCell ref="C24:C25"/>
    <mergeCell ref="D24:D25"/>
  </mergeCells>
  <dataValidations count="1">
    <dataValidation operator="equal" allowBlank="1" showErrorMessage="1" sqref="D26:D33 D39:D43" xr:uid="{6CD7E467-718B-4979-8386-A7CB693F4458}">
      <formula1>0</formula1>
      <formula2>0</formula2>
    </dataValidation>
  </dataValidations>
  <pageMargins left="0.51180555555555496" right="0.51180555555555496" top="0.78749999999999998" bottom="0.78749999999999998" header="0.51180555555555496" footer="0.51180555555555496"/>
  <pageSetup paperSize="9" scale="71" firstPageNumber="0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9579C-6D41-44C4-953A-F9E6BAEC1F16}">
  <sheetPr>
    <tabColor rgb="FFFFFFFF"/>
    <pageSetUpPr fitToPage="1"/>
  </sheetPr>
  <dimension ref="A1:IW66"/>
  <sheetViews>
    <sheetView showGridLines="0" topLeftCell="A34" zoomScale="90" zoomScaleNormal="90" workbookViewId="0">
      <selection activeCell="B57" sqref="B57:B64"/>
    </sheetView>
  </sheetViews>
  <sheetFormatPr defaultRowHeight="12.75" x14ac:dyDescent="0.2"/>
  <cols>
    <col min="1" max="1" width="55.5703125" style="284" customWidth="1"/>
    <col min="2" max="2" width="28.85546875" style="284" customWidth="1"/>
    <col min="3" max="4" width="20.42578125" style="284" customWidth="1"/>
    <col min="5" max="5" width="23.85546875" style="284" customWidth="1"/>
    <col min="6" max="6" width="24" style="284" customWidth="1"/>
    <col min="7" max="7" width="15.7109375" style="284" customWidth="1"/>
    <col min="8" max="8" width="12.85546875" style="284" customWidth="1"/>
    <col min="9" max="257" width="9.140625" style="284"/>
    <col min="258" max="16384" width="9.140625" style="283"/>
  </cols>
  <sheetData>
    <row r="1" spans="1:9" ht="14.1" customHeight="1" x14ac:dyDescent="0.2">
      <c r="A1" s="794" t="s">
        <v>406</v>
      </c>
      <c r="B1" s="794" t="s">
        <v>244</v>
      </c>
      <c r="C1" s="794" t="s">
        <v>245</v>
      </c>
      <c r="D1" s="794" t="s">
        <v>246</v>
      </c>
      <c r="E1" s="283"/>
      <c r="F1" s="283"/>
      <c r="G1" s="283"/>
      <c r="H1" s="283"/>
      <c r="I1" s="283"/>
    </row>
    <row r="2" spans="1:9" x14ac:dyDescent="0.2">
      <c r="A2" s="794"/>
      <c r="B2" s="794"/>
      <c r="C2" s="794"/>
      <c r="D2" s="794"/>
      <c r="E2" s="283"/>
      <c r="F2" s="283"/>
      <c r="G2" s="283"/>
      <c r="H2" s="283"/>
      <c r="I2" s="283"/>
    </row>
    <row r="3" spans="1:9" ht="18" customHeight="1" x14ac:dyDescent="0.2">
      <c r="A3" s="288" t="s">
        <v>346</v>
      </c>
      <c r="B3" s="290">
        <v>4</v>
      </c>
      <c r="C3" s="316">
        <v>0</v>
      </c>
      <c r="D3" s="317">
        <v>0</v>
      </c>
      <c r="E3" s="283"/>
      <c r="F3" s="283"/>
      <c r="G3" s="283"/>
      <c r="H3" s="283"/>
      <c r="I3" s="283"/>
    </row>
    <row r="4" spans="1:9" ht="21" customHeight="1" x14ac:dyDescent="0.2">
      <c r="A4" s="288" t="s">
        <v>248</v>
      </c>
      <c r="B4" s="290">
        <v>2</v>
      </c>
      <c r="C4" s="409">
        <v>0</v>
      </c>
      <c r="D4" s="317">
        <v>0</v>
      </c>
      <c r="E4" s="283"/>
      <c r="F4" s="283"/>
      <c r="G4" s="283"/>
      <c r="H4" s="283"/>
      <c r="I4" s="283"/>
    </row>
    <row r="5" spans="1:9" ht="19.149999999999999" customHeight="1" x14ac:dyDescent="0.2">
      <c r="A5" s="288" t="s">
        <v>395</v>
      </c>
      <c r="B5" s="290">
        <v>2</v>
      </c>
      <c r="C5" s="409">
        <v>0</v>
      </c>
      <c r="D5" s="317">
        <v>0</v>
      </c>
      <c r="E5" s="283"/>
      <c r="F5" s="283"/>
      <c r="G5" s="283"/>
      <c r="H5" s="283"/>
      <c r="I5" s="283"/>
    </row>
    <row r="6" spans="1:9" ht="19.149999999999999" customHeight="1" x14ac:dyDescent="0.2">
      <c r="A6" s="288" t="s">
        <v>362</v>
      </c>
      <c r="B6" s="290">
        <v>2</v>
      </c>
      <c r="C6" s="409">
        <v>0</v>
      </c>
      <c r="D6" s="317">
        <v>0</v>
      </c>
      <c r="E6" s="283"/>
      <c r="F6" s="283"/>
      <c r="G6" s="283"/>
      <c r="H6" s="283"/>
      <c r="I6" s="283"/>
    </row>
    <row r="7" spans="1:9" ht="24" customHeight="1" x14ac:dyDescent="0.2">
      <c r="A7" s="288" t="s">
        <v>363</v>
      </c>
      <c r="B7" s="290">
        <v>2</v>
      </c>
      <c r="C7" s="409">
        <v>0</v>
      </c>
      <c r="D7" s="317">
        <v>0</v>
      </c>
      <c r="E7" s="283"/>
      <c r="F7" s="283"/>
      <c r="G7" s="283"/>
      <c r="H7" s="283"/>
      <c r="I7" s="283"/>
    </row>
    <row r="8" spans="1:9" ht="29.25" customHeight="1" x14ac:dyDescent="0.2">
      <c r="A8" s="288" t="s">
        <v>252</v>
      </c>
      <c r="B8" s="290">
        <v>2</v>
      </c>
      <c r="C8" s="409">
        <v>0</v>
      </c>
      <c r="D8" s="317">
        <v>0</v>
      </c>
      <c r="E8" s="283"/>
      <c r="F8" s="283"/>
      <c r="G8" s="283"/>
      <c r="H8" s="283"/>
      <c r="I8" s="283"/>
    </row>
    <row r="9" spans="1:9" ht="39" customHeight="1" x14ac:dyDescent="0.2">
      <c r="A9" s="288" t="s">
        <v>349</v>
      </c>
      <c r="B9" s="290">
        <v>1</v>
      </c>
      <c r="C9" s="409">
        <v>0</v>
      </c>
      <c r="D9" s="317">
        <v>0</v>
      </c>
      <c r="E9" s="283"/>
      <c r="F9" s="283"/>
      <c r="G9" s="283"/>
      <c r="H9" s="283"/>
      <c r="I9" s="283"/>
    </row>
    <row r="10" spans="1:9" ht="19.5" customHeight="1" x14ac:dyDescent="0.2">
      <c r="A10" s="288" t="s">
        <v>356</v>
      </c>
      <c r="B10" s="290">
        <v>2</v>
      </c>
      <c r="C10" s="409">
        <v>0</v>
      </c>
      <c r="D10" s="317">
        <v>0</v>
      </c>
      <c r="E10" s="283"/>
      <c r="F10" s="283"/>
      <c r="G10" s="283"/>
      <c r="H10" s="283"/>
      <c r="I10" s="283"/>
    </row>
    <row r="11" spans="1:9" ht="21.6" customHeight="1" x14ac:dyDescent="0.2">
      <c r="A11" s="288" t="s">
        <v>364</v>
      </c>
      <c r="B11" s="290">
        <v>2</v>
      </c>
      <c r="C11" s="409">
        <v>0</v>
      </c>
      <c r="D11" s="317">
        <v>0</v>
      </c>
      <c r="E11" s="283"/>
      <c r="F11" s="283"/>
      <c r="G11" s="283"/>
      <c r="H11" s="283"/>
      <c r="I11" s="283"/>
    </row>
    <row r="12" spans="1:9" ht="26.25" customHeight="1" x14ac:dyDescent="0.2">
      <c r="A12" s="288" t="s">
        <v>352</v>
      </c>
      <c r="B12" s="290">
        <v>1</v>
      </c>
      <c r="C12" s="409">
        <v>0</v>
      </c>
      <c r="D12" s="317">
        <v>0</v>
      </c>
      <c r="E12" s="283"/>
      <c r="F12" s="283"/>
      <c r="G12" s="283"/>
      <c r="H12" s="283"/>
      <c r="I12" s="283"/>
    </row>
    <row r="13" spans="1:9" ht="20.25" customHeight="1" x14ac:dyDescent="0.2">
      <c r="A13" s="288" t="s">
        <v>353</v>
      </c>
      <c r="B13" s="290">
        <v>1</v>
      </c>
      <c r="C13" s="409">
        <v>0</v>
      </c>
      <c r="D13" s="317">
        <v>0</v>
      </c>
      <c r="E13" s="283"/>
      <c r="F13" s="283"/>
      <c r="G13" s="283"/>
      <c r="H13" s="283"/>
      <c r="I13" s="283"/>
    </row>
    <row r="14" spans="1:9" ht="19.899999999999999" customHeight="1" x14ac:dyDescent="0.2">
      <c r="A14" s="288" t="s">
        <v>365</v>
      </c>
      <c r="B14" s="290">
        <v>50</v>
      </c>
      <c r="C14" s="409">
        <v>0</v>
      </c>
      <c r="D14" s="317">
        <v>0</v>
      </c>
      <c r="E14" s="283"/>
      <c r="F14" s="283"/>
      <c r="G14" s="283"/>
      <c r="H14" s="283"/>
      <c r="I14" s="283"/>
    </row>
    <row r="15" spans="1:9" ht="21.6" customHeight="1" x14ac:dyDescent="0.2">
      <c r="A15" s="288" t="s">
        <v>366</v>
      </c>
      <c r="B15" s="290">
        <v>50</v>
      </c>
      <c r="C15" s="409">
        <v>0</v>
      </c>
      <c r="D15" s="317">
        <v>0</v>
      </c>
      <c r="E15" s="283"/>
      <c r="F15" s="283"/>
      <c r="G15" s="283"/>
      <c r="H15" s="283"/>
      <c r="I15" s="283"/>
    </row>
    <row r="16" spans="1:9" s="284" customFormat="1" ht="55.5" customHeight="1" x14ac:dyDescent="0.2">
      <c r="A16" s="319" t="s">
        <v>269</v>
      </c>
      <c r="B16" s="296">
        <v>10</v>
      </c>
      <c r="C16" s="409">
        <v>0</v>
      </c>
      <c r="D16" s="317">
        <v>0</v>
      </c>
      <c r="E16" s="283"/>
      <c r="F16" s="283"/>
      <c r="G16" s="283"/>
      <c r="H16" s="283"/>
      <c r="I16" s="283"/>
    </row>
    <row r="17" spans="1:9" s="284" customFormat="1" ht="51" x14ac:dyDescent="0.2">
      <c r="A17" s="297" t="s">
        <v>270</v>
      </c>
      <c r="B17" s="290">
        <v>10</v>
      </c>
      <c r="C17" s="409">
        <v>0</v>
      </c>
      <c r="D17" s="317">
        <v>0</v>
      </c>
      <c r="E17" s="283"/>
      <c r="F17" s="283"/>
      <c r="G17" s="283"/>
      <c r="H17" s="283"/>
      <c r="I17" s="283"/>
    </row>
    <row r="18" spans="1:9" s="284" customFormat="1" ht="15" x14ac:dyDescent="0.2">
      <c r="A18" s="297" t="s">
        <v>271</v>
      </c>
      <c r="B18" s="290">
        <v>1</v>
      </c>
      <c r="C18" s="409">
        <v>0</v>
      </c>
      <c r="D18" s="317">
        <v>0</v>
      </c>
      <c r="E18" s="283"/>
      <c r="F18" s="283"/>
      <c r="G18" s="283"/>
      <c r="H18" s="283"/>
      <c r="I18" s="283"/>
    </row>
    <row r="19" spans="1:9" s="284" customFormat="1" ht="13.35" customHeight="1" x14ac:dyDescent="0.2">
      <c r="A19" s="794" t="s">
        <v>272</v>
      </c>
      <c r="B19" s="794"/>
      <c r="C19" s="794"/>
      <c r="D19" s="298">
        <f>SUM(D3:D18)</f>
        <v>0</v>
      </c>
      <c r="E19" s="283"/>
      <c r="F19" s="283"/>
      <c r="G19" s="283"/>
      <c r="H19" s="283"/>
      <c r="I19" s="283"/>
    </row>
    <row r="20" spans="1:9" s="284" customFormat="1" x14ac:dyDescent="0.2">
      <c r="A20" s="283"/>
      <c r="B20" s="283"/>
      <c r="C20" s="283"/>
      <c r="D20" s="283"/>
      <c r="E20" s="283"/>
      <c r="F20" s="283"/>
      <c r="G20" s="283"/>
      <c r="H20" s="283"/>
      <c r="I20" s="283"/>
    </row>
    <row r="21" spans="1:9" s="284" customFormat="1" x14ac:dyDescent="0.2">
      <c r="A21" s="283"/>
      <c r="B21" s="283"/>
      <c r="C21" s="283"/>
      <c r="D21" s="283"/>
      <c r="E21" s="283"/>
      <c r="F21" s="283"/>
      <c r="G21" s="283"/>
      <c r="H21" s="283"/>
      <c r="I21" s="283"/>
    </row>
    <row r="22" spans="1:9" s="284" customFormat="1" ht="12.75" customHeight="1" x14ac:dyDescent="0.25">
      <c r="A22" s="796" t="s">
        <v>369</v>
      </c>
      <c r="B22" s="795" t="s">
        <v>274</v>
      </c>
      <c r="C22" s="794" t="s">
        <v>275</v>
      </c>
      <c r="D22" s="794" t="s">
        <v>245</v>
      </c>
      <c r="E22" s="794" t="s">
        <v>276</v>
      </c>
      <c r="F22"/>
      <c r="G22"/>
      <c r="H22"/>
      <c r="I22"/>
    </row>
    <row r="23" spans="1:9" s="284" customFormat="1" ht="15" x14ac:dyDescent="0.25">
      <c r="A23" s="797"/>
      <c r="B23" s="798"/>
      <c r="C23" s="794"/>
      <c r="D23" s="795"/>
      <c r="E23" s="794"/>
      <c r="F23"/>
      <c r="G23"/>
      <c r="H23"/>
      <c r="I23"/>
    </row>
    <row r="24" spans="1:9" s="284" customFormat="1" ht="15" x14ac:dyDescent="0.25">
      <c r="A24" s="288" t="s">
        <v>278</v>
      </c>
      <c r="B24" s="299" t="s">
        <v>219</v>
      </c>
      <c r="C24" s="358">
        <v>1</v>
      </c>
      <c r="D24" s="303">
        <v>0</v>
      </c>
      <c r="E24" s="318">
        <v>0</v>
      </c>
      <c r="F24"/>
      <c r="G24"/>
      <c r="H24"/>
      <c r="I24"/>
    </row>
    <row r="25" spans="1:9" s="284" customFormat="1" ht="15" x14ac:dyDescent="0.25">
      <c r="A25" s="288" t="s">
        <v>285</v>
      </c>
      <c r="B25" s="299" t="s">
        <v>219</v>
      </c>
      <c r="C25" s="291">
        <v>1</v>
      </c>
      <c r="D25" s="303">
        <v>0</v>
      </c>
      <c r="E25" s="318">
        <v>0</v>
      </c>
      <c r="F25"/>
      <c r="G25"/>
      <c r="H25"/>
      <c r="I25"/>
    </row>
    <row r="26" spans="1:9" s="284" customFormat="1" ht="15" x14ac:dyDescent="0.25">
      <c r="A26" s="288" t="s">
        <v>367</v>
      </c>
      <c r="B26" s="299" t="s">
        <v>219</v>
      </c>
      <c r="C26" s="354">
        <v>1</v>
      </c>
      <c r="D26" s="303">
        <v>0</v>
      </c>
      <c r="E26" s="318">
        <v>0</v>
      </c>
      <c r="F26"/>
      <c r="G26"/>
      <c r="H26"/>
      <c r="I26"/>
    </row>
    <row r="27" spans="1:9" s="284" customFormat="1" ht="15" x14ac:dyDescent="0.25">
      <c r="A27" s="288" t="s">
        <v>368</v>
      </c>
      <c r="B27" s="299" t="s">
        <v>219</v>
      </c>
      <c r="C27" s="290">
        <v>1</v>
      </c>
      <c r="D27" s="303">
        <v>0</v>
      </c>
      <c r="E27" s="318">
        <v>0</v>
      </c>
      <c r="F27"/>
      <c r="G27"/>
      <c r="H27"/>
      <c r="I27"/>
    </row>
    <row r="28" spans="1:9" ht="15" x14ac:dyDescent="0.25">
      <c r="A28" s="285" t="s">
        <v>293</v>
      </c>
      <c r="B28" s="359" t="s">
        <v>219</v>
      </c>
      <c r="C28" s="291">
        <v>1</v>
      </c>
      <c r="D28" s="303">
        <v>0</v>
      </c>
      <c r="E28" s="318">
        <v>0</v>
      </c>
      <c r="F28"/>
      <c r="G28"/>
      <c r="H28"/>
      <c r="I28"/>
    </row>
    <row r="29" spans="1:9" s="284" customFormat="1" ht="38.25" x14ac:dyDescent="0.25">
      <c r="A29" s="288" t="s">
        <v>292</v>
      </c>
      <c r="B29" s="299" t="s">
        <v>219</v>
      </c>
      <c r="C29" s="290">
        <v>1</v>
      </c>
      <c r="D29" s="303">
        <v>0</v>
      </c>
      <c r="E29" s="318">
        <v>0</v>
      </c>
      <c r="F29"/>
      <c r="G29"/>
      <c r="H29"/>
      <c r="I29"/>
    </row>
    <row r="30" spans="1:9" ht="14.1" customHeight="1" x14ac:dyDescent="0.2">
      <c r="A30" s="795" t="s">
        <v>275</v>
      </c>
      <c r="B30" s="795"/>
      <c r="C30" s="801"/>
      <c r="D30" s="794"/>
      <c r="E30" s="298">
        <f>SUM(E24:E29)</f>
        <v>0</v>
      </c>
      <c r="F30" s="283"/>
      <c r="G30" s="283"/>
      <c r="H30" s="283"/>
      <c r="I30" s="283"/>
    </row>
    <row r="31" spans="1:9" x14ac:dyDescent="0.2">
      <c r="A31" s="283"/>
      <c r="B31" s="283"/>
      <c r="C31" s="283"/>
      <c r="D31" s="283"/>
      <c r="E31" s="283"/>
      <c r="F31" s="283"/>
      <c r="G31" s="283"/>
      <c r="H31" s="283"/>
      <c r="I31" s="283"/>
    </row>
    <row r="32" spans="1:9" x14ac:dyDescent="0.2">
      <c r="A32" s="283"/>
      <c r="B32" s="283"/>
      <c r="C32" s="283"/>
      <c r="D32" s="283"/>
      <c r="E32" s="283"/>
      <c r="F32" s="283"/>
      <c r="G32" s="283"/>
      <c r="H32" s="283"/>
      <c r="I32" s="283"/>
    </row>
    <row r="33" spans="1:9" ht="39" customHeight="1" x14ac:dyDescent="0.25">
      <c r="A33" s="795" t="s">
        <v>295</v>
      </c>
      <c r="B33" s="795" t="s">
        <v>274</v>
      </c>
      <c r="C33" s="795" t="s">
        <v>275</v>
      </c>
      <c r="D33" s="795" t="s">
        <v>245</v>
      </c>
      <c r="E33" s="795" t="s">
        <v>276</v>
      </c>
      <c r="F33" s="794" t="s">
        <v>277</v>
      </c>
      <c r="G33" s="794" t="s">
        <v>296</v>
      </c>
      <c r="H33"/>
      <c r="I33"/>
    </row>
    <row r="34" spans="1:9" ht="15" x14ac:dyDescent="0.25">
      <c r="A34" s="795"/>
      <c r="B34" s="795"/>
      <c r="C34" s="795"/>
      <c r="D34" s="795"/>
      <c r="E34" s="795" t="s">
        <v>276</v>
      </c>
      <c r="F34" s="794"/>
      <c r="G34" s="794"/>
      <c r="H34"/>
      <c r="I34"/>
    </row>
    <row r="35" spans="1:9" ht="25.5" x14ac:dyDescent="0.25">
      <c r="A35" s="304" t="s">
        <v>298</v>
      </c>
      <c r="B35" s="302" t="s">
        <v>219</v>
      </c>
      <c r="C35" s="354">
        <v>1</v>
      </c>
      <c r="D35" s="303">
        <v>0</v>
      </c>
      <c r="E35" s="303">
        <v>0</v>
      </c>
      <c r="F35" s="348">
        <f>E35*10%</f>
        <v>0</v>
      </c>
      <c r="G35" s="807">
        <f>SUM(F35:F37)/12</f>
        <v>0</v>
      </c>
      <c r="H35"/>
      <c r="I35"/>
    </row>
    <row r="36" spans="1:9" ht="25.5" x14ac:dyDescent="0.25">
      <c r="A36" s="288" t="s">
        <v>299</v>
      </c>
      <c r="B36" s="302" t="s">
        <v>219</v>
      </c>
      <c r="C36" s="290">
        <v>1</v>
      </c>
      <c r="D36" s="303">
        <v>0</v>
      </c>
      <c r="E36" s="303">
        <v>0</v>
      </c>
      <c r="F36" s="348">
        <f t="shared" ref="F36:F37" si="0">E36*10%</f>
        <v>0</v>
      </c>
      <c r="G36" s="808"/>
      <c r="H36"/>
      <c r="I36"/>
    </row>
    <row r="37" spans="1:9" ht="15" x14ac:dyDescent="0.25">
      <c r="A37" s="347" t="s">
        <v>396</v>
      </c>
      <c r="B37" s="299" t="s">
        <v>219</v>
      </c>
      <c r="C37" s="290">
        <v>2</v>
      </c>
      <c r="D37" s="303">
        <v>0</v>
      </c>
      <c r="E37" s="303">
        <v>0</v>
      </c>
      <c r="F37" s="348">
        <f t="shared" si="0"/>
        <v>0</v>
      </c>
      <c r="G37" s="809"/>
      <c r="H37"/>
      <c r="I37"/>
    </row>
    <row r="38" spans="1:9" ht="14.1" customHeight="1" x14ac:dyDescent="0.25">
      <c r="A38" s="795" t="s">
        <v>275</v>
      </c>
      <c r="B38" s="795"/>
      <c r="C38" s="795"/>
      <c r="D38" s="794"/>
      <c r="E38" s="298">
        <f>SUM(E33:E36)</f>
        <v>0</v>
      </c>
      <c r="F38"/>
      <c r="G38"/>
    </row>
    <row r="39" spans="1:9" ht="15" x14ac:dyDescent="0.25">
      <c r="A39" s="283"/>
      <c r="B39" s="283"/>
      <c r="C39" s="283"/>
      <c r="D39" s="283"/>
      <c r="E39" s="283"/>
      <c r="F39"/>
      <c r="G39"/>
    </row>
    <row r="40" spans="1:9" ht="15" x14ac:dyDescent="0.25">
      <c r="A40" s="283"/>
      <c r="B40" s="283"/>
      <c r="C40" s="283"/>
      <c r="D40" s="283"/>
      <c r="E40" s="283"/>
      <c r="F40"/>
      <c r="G40"/>
    </row>
    <row r="41" spans="1:9" x14ac:dyDescent="0.2">
      <c r="A41" s="283"/>
      <c r="B41" s="283"/>
      <c r="C41" s="283"/>
      <c r="D41" s="283"/>
      <c r="E41" s="283"/>
      <c r="F41" s="283"/>
    </row>
    <row r="42" spans="1:9" ht="13.5" thickBot="1" x14ac:dyDescent="0.25">
      <c r="A42" s="283"/>
      <c r="B42" s="283"/>
      <c r="C42" s="283"/>
      <c r="D42" s="283"/>
      <c r="E42" s="283"/>
      <c r="F42" s="283"/>
    </row>
    <row r="43" spans="1:9" ht="14.1" customHeight="1" thickBot="1" x14ac:dyDescent="0.25">
      <c r="A43" s="810" t="s">
        <v>207</v>
      </c>
      <c r="B43" s="810"/>
      <c r="C43" s="283"/>
      <c r="D43" s="283"/>
      <c r="E43" s="283"/>
      <c r="F43" s="283"/>
    </row>
    <row r="44" spans="1:9" ht="13.5" thickBot="1" x14ac:dyDescent="0.25">
      <c r="A44" s="307" t="s">
        <v>310</v>
      </c>
      <c r="B44" s="308">
        <f>D19</f>
        <v>0</v>
      </c>
      <c r="C44" s="283"/>
      <c r="D44" s="283"/>
      <c r="E44" s="283"/>
      <c r="F44" s="283"/>
    </row>
    <row r="45" spans="1:9" ht="13.5" thickBot="1" x14ac:dyDescent="0.25">
      <c r="A45" s="307" t="s">
        <v>311</v>
      </c>
      <c r="B45" s="309">
        <f>E30/6</f>
        <v>0</v>
      </c>
      <c r="C45" s="283"/>
      <c r="D45" s="283"/>
      <c r="E45" s="283"/>
      <c r="F45" s="283"/>
    </row>
    <row r="46" spans="1:9" ht="13.5" thickBot="1" x14ac:dyDescent="0.25">
      <c r="A46" s="307" t="s">
        <v>312</v>
      </c>
      <c r="B46" s="309">
        <f>G35</f>
        <v>0</v>
      </c>
      <c r="C46" s="283"/>
      <c r="D46" s="283"/>
      <c r="E46" s="283"/>
      <c r="F46" s="283"/>
    </row>
    <row r="47" spans="1:9" ht="13.5" thickBot="1" x14ac:dyDescent="0.25">
      <c r="A47" s="283"/>
      <c r="B47" s="283"/>
      <c r="C47" s="283"/>
      <c r="D47" s="283"/>
      <c r="E47" s="283"/>
      <c r="F47" s="283"/>
    </row>
    <row r="48" spans="1:9" ht="13.35" customHeight="1" thickBot="1" x14ac:dyDescent="0.25">
      <c r="A48" s="810" t="s">
        <v>313</v>
      </c>
      <c r="B48" s="810"/>
      <c r="C48" s="283"/>
      <c r="D48" s="283"/>
      <c r="E48" s="283"/>
      <c r="F48" s="283"/>
    </row>
    <row r="49" spans="1:6" ht="13.5" thickBot="1" x14ac:dyDescent="0.25">
      <c r="A49" s="307" t="s">
        <v>314</v>
      </c>
      <c r="B49" s="310">
        <f>SUM('[2]Quadro Resumo Grupo 1'!F7)</f>
        <v>1</v>
      </c>
      <c r="C49" s="283"/>
      <c r="D49" s="283"/>
      <c r="E49" s="283"/>
      <c r="F49" s="283"/>
    </row>
    <row r="50" spans="1:6" ht="13.5" thickBot="1" x14ac:dyDescent="0.25">
      <c r="A50" s="307" t="s">
        <v>310</v>
      </c>
      <c r="B50" s="309">
        <f>B44/B49</f>
        <v>0</v>
      </c>
      <c r="C50" s="283"/>
      <c r="D50" s="283"/>
      <c r="E50" s="283"/>
      <c r="F50" s="283"/>
    </row>
    <row r="51" spans="1:6" ht="13.5" thickBot="1" x14ac:dyDescent="0.25">
      <c r="A51" s="307" t="s">
        <v>311</v>
      </c>
      <c r="B51" s="309">
        <f>B45/B49</f>
        <v>0</v>
      </c>
      <c r="C51" s="283"/>
      <c r="D51" s="283"/>
      <c r="E51" s="283"/>
      <c r="F51" s="283"/>
    </row>
    <row r="52" spans="1:6" ht="13.5" thickBot="1" x14ac:dyDescent="0.25">
      <c r="A52" s="307" t="s">
        <v>312</v>
      </c>
      <c r="B52" s="309">
        <f>B46/B49</f>
        <v>0</v>
      </c>
      <c r="C52" s="283"/>
      <c r="D52" s="283"/>
      <c r="E52" s="283"/>
      <c r="F52" s="283"/>
    </row>
    <row r="53" spans="1:6" x14ac:dyDescent="0.2">
      <c r="A53" s="283"/>
      <c r="B53" s="283"/>
      <c r="C53" s="283"/>
      <c r="D53" s="283"/>
      <c r="E53" s="283"/>
      <c r="F53" s="283"/>
    </row>
    <row r="54" spans="1:6" ht="13.5" thickBot="1" x14ac:dyDescent="0.25">
      <c r="A54" s="283"/>
      <c r="B54" s="283"/>
      <c r="C54" s="283"/>
      <c r="D54" s="283"/>
      <c r="E54" s="283"/>
      <c r="F54" s="283"/>
    </row>
    <row r="55" spans="1:6" ht="14.1" customHeight="1" thickTop="1" thickBot="1" x14ac:dyDescent="0.25">
      <c r="A55" s="813" t="s">
        <v>315</v>
      </c>
      <c r="B55" s="813"/>
      <c r="C55" s="813"/>
      <c r="D55" s="813"/>
      <c r="E55" s="813"/>
      <c r="F55" s="813"/>
    </row>
    <row r="56" spans="1:6" ht="14.1" customHeight="1" thickTop="1" thickBot="1" x14ac:dyDescent="0.25">
      <c r="A56" s="311" t="s">
        <v>208</v>
      </c>
      <c r="B56" s="311" t="s">
        <v>316</v>
      </c>
      <c r="C56" s="311" t="s">
        <v>317</v>
      </c>
      <c r="D56" s="311" t="s">
        <v>318</v>
      </c>
      <c r="E56" s="814" t="s">
        <v>319</v>
      </c>
      <c r="F56" s="814"/>
    </row>
    <row r="57" spans="1:6" ht="15.75" thickBot="1" x14ac:dyDescent="0.25">
      <c r="A57" s="312" t="s">
        <v>320</v>
      </c>
      <c r="B57" s="360">
        <v>0</v>
      </c>
      <c r="C57" s="312">
        <v>12</v>
      </c>
      <c r="D57" s="312">
        <v>2</v>
      </c>
      <c r="E57" s="811">
        <f t="shared" ref="E57:E65" si="1">ROUND(B57*D57/C57,2)</f>
        <v>0</v>
      </c>
      <c r="F57" s="811"/>
    </row>
    <row r="58" spans="1:6" ht="15.75" thickBot="1" x14ac:dyDescent="0.25">
      <c r="A58" s="312" t="s">
        <v>321</v>
      </c>
      <c r="B58" s="360">
        <v>0</v>
      </c>
      <c r="C58" s="312">
        <v>12</v>
      </c>
      <c r="D58" s="312">
        <v>2</v>
      </c>
      <c r="E58" s="811">
        <f t="shared" si="1"/>
        <v>0</v>
      </c>
      <c r="F58" s="811"/>
    </row>
    <row r="59" spans="1:6" ht="15.75" thickBot="1" x14ac:dyDescent="0.25">
      <c r="A59" s="312" t="s">
        <v>322</v>
      </c>
      <c r="B59" s="360">
        <v>0</v>
      </c>
      <c r="C59" s="312">
        <v>12</v>
      </c>
      <c r="D59" s="312">
        <v>1</v>
      </c>
      <c r="E59" s="811">
        <f t="shared" si="1"/>
        <v>0</v>
      </c>
      <c r="F59" s="811"/>
    </row>
    <row r="60" spans="1:6" ht="15.75" thickBot="1" x14ac:dyDescent="0.25">
      <c r="A60" s="312" t="s">
        <v>323</v>
      </c>
      <c r="B60" s="360">
        <v>0</v>
      </c>
      <c r="C60" s="312">
        <v>12</v>
      </c>
      <c r="D60" s="312">
        <v>4</v>
      </c>
      <c r="E60" s="811">
        <f t="shared" si="1"/>
        <v>0</v>
      </c>
      <c r="F60" s="811"/>
    </row>
    <row r="61" spans="1:6" ht="15.75" thickBot="1" x14ac:dyDescent="0.25">
      <c r="A61" s="312" t="s">
        <v>324</v>
      </c>
      <c r="B61" s="360">
        <v>0</v>
      </c>
      <c r="C61" s="312">
        <v>12</v>
      </c>
      <c r="D61" s="312">
        <v>1</v>
      </c>
      <c r="E61" s="811">
        <f t="shared" si="1"/>
        <v>0</v>
      </c>
      <c r="F61" s="811"/>
    </row>
    <row r="62" spans="1:6" ht="15.75" thickBot="1" x14ac:dyDescent="0.25">
      <c r="A62" s="312" t="s">
        <v>325</v>
      </c>
      <c r="B62" s="360">
        <v>0</v>
      </c>
      <c r="C62" s="312">
        <v>12</v>
      </c>
      <c r="D62" s="312">
        <v>1</v>
      </c>
      <c r="E62" s="811">
        <f t="shared" si="1"/>
        <v>0</v>
      </c>
      <c r="F62" s="811"/>
    </row>
    <row r="63" spans="1:6" ht="15.75" thickBot="1" x14ac:dyDescent="0.25">
      <c r="A63" s="312" t="s">
        <v>326</v>
      </c>
      <c r="B63" s="360">
        <v>0</v>
      </c>
      <c r="C63" s="312">
        <v>6</v>
      </c>
      <c r="D63" s="312">
        <v>3</v>
      </c>
      <c r="E63" s="811">
        <f t="shared" si="1"/>
        <v>0</v>
      </c>
      <c r="F63" s="811"/>
    </row>
    <row r="64" spans="1:6" ht="15.75" thickBot="1" x14ac:dyDescent="0.25">
      <c r="A64" s="312" t="s">
        <v>327</v>
      </c>
      <c r="B64" s="360">
        <v>0</v>
      </c>
      <c r="C64" s="312">
        <v>12</v>
      </c>
      <c r="D64" s="312">
        <v>1</v>
      </c>
      <c r="E64" s="811">
        <f t="shared" si="1"/>
        <v>0</v>
      </c>
      <c r="F64" s="811"/>
    </row>
    <row r="65" spans="1:6" ht="15.75" thickBot="1" x14ac:dyDescent="0.25">
      <c r="A65" s="312" t="s">
        <v>87</v>
      </c>
      <c r="B65" s="313"/>
      <c r="C65" s="312"/>
      <c r="D65" s="312"/>
      <c r="E65" s="811" t="e">
        <f t="shared" si="1"/>
        <v>#DIV/0!</v>
      </c>
      <c r="F65" s="811"/>
    </row>
    <row r="66" spans="1:6" ht="13.5" thickBot="1" x14ac:dyDescent="0.25">
      <c r="A66" s="314"/>
      <c r="B66" s="314"/>
      <c r="C66" s="314"/>
      <c r="D66" s="315" t="s">
        <v>328</v>
      </c>
      <c r="E66" s="815">
        <f>SUM(E57:E64)</f>
        <v>0</v>
      </c>
      <c r="F66" s="815"/>
    </row>
  </sheetData>
  <mergeCells count="34">
    <mergeCell ref="E64:F64"/>
    <mergeCell ref="E65:F65"/>
    <mergeCell ref="E66:F66"/>
    <mergeCell ref="E58:F58"/>
    <mergeCell ref="E59:F59"/>
    <mergeCell ref="E60:F60"/>
    <mergeCell ref="E61:F61"/>
    <mergeCell ref="E62:F62"/>
    <mergeCell ref="E63:F63"/>
    <mergeCell ref="E57:F57"/>
    <mergeCell ref="F33:F34"/>
    <mergeCell ref="G33:G34"/>
    <mergeCell ref="A30:D30"/>
    <mergeCell ref="A33:A34"/>
    <mergeCell ref="B33:B34"/>
    <mergeCell ref="C33:C34"/>
    <mergeCell ref="D33:D34"/>
    <mergeCell ref="E33:E34"/>
    <mergeCell ref="A38:D38"/>
    <mergeCell ref="A43:B43"/>
    <mergeCell ref="A48:B48"/>
    <mergeCell ref="A55:F55"/>
    <mergeCell ref="E56:F56"/>
    <mergeCell ref="G35:G37"/>
    <mergeCell ref="E22:E23"/>
    <mergeCell ref="A1:A2"/>
    <mergeCell ref="B1:B2"/>
    <mergeCell ref="C1:C2"/>
    <mergeCell ref="D1:D2"/>
    <mergeCell ref="A19:C19"/>
    <mergeCell ref="A22:A23"/>
    <mergeCell ref="B22:B23"/>
    <mergeCell ref="C22:C23"/>
    <mergeCell ref="D22:D23"/>
  </mergeCells>
  <dataValidations count="1">
    <dataValidation operator="equal" allowBlank="1" showErrorMessage="1" sqref="D24:D29 D35:E37" xr:uid="{1E56E59E-FA2A-4D86-99D9-B518DAB44B31}">
      <formula1>0</formula1>
      <formula2>0</formula2>
    </dataValidation>
  </dataValidations>
  <pageMargins left="0.51180555555555496" right="0.51180555555555496" top="0.78749999999999998" bottom="0.78749999999999998" header="0.51180555555555496" footer="0.51180555555555496"/>
  <pageSetup paperSize="9" scale="72" firstPageNumber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94EC18-9F64-471A-A008-36BBAC23A2A7}">
  <sheetPr>
    <pageSetUpPr fitToPage="1"/>
  </sheetPr>
  <dimension ref="A1:IV1048556"/>
  <sheetViews>
    <sheetView topLeftCell="A42" workbookViewId="0">
      <selection activeCell="K51" sqref="K51"/>
    </sheetView>
  </sheetViews>
  <sheetFormatPr defaultRowHeight="15.75" x14ac:dyDescent="0.2"/>
  <cols>
    <col min="1" max="10" width="12.42578125" style="76" customWidth="1"/>
    <col min="11" max="11" width="18.140625" style="76" bestFit="1" customWidth="1"/>
    <col min="12" max="12" width="18.28515625" style="76" customWidth="1"/>
    <col min="13" max="256" width="12.42578125" style="76" customWidth="1"/>
    <col min="257" max="1024" width="12.42578125" style="77" customWidth="1"/>
    <col min="1025" max="16384" width="9.140625" style="77"/>
  </cols>
  <sheetData>
    <row r="1" spans="1:11" ht="21.75" customHeight="1" thickTop="1" thickBot="1" x14ac:dyDescent="0.25">
      <c r="A1" s="423" t="s">
        <v>0</v>
      </c>
      <c r="B1" s="423"/>
      <c r="C1" s="423"/>
      <c r="D1" s="423"/>
      <c r="E1" s="423"/>
      <c r="F1" s="423"/>
      <c r="G1" s="423"/>
      <c r="H1" s="423"/>
      <c r="I1" s="442"/>
      <c r="J1" s="74"/>
      <c r="K1" s="75"/>
    </row>
    <row r="2" spans="1:11" ht="21.75" customHeight="1" thickTop="1" thickBot="1" x14ac:dyDescent="0.25">
      <c r="A2" s="534" t="s">
        <v>1</v>
      </c>
      <c r="B2" s="534"/>
      <c r="C2" s="534"/>
      <c r="D2" s="535" t="s">
        <v>330</v>
      </c>
      <c r="E2" s="535"/>
      <c r="F2" s="535"/>
      <c r="G2" s="535"/>
      <c r="H2" s="535"/>
      <c r="I2" s="536"/>
      <c r="J2" s="78"/>
      <c r="K2" s="79"/>
    </row>
    <row r="3" spans="1:11" ht="21.75" customHeight="1" thickTop="1" thickBot="1" x14ac:dyDescent="0.25">
      <c r="A3" s="534" t="s">
        <v>2</v>
      </c>
      <c r="B3" s="534"/>
      <c r="C3" s="534"/>
      <c r="D3" s="537" t="s">
        <v>425</v>
      </c>
      <c r="E3" s="537"/>
      <c r="F3" s="537"/>
      <c r="G3" s="537"/>
      <c r="H3" s="537"/>
      <c r="I3" s="538"/>
      <c r="J3" s="78"/>
      <c r="K3" s="79"/>
    </row>
    <row r="4" spans="1:11" ht="21.75" customHeight="1" thickTop="1" thickBot="1" x14ac:dyDescent="0.25">
      <c r="A4" s="534" t="s">
        <v>3</v>
      </c>
      <c r="B4" s="534"/>
      <c r="C4" s="534"/>
      <c r="D4" s="539"/>
      <c r="E4" s="540"/>
      <c r="F4" s="541"/>
      <c r="G4" s="80" t="s">
        <v>4</v>
      </c>
      <c r="H4" s="542"/>
      <c r="I4" s="536"/>
      <c r="J4" s="78"/>
      <c r="K4" s="79"/>
    </row>
    <row r="5" spans="1:11" ht="21.75" customHeight="1" thickTop="1" thickBot="1" x14ac:dyDescent="0.25">
      <c r="A5" s="526" t="s">
        <v>5</v>
      </c>
      <c r="B5" s="526"/>
      <c r="C5" s="526"/>
      <c r="D5" s="527" t="s">
        <v>225</v>
      </c>
      <c r="E5" s="527"/>
      <c r="F5" s="527"/>
      <c r="G5" s="527"/>
      <c r="H5" s="527"/>
      <c r="I5" s="527"/>
      <c r="J5" s="277"/>
      <c r="K5" s="79"/>
    </row>
    <row r="6" spans="1:11" ht="21.75" customHeight="1" thickTop="1" thickBot="1" x14ac:dyDescent="0.25">
      <c r="A6" s="81"/>
      <c r="B6" s="82"/>
      <c r="C6" s="82"/>
      <c r="D6" s="82"/>
      <c r="E6" s="82"/>
      <c r="F6" s="82"/>
      <c r="G6" s="82"/>
      <c r="H6" s="82"/>
      <c r="I6" s="279"/>
      <c r="J6" s="279"/>
      <c r="K6" s="278"/>
    </row>
    <row r="7" spans="1:11" ht="21.75" customHeight="1" thickTop="1" thickBot="1" x14ac:dyDescent="0.25">
      <c r="A7" s="274" t="s">
        <v>7</v>
      </c>
      <c r="B7" s="528" t="s">
        <v>8</v>
      </c>
      <c r="C7" s="528"/>
      <c r="D7" s="528"/>
      <c r="E7" s="528"/>
      <c r="F7" s="529" t="s">
        <v>140</v>
      </c>
      <c r="G7" s="529"/>
      <c r="H7" s="529"/>
      <c r="I7" s="529"/>
      <c r="J7" s="529"/>
      <c r="K7" s="529"/>
    </row>
    <row r="8" spans="1:11" ht="21.75" customHeight="1" thickTop="1" thickBot="1" x14ac:dyDescent="0.25">
      <c r="A8" s="274" t="s">
        <v>7</v>
      </c>
      <c r="B8" s="275" t="s">
        <v>9</v>
      </c>
      <c r="C8" s="84"/>
      <c r="D8" s="84"/>
      <c r="E8" s="84"/>
      <c r="F8" s="84"/>
      <c r="G8" s="84"/>
      <c r="H8" s="84"/>
      <c r="I8" s="84"/>
      <c r="J8" s="276"/>
      <c r="K8" s="85">
        <v>12</v>
      </c>
    </row>
    <row r="9" spans="1:11" ht="21.75" customHeight="1" thickTop="1" thickBot="1" x14ac:dyDescent="0.25">
      <c r="A9" s="83" t="s">
        <v>7</v>
      </c>
      <c r="B9" s="496" t="s">
        <v>10</v>
      </c>
      <c r="C9" s="428"/>
      <c r="D9" s="428"/>
      <c r="E9" s="428"/>
      <c r="F9" s="428"/>
      <c r="G9" s="428"/>
      <c r="H9" s="428"/>
      <c r="I9" s="543"/>
      <c r="J9" s="543"/>
      <c r="K9" s="544"/>
    </row>
    <row r="10" spans="1:11" ht="21.75" customHeight="1" thickTop="1" thickBot="1" x14ac:dyDescent="0.25">
      <c r="A10" s="83" t="s">
        <v>7</v>
      </c>
      <c r="B10" s="86" t="s">
        <v>11</v>
      </c>
      <c r="C10" s="86"/>
      <c r="D10" s="86"/>
      <c r="E10" s="86"/>
      <c r="F10" s="86"/>
      <c r="G10" s="86"/>
      <c r="H10" s="86"/>
      <c r="I10" s="86"/>
      <c r="J10" s="86"/>
      <c r="K10" s="87" t="s">
        <v>141</v>
      </c>
    </row>
    <row r="11" spans="1:11" ht="21.75" customHeight="1" thickTop="1" thickBot="1" x14ac:dyDescent="0.25">
      <c r="A11" s="83" t="s">
        <v>7</v>
      </c>
      <c r="B11" s="86" t="s">
        <v>142</v>
      </c>
      <c r="C11" s="86"/>
      <c r="D11" s="86"/>
      <c r="E11" s="86"/>
      <c r="F11" s="86"/>
      <c r="G11" s="86"/>
      <c r="H11" s="86"/>
      <c r="I11" s="86"/>
      <c r="J11" s="86"/>
      <c r="K11" s="88">
        <f>'Quantitativo de pessoal'!D13</f>
        <v>20173.649999999998</v>
      </c>
    </row>
    <row r="12" spans="1:11" ht="21.75" customHeight="1" thickTop="1" thickBot="1" x14ac:dyDescent="0.25">
      <c r="A12" s="530" t="s">
        <v>147</v>
      </c>
      <c r="B12" s="531"/>
      <c r="C12" s="531"/>
      <c r="D12" s="531"/>
      <c r="E12" s="531"/>
      <c r="F12" s="531"/>
      <c r="G12" s="531"/>
      <c r="H12" s="531"/>
      <c r="I12" s="531"/>
      <c r="J12" s="531"/>
      <c r="K12" s="532"/>
    </row>
    <row r="13" spans="1:11" ht="21.75" customHeight="1" thickTop="1" thickBot="1" x14ac:dyDescent="0.25">
      <c r="A13" s="533"/>
      <c r="B13" s="531"/>
      <c r="C13" s="531"/>
      <c r="D13" s="531"/>
      <c r="E13" s="531"/>
      <c r="F13" s="531"/>
      <c r="G13" s="531"/>
      <c r="H13" s="531"/>
      <c r="I13" s="531"/>
      <c r="J13" s="531"/>
      <c r="K13" s="532"/>
    </row>
    <row r="14" spans="1:11" ht="21.75" customHeight="1" thickTop="1" thickBot="1" x14ac:dyDescent="0.25">
      <c r="A14" s="533"/>
      <c r="B14" s="531"/>
      <c r="C14" s="531"/>
      <c r="D14" s="531"/>
      <c r="E14" s="531"/>
      <c r="F14" s="531"/>
      <c r="G14" s="531"/>
      <c r="H14" s="531"/>
      <c r="I14" s="531"/>
      <c r="J14" s="531"/>
      <c r="K14" s="532"/>
    </row>
    <row r="15" spans="1:11" ht="21.75" customHeight="1" thickTop="1" thickBot="1" x14ac:dyDescent="0.25">
      <c r="A15" s="442" t="s">
        <v>15</v>
      </c>
      <c r="B15" s="442"/>
      <c r="C15" s="442"/>
      <c r="D15" s="442"/>
      <c r="E15" s="442"/>
      <c r="F15" s="442"/>
      <c r="G15" s="442"/>
      <c r="H15" s="442"/>
      <c r="I15" s="442"/>
      <c r="J15" s="442"/>
      <c r="K15" s="442"/>
    </row>
    <row r="16" spans="1:11" ht="21.75" customHeight="1" thickTop="1" thickBot="1" x14ac:dyDescent="0.25">
      <c r="A16" s="89">
        <v>1</v>
      </c>
      <c r="B16" s="86" t="s">
        <v>16</v>
      </c>
      <c r="C16" s="86"/>
      <c r="D16" s="86"/>
      <c r="E16" s="86"/>
      <c r="F16" s="86"/>
      <c r="G16" s="86"/>
      <c r="H16" s="86"/>
      <c r="I16" s="86"/>
      <c r="J16" s="86"/>
      <c r="K16" s="90"/>
    </row>
    <row r="17" spans="1:18" ht="21.75" customHeight="1" thickTop="1" thickBot="1" x14ac:dyDescent="0.25">
      <c r="A17" s="89">
        <v>2</v>
      </c>
      <c r="B17" s="86" t="s">
        <v>17</v>
      </c>
      <c r="C17" s="86"/>
      <c r="D17" s="86"/>
      <c r="E17" s="86"/>
      <c r="F17" s="86"/>
      <c r="G17" s="86"/>
      <c r="H17" s="86"/>
      <c r="I17" s="86"/>
      <c r="J17" s="86"/>
      <c r="K17" s="91" t="s">
        <v>193</v>
      </c>
    </row>
    <row r="18" spans="1:18" ht="21.75" customHeight="1" thickTop="1" thickBot="1" x14ac:dyDescent="0.25">
      <c r="A18" s="89">
        <v>3</v>
      </c>
      <c r="B18" s="86" t="s">
        <v>18</v>
      </c>
      <c r="C18" s="86"/>
      <c r="D18" s="86"/>
      <c r="E18" s="86"/>
      <c r="F18" s="86"/>
      <c r="G18" s="86"/>
      <c r="H18" s="86"/>
      <c r="I18" s="86"/>
      <c r="J18" s="86"/>
      <c r="K18" s="92">
        <v>43862</v>
      </c>
    </row>
    <row r="19" spans="1:18" ht="21.75" customHeight="1" thickTop="1" thickBot="1" x14ac:dyDescent="0.25">
      <c r="A19" s="93">
        <v>4</v>
      </c>
      <c r="B19" s="509" t="s">
        <v>19</v>
      </c>
      <c r="C19" s="510"/>
      <c r="D19" s="510"/>
      <c r="E19" s="510"/>
      <c r="F19" s="510"/>
      <c r="G19" s="510"/>
      <c r="H19" s="510"/>
      <c r="I19" s="510"/>
      <c r="J19" s="510"/>
      <c r="K19" s="94" t="s">
        <v>143</v>
      </c>
    </row>
    <row r="20" spans="1:18" ht="21.75" customHeight="1" thickTop="1" x14ac:dyDescent="0.2">
      <c r="A20" s="511" t="s">
        <v>148</v>
      </c>
      <c r="B20" s="512"/>
      <c r="C20" s="512"/>
      <c r="D20" s="512"/>
      <c r="E20" s="512"/>
      <c r="F20" s="512"/>
      <c r="G20" s="512"/>
      <c r="H20" s="512"/>
      <c r="I20" s="512"/>
      <c r="J20" s="512"/>
      <c r="K20" s="513"/>
    </row>
    <row r="21" spans="1:18" ht="19.149999999999999" customHeight="1" thickBot="1" x14ac:dyDescent="0.25">
      <c r="A21" s="514"/>
      <c r="B21" s="515"/>
      <c r="C21" s="515"/>
      <c r="D21" s="515"/>
      <c r="E21" s="515"/>
      <c r="F21" s="515"/>
      <c r="G21" s="515"/>
      <c r="H21" s="515"/>
      <c r="I21" s="515"/>
      <c r="J21" s="515"/>
      <c r="K21" s="516"/>
    </row>
    <row r="22" spans="1:18" ht="21.6" hidden="1" customHeight="1" x14ac:dyDescent="0.2">
      <c r="A22" s="517"/>
      <c r="B22" s="518"/>
      <c r="C22" s="518"/>
      <c r="D22" s="518"/>
      <c r="E22" s="518"/>
      <c r="F22" s="518"/>
      <c r="G22" s="518"/>
      <c r="H22" s="518"/>
      <c r="I22" s="518"/>
      <c r="J22" s="518"/>
      <c r="K22" s="519"/>
    </row>
    <row r="23" spans="1:18" ht="21.75" customHeight="1" thickTop="1" thickBot="1" x14ac:dyDescent="0.25">
      <c r="A23" s="442" t="s">
        <v>21</v>
      </c>
      <c r="B23" s="442"/>
      <c r="C23" s="442"/>
      <c r="D23" s="442"/>
      <c r="E23" s="442"/>
      <c r="F23" s="442"/>
      <c r="G23" s="442"/>
      <c r="H23" s="442"/>
      <c r="I23" s="442"/>
      <c r="J23" s="442"/>
      <c r="K23" s="95" t="s">
        <v>22</v>
      </c>
    </row>
    <row r="24" spans="1:18" ht="21.75" customHeight="1" thickTop="1" thickBot="1" x14ac:dyDescent="0.25">
      <c r="A24" s="89" t="s">
        <v>23</v>
      </c>
      <c r="B24" s="86" t="s">
        <v>24</v>
      </c>
      <c r="C24" s="86"/>
      <c r="D24" s="86"/>
      <c r="E24" s="86"/>
      <c r="F24" s="86"/>
      <c r="G24" s="86"/>
      <c r="H24" s="86"/>
      <c r="I24" s="86"/>
      <c r="J24" s="96"/>
      <c r="K24" s="342">
        <f>K16</f>
        <v>0</v>
      </c>
    </row>
    <row r="25" spans="1:18" ht="21.75" customHeight="1" thickTop="1" thickBot="1" x14ac:dyDescent="0.25">
      <c r="A25" s="89" t="s">
        <v>25</v>
      </c>
      <c r="B25" s="98" t="s">
        <v>26</v>
      </c>
      <c r="C25" s="98"/>
      <c r="D25" s="98"/>
      <c r="E25" s="99" t="s">
        <v>27</v>
      </c>
      <c r="F25" s="99"/>
      <c r="G25" s="86"/>
      <c r="H25" s="520">
        <v>0</v>
      </c>
      <c r="I25" s="521"/>
      <c r="J25" s="522"/>
      <c r="K25" s="97">
        <f>K24*H25</f>
        <v>0</v>
      </c>
    </row>
    <row r="26" spans="1:18" ht="21.75" customHeight="1" thickTop="1" thickBot="1" x14ac:dyDescent="0.3">
      <c r="A26" s="523" t="s">
        <v>28</v>
      </c>
      <c r="B26" s="524" t="s">
        <v>29</v>
      </c>
      <c r="C26" s="524"/>
      <c r="D26" s="524"/>
      <c r="E26" s="99" t="s">
        <v>30</v>
      </c>
      <c r="F26" s="99"/>
      <c r="G26" s="86"/>
      <c r="H26" s="86"/>
      <c r="I26" s="86"/>
      <c r="J26" s="101"/>
      <c r="K26" s="525">
        <f>L27*0.4</f>
        <v>0</v>
      </c>
      <c r="L26"/>
      <c r="M26"/>
      <c r="N26"/>
      <c r="O26"/>
      <c r="P26"/>
      <c r="Q26"/>
      <c r="R26"/>
    </row>
    <row r="27" spans="1:18" ht="21.75" customHeight="1" thickTop="1" thickBot="1" x14ac:dyDescent="0.3">
      <c r="A27" s="523"/>
      <c r="B27" s="524"/>
      <c r="C27" s="524"/>
      <c r="D27" s="524"/>
      <c r="E27" s="99" t="s">
        <v>31</v>
      </c>
      <c r="F27" s="99"/>
      <c r="G27" s="86"/>
      <c r="H27" s="99" t="s">
        <v>32</v>
      </c>
      <c r="I27" s="86"/>
      <c r="J27" s="96"/>
      <c r="K27" s="525"/>
      <c r="L27"/>
      <c r="M27"/>
      <c r="N27"/>
      <c r="O27"/>
      <c r="P27"/>
      <c r="Q27"/>
      <c r="R27"/>
    </row>
    <row r="28" spans="1:18" ht="21.75" customHeight="1" thickTop="1" thickBot="1" x14ac:dyDescent="0.3">
      <c r="A28" s="89" t="s">
        <v>33</v>
      </c>
      <c r="B28" s="506" t="s">
        <v>34</v>
      </c>
      <c r="C28" s="506"/>
      <c r="D28" s="506"/>
      <c r="E28" s="507"/>
      <c r="F28" s="507"/>
      <c r="G28" s="507"/>
      <c r="H28" s="507"/>
      <c r="I28" s="507"/>
      <c r="J28" s="508"/>
      <c r="K28" s="97">
        <v>0</v>
      </c>
      <c r="L28"/>
      <c r="M28"/>
      <c r="N28"/>
      <c r="O28"/>
      <c r="P28"/>
      <c r="Q28"/>
      <c r="R28"/>
    </row>
    <row r="29" spans="1:18" ht="21.75" customHeight="1" thickTop="1" thickBot="1" x14ac:dyDescent="0.25">
      <c r="A29" s="89" t="s">
        <v>35</v>
      </c>
      <c r="B29" s="428" t="s">
        <v>36</v>
      </c>
      <c r="C29" s="428"/>
      <c r="D29" s="428"/>
      <c r="E29" s="428"/>
      <c r="F29" s="428"/>
      <c r="G29" s="428"/>
      <c r="H29" s="428"/>
      <c r="I29" s="428"/>
      <c r="J29" s="429"/>
      <c r="K29" s="97">
        <v>0</v>
      </c>
      <c r="L29" s="103"/>
    </row>
    <row r="30" spans="1:18" ht="21.75" customHeight="1" thickTop="1" thickBot="1" x14ac:dyDescent="0.25">
      <c r="A30" s="89" t="s">
        <v>37</v>
      </c>
      <c r="B30" s="428" t="s">
        <v>38</v>
      </c>
      <c r="C30" s="428"/>
      <c r="D30" s="428"/>
      <c r="E30" s="428"/>
      <c r="F30" s="428"/>
      <c r="G30" s="428"/>
      <c r="H30" s="428"/>
      <c r="I30" s="428"/>
      <c r="J30" s="429"/>
      <c r="K30" s="97">
        <v>0</v>
      </c>
    </row>
    <row r="31" spans="1:18" ht="21.75" customHeight="1" thickTop="1" thickBot="1" x14ac:dyDescent="0.25">
      <c r="A31" s="89" t="s">
        <v>39</v>
      </c>
      <c r="B31" s="428" t="s">
        <v>87</v>
      </c>
      <c r="C31" s="428"/>
      <c r="D31" s="428"/>
      <c r="E31" s="428"/>
      <c r="F31" s="428"/>
      <c r="G31" s="428"/>
      <c r="H31" s="428"/>
      <c r="I31" s="428"/>
      <c r="J31" s="429"/>
      <c r="K31" s="104">
        <v>0</v>
      </c>
    </row>
    <row r="32" spans="1:18" ht="21.6" hidden="1" customHeight="1" x14ac:dyDescent="0.2">
      <c r="A32" s="503"/>
      <c r="B32" s="504"/>
      <c r="C32" s="504"/>
      <c r="D32" s="504"/>
      <c r="E32" s="504"/>
      <c r="F32" s="504"/>
      <c r="G32" s="504"/>
      <c r="H32" s="504"/>
      <c r="I32" s="504"/>
      <c r="J32" s="504"/>
      <c r="K32" s="505"/>
    </row>
    <row r="33" spans="1:13" ht="21.75" customHeight="1" thickTop="1" thickBot="1" x14ac:dyDescent="0.25">
      <c r="A33" s="423" t="s">
        <v>41</v>
      </c>
      <c r="B33" s="424"/>
      <c r="C33" s="424"/>
      <c r="D33" s="424"/>
      <c r="E33" s="424"/>
      <c r="F33" s="424"/>
      <c r="G33" s="424"/>
      <c r="H33" s="424"/>
      <c r="I33" s="424"/>
      <c r="J33" s="426"/>
      <c r="K33" s="105">
        <f>SUM(K24:K31)</f>
        <v>0</v>
      </c>
      <c r="M33" s="106"/>
    </row>
    <row r="34" spans="1:13" ht="21.75" customHeight="1" thickTop="1" x14ac:dyDescent="0.2">
      <c r="A34" s="464" t="s">
        <v>149</v>
      </c>
      <c r="B34" s="465"/>
      <c r="C34" s="465"/>
      <c r="D34" s="465"/>
      <c r="E34" s="465"/>
      <c r="F34" s="465"/>
      <c r="G34" s="465"/>
      <c r="H34" s="465"/>
      <c r="I34" s="465"/>
      <c r="J34" s="465"/>
      <c r="K34" s="466"/>
    </row>
    <row r="35" spans="1:13" ht="55.5" customHeight="1" thickBot="1" x14ac:dyDescent="0.25">
      <c r="A35" s="467"/>
      <c r="B35" s="468"/>
      <c r="C35" s="468"/>
      <c r="D35" s="468"/>
      <c r="E35" s="468"/>
      <c r="F35" s="468"/>
      <c r="G35" s="468"/>
      <c r="H35" s="468"/>
      <c r="I35" s="468"/>
      <c r="J35" s="468"/>
      <c r="K35" s="469"/>
    </row>
    <row r="36" spans="1:13" ht="21.75" customHeight="1" thickTop="1" thickBot="1" x14ac:dyDescent="0.25">
      <c r="A36" s="423" t="s">
        <v>43</v>
      </c>
      <c r="B36" s="423"/>
      <c r="C36" s="423"/>
      <c r="D36" s="423"/>
      <c r="E36" s="423"/>
      <c r="F36" s="423"/>
      <c r="G36" s="423"/>
      <c r="H36" s="423"/>
      <c r="I36" s="423"/>
      <c r="J36" s="423"/>
      <c r="K36" s="442"/>
    </row>
    <row r="37" spans="1:13" ht="21.75" customHeight="1" thickTop="1" thickBot="1" x14ac:dyDescent="0.25">
      <c r="A37" s="423" t="s">
        <v>150</v>
      </c>
      <c r="B37" s="423"/>
      <c r="C37" s="423"/>
      <c r="D37" s="423"/>
      <c r="E37" s="423"/>
      <c r="F37" s="423"/>
      <c r="G37" s="423"/>
      <c r="H37" s="423"/>
      <c r="I37" s="423"/>
      <c r="J37" s="423"/>
      <c r="K37" s="442"/>
    </row>
    <row r="38" spans="1:13" ht="21.75" customHeight="1" thickTop="1" thickBot="1" x14ac:dyDescent="0.25">
      <c r="A38" s="107" t="s">
        <v>23</v>
      </c>
      <c r="B38" s="501" t="s">
        <v>45</v>
      </c>
      <c r="C38" s="501"/>
      <c r="D38" s="501"/>
      <c r="E38" s="501"/>
      <c r="F38" s="501"/>
      <c r="G38" s="501"/>
      <c r="H38" s="501"/>
      <c r="I38" s="501"/>
      <c r="J38" s="108">
        <v>8.3299999999999999E-2</v>
      </c>
      <c r="K38" s="109">
        <f>K33*(1/12)</f>
        <v>0</v>
      </c>
      <c r="L38" s="110"/>
    </row>
    <row r="39" spans="1:13" ht="21.75" customHeight="1" thickTop="1" thickBot="1" x14ac:dyDescent="0.25">
      <c r="A39" s="107" t="s">
        <v>25</v>
      </c>
      <c r="B39" s="501" t="s">
        <v>46</v>
      </c>
      <c r="C39" s="501"/>
      <c r="D39" s="501"/>
      <c r="E39" s="501"/>
      <c r="F39" s="501"/>
      <c r="G39" s="501"/>
      <c r="H39" s="501"/>
      <c r="I39" s="501"/>
      <c r="J39" s="108">
        <v>0.1111</v>
      </c>
      <c r="K39" s="109">
        <f>(K33*(1/12))+(K33*1/12*1/3)</f>
        <v>0</v>
      </c>
      <c r="L39" s="111"/>
    </row>
    <row r="40" spans="1:13" ht="21.75" customHeight="1" thickTop="1" thickBot="1" x14ac:dyDescent="0.25">
      <c r="A40" s="112"/>
      <c r="B40" s="502" t="s">
        <v>47</v>
      </c>
      <c r="C40" s="502"/>
      <c r="D40" s="502"/>
      <c r="E40" s="502"/>
      <c r="F40" s="502"/>
      <c r="G40" s="502"/>
      <c r="H40" s="502"/>
      <c r="I40" s="502"/>
      <c r="J40" s="113">
        <f>J38+J39</f>
        <v>0.19440000000000002</v>
      </c>
      <c r="K40" s="105">
        <f>ROUND(SUM(K38+K39),2)</f>
        <v>0</v>
      </c>
    </row>
    <row r="41" spans="1:13" ht="21.75" customHeight="1" thickTop="1" x14ac:dyDescent="0.2">
      <c r="A41" s="464" t="s">
        <v>151</v>
      </c>
      <c r="B41" s="465"/>
      <c r="C41" s="465"/>
      <c r="D41" s="465"/>
      <c r="E41" s="465"/>
      <c r="F41" s="465"/>
      <c r="G41" s="465"/>
      <c r="H41" s="465"/>
      <c r="I41" s="465"/>
      <c r="J41" s="465"/>
      <c r="K41" s="466"/>
    </row>
    <row r="42" spans="1:13" ht="55.15" customHeight="1" thickBot="1" x14ac:dyDescent="0.25">
      <c r="A42" s="467"/>
      <c r="B42" s="468"/>
      <c r="C42" s="468"/>
      <c r="D42" s="468"/>
      <c r="E42" s="468"/>
      <c r="F42" s="468"/>
      <c r="G42" s="468"/>
      <c r="H42" s="468"/>
      <c r="I42" s="468"/>
      <c r="J42" s="468"/>
      <c r="K42" s="469"/>
    </row>
    <row r="43" spans="1:13" ht="21.75" customHeight="1" thickTop="1" thickBot="1" x14ac:dyDescent="0.25">
      <c r="A43" s="423" t="s">
        <v>49</v>
      </c>
      <c r="B43" s="424"/>
      <c r="C43" s="424"/>
      <c r="D43" s="424"/>
      <c r="E43" s="424"/>
      <c r="F43" s="424"/>
      <c r="G43" s="424"/>
      <c r="H43" s="424"/>
      <c r="I43" s="424"/>
      <c r="J43" s="424"/>
      <c r="K43" s="426"/>
    </row>
    <row r="44" spans="1:13" ht="21.75" customHeight="1" thickTop="1" thickBot="1" x14ac:dyDescent="0.25">
      <c r="A44" s="89" t="s">
        <v>23</v>
      </c>
      <c r="B44" s="495" t="s">
        <v>50</v>
      </c>
      <c r="C44" s="495"/>
      <c r="D44" s="495"/>
      <c r="E44" s="495"/>
      <c r="F44" s="495"/>
      <c r="G44" s="495"/>
      <c r="H44" s="495"/>
      <c r="I44" s="495"/>
      <c r="J44" s="115">
        <v>0.2</v>
      </c>
      <c r="K44" s="102">
        <f>J44*(K33+K40)</f>
        <v>0</v>
      </c>
    </row>
    <row r="45" spans="1:13" ht="21.75" customHeight="1" thickTop="1" thickBot="1" x14ac:dyDescent="0.25">
      <c r="A45" s="100" t="s">
        <v>25</v>
      </c>
      <c r="B45" s="496" t="s">
        <v>54</v>
      </c>
      <c r="C45" s="428"/>
      <c r="D45" s="428"/>
      <c r="E45" s="428"/>
      <c r="F45" s="428"/>
      <c r="G45" s="428"/>
      <c r="H45" s="428"/>
      <c r="I45" s="497"/>
      <c r="J45" s="115">
        <v>2.5000000000000001E-2</v>
      </c>
      <c r="K45" s="102">
        <f>J45*(K33+K40)</f>
        <v>0</v>
      </c>
    </row>
    <row r="46" spans="1:13" ht="21.75" customHeight="1" thickTop="1" thickBot="1" x14ac:dyDescent="0.25">
      <c r="A46" s="89" t="s">
        <v>28</v>
      </c>
      <c r="B46" s="496" t="s">
        <v>243</v>
      </c>
      <c r="C46" s="428"/>
      <c r="D46" s="428"/>
      <c r="E46" s="498"/>
      <c r="F46" s="341">
        <v>0.03</v>
      </c>
      <c r="G46" s="281" t="s">
        <v>57</v>
      </c>
      <c r="H46" s="499">
        <v>1</v>
      </c>
      <c r="I46" s="500"/>
      <c r="J46" s="115">
        <f>F46*H46</f>
        <v>0.03</v>
      </c>
      <c r="K46" s="102">
        <f>J46*(K33+K40)</f>
        <v>0</v>
      </c>
    </row>
    <row r="47" spans="1:13" ht="21.75" customHeight="1" thickTop="1" thickBot="1" x14ac:dyDescent="0.25">
      <c r="A47" s="89" t="s">
        <v>33</v>
      </c>
      <c r="B47" s="496" t="s">
        <v>51</v>
      </c>
      <c r="C47" s="428"/>
      <c r="D47" s="428"/>
      <c r="E47" s="428"/>
      <c r="F47" s="428"/>
      <c r="G47" s="428"/>
      <c r="H47" s="428"/>
      <c r="I47" s="497"/>
      <c r="J47" s="115">
        <v>1.4999999999999999E-2</v>
      </c>
      <c r="K47" s="102">
        <f>J47*(K33+K40)</f>
        <v>0</v>
      </c>
    </row>
    <row r="48" spans="1:13" ht="21.75" customHeight="1" thickTop="1" thickBot="1" x14ac:dyDescent="0.25">
      <c r="A48" s="89" t="s">
        <v>35</v>
      </c>
      <c r="B48" s="496" t="s">
        <v>52</v>
      </c>
      <c r="C48" s="428"/>
      <c r="D48" s="428"/>
      <c r="E48" s="428"/>
      <c r="F48" s="428"/>
      <c r="G48" s="428"/>
      <c r="H48" s="428"/>
      <c r="I48" s="497"/>
      <c r="J48" s="115">
        <v>0.01</v>
      </c>
      <c r="K48" s="102">
        <f>J48*(K33+K40)</f>
        <v>0</v>
      </c>
    </row>
    <row r="49" spans="1:16" ht="21.75" customHeight="1" thickTop="1" thickBot="1" x14ac:dyDescent="0.25">
      <c r="A49" s="89" t="s">
        <v>37</v>
      </c>
      <c r="B49" s="86" t="s">
        <v>59</v>
      </c>
      <c r="C49" s="86"/>
      <c r="D49" s="86"/>
      <c r="E49" s="86"/>
      <c r="F49" s="86"/>
      <c r="G49" s="86"/>
      <c r="H49" s="86"/>
      <c r="I49" s="86"/>
      <c r="J49" s="115">
        <v>6.0000000000000001E-3</v>
      </c>
      <c r="K49" s="102">
        <f>J49*(K33+K40)</f>
        <v>0</v>
      </c>
    </row>
    <row r="50" spans="1:16" ht="21.75" customHeight="1" thickTop="1" thickBot="1" x14ac:dyDescent="0.25">
      <c r="A50" s="89" t="s">
        <v>39</v>
      </c>
      <c r="B50" s="496" t="s">
        <v>53</v>
      </c>
      <c r="C50" s="428"/>
      <c r="D50" s="428"/>
      <c r="E50" s="428"/>
      <c r="F50" s="428"/>
      <c r="G50" s="428"/>
      <c r="H50" s="428"/>
      <c r="I50" s="497"/>
      <c r="J50" s="116">
        <v>2E-3</v>
      </c>
      <c r="K50" s="102">
        <f>J50*(K33+K40)</f>
        <v>0</v>
      </c>
    </row>
    <row r="51" spans="1:16" ht="21.75" customHeight="1" thickTop="1" thickBot="1" x14ac:dyDescent="0.25">
      <c r="A51" s="89" t="s">
        <v>58</v>
      </c>
      <c r="B51" s="496" t="s">
        <v>55</v>
      </c>
      <c r="C51" s="428"/>
      <c r="D51" s="428"/>
      <c r="E51" s="428"/>
      <c r="F51" s="428"/>
      <c r="G51" s="428"/>
      <c r="H51" s="428"/>
      <c r="I51" s="497"/>
      <c r="J51" s="116">
        <v>0.08</v>
      </c>
      <c r="K51" s="408">
        <f>J51*(K33+K40)</f>
        <v>0</v>
      </c>
    </row>
    <row r="52" spans="1:16" ht="21.75" customHeight="1" thickTop="1" thickBot="1" x14ac:dyDescent="0.25">
      <c r="A52" s="154"/>
      <c r="B52" s="423" t="s">
        <v>47</v>
      </c>
      <c r="C52" s="424"/>
      <c r="D52" s="424"/>
      <c r="E52" s="424"/>
      <c r="F52" s="424"/>
      <c r="G52" s="424"/>
      <c r="H52" s="424"/>
      <c r="I52" s="426"/>
      <c r="J52" s="114">
        <f>SUM(J44:J51)</f>
        <v>0.36800000000000005</v>
      </c>
      <c r="K52" s="282">
        <f>SUM(K44:K51)</f>
        <v>0</v>
      </c>
    </row>
    <row r="53" spans="1:16" ht="21.75" customHeight="1" thickTop="1" x14ac:dyDescent="0.2">
      <c r="A53" s="486" t="s">
        <v>152</v>
      </c>
      <c r="B53" s="487"/>
      <c r="C53" s="487"/>
      <c r="D53" s="487"/>
      <c r="E53" s="487"/>
      <c r="F53" s="487"/>
      <c r="G53" s="487"/>
      <c r="H53" s="487"/>
      <c r="I53" s="487"/>
      <c r="J53" s="487"/>
      <c r="K53" s="488"/>
    </row>
    <row r="54" spans="1:16" ht="21.75" customHeight="1" x14ac:dyDescent="0.2">
      <c r="A54" s="489"/>
      <c r="B54" s="490"/>
      <c r="C54" s="490"/>
      <c r="D54" s="490"/>
      <c r="E54" s="490"/>
      <c r="F54" s="490"/>
      <c r="G54" s="490"/>
      <c r="H54" s="490"/>
      <c r="I54" s="490"/>
      <c r="J54" s="490"/>
      <c r="K54" s="491"/>
    </row>
    <row r="55" spans="1:16" ht="12.6" customHeight="1" thickBot="1" x14ac:dyDescent="0.25">
      <c r="A55" s="492"/>
      <c r="B55" s="493"/>
      <c r="C55" s="493"/>
      <c r="D55" s="493"/>
      <c r="E55" s="493"/>
      <c r="F55" s="493"/>
      <c r="G55" s="493"/>
      <c r="H55" s="493"/>
      <c r="I55" s="493"/>
      <c r="J55" s="493"/>
      <c r="K55" s="494"/>
    </row>
    <row r="56" spans="1:16" ht="21.75" customHeight="1" thickTop="1" thickBot="1" x14ac:dyDescent="0.25">
      <c r="A56" s="423" t="s">
        <v>61</v>
      </c>
      <c r="B56" s="424"/>
      <c r="C56" s="424"/>
      <c r="D56" s="424"/>
      <c r="E56" s="424"/>
      <c r="F56" s="424"/>
      <c r="G56" s="424"/>
      <c r="H56" s="424"/>
      <c r="I56" s="424"/>
      <c r="J56" s="424"/>
      <c r="K56" s="426"/>
    </row>
    <row r="57" spans="1:16" ht="21.75" customHeight="1" thickTop="1" thickBot="1" x14ac:dyDescent="0.25">
      <c r="A57" s="95" t="s">
        <v>23</v>
      </c>
      <c r="B57" s="459" t="s">
        <v>401</v>
      </c>
      <c r="C57" s="459"/>
      <c r="D57" s="459"/>
      <c r="E57" s="459"/>
      <c r="F57" s="459"/>
      <c r="G57" s="459"/>
      <c r="H57" s="459"/>
      <c r="I57" s="459"/>
      <c r="J57" s="459"/>
      <c r="K57" s="117">
        <v>0</v>
      </c>
      <c r="L57" s="111"/>
    </row>
    <row r="58" spans="1:16" ht="21.75" customHeight="1" thickTop="1" thickBot="1" x14ac:dyDescent="0.25">
      <c r="A58" s="95" t="s">
        <v>25</v>
      </c>
      <c r="B58" s="459" t="s">
        <v>422</v>
      </c>
      <c r="C58" s="459"/>
      <c r="D58" s="459"/>
      <c r="E58" s="459"/>
      <c r="F58" s="459"/>
      <c r="G58" s="459"/>
      <c r="H58" s="459"/>
      <c r="I58" s="459"/>
      <c r="J58" s="459"/>
      <c r="K58" s="109">
        <v>0</v>
      </c>
      <c r="L58" s="484"/>
      <c r="M58" s="485"/>
      <c r="N58" s="485"/>
      <c r="O58" s="485"/>
    </row>
    <row r="59" spans="1:16" ht="21.75" customHeight="1" thickTop="1" thickBot="1" x14ac:dyDescent="0.25">
      <c r="A59" s="95" t="s">
        <v>28</v>
      </c>
      <c r="B59" s="459" t="s">
        <v>421</v>
      </c>
      <c r="C59" s="459"/>
      <c r="D59" s="459"/>
      <c r="E59" s="459"/>
      <c r="F59" s="459"/>
      <c r="G59" s="459"/>
      <c r="H59" s="459"/>
      <c r="I59" s="459"/>
      <c r="J59" s="459"/>
      <c r="K59" s="109">
        <v>0</v>
      </c>
      <c r="L59" s="484"/>
      <c r="M59" s="485"/>
      <c r="N59" s="485"/>
      <c r="O59" s="485"/>
      <c r="P59" s="111"/>
    </row>
    <row r="60" spans="1:16" ht="21.75" customHeight="1" thickTop="1" thickBot="1" x14ac:dyDescent="0.25">
      <c r="A60" s="95" t="s">
        <v>33</v>
      </c>
      <c r="B60" s="459" t="s">
        <v>420</v>
      </c>
      <c r="C60" s="459"/>
      <c r="D60" s="459"/>
      <c r="E60" s="459"/>
      <c r="F60" s="459"/>
      <c r="G60" s="459"/>
      <c r="H60" s="459"/>
      <c r="I60" s="459"/>
      <c r="J60" s="459"/>
      <c r="K60" s="109">
        <v>0</v>
      </c>
      <c r="L60" s="484"/>
      <c r="M60" s="485"/>
      <c r="N60" s="485"/>
      <c r="O60" s="485"/>
    </row>
    <row r="61" spans="1:16" ht="21.75" customHeight="1" thickTop="1" thickBot="1" x14ac:dyDescent="0.25">
      <c r="A61" s="95" t="s">
        <v>35</v>
      </c>
      <c r="B61" s="459" t="s">
        <v>87</v>
      </c>
      <c r="C61" s="459"/>
      <c r="D61" s="459"/>
      <c r="E61" s="459"/>
      <c r="F61" s="459"/>
      <c r="G61" s="459"/>
      <c r="H61" s="459"/>
      <c r="I61" s="459"/>
      <c r="J61" s="459"/>
      <c r="K61" s="109">
        <v>0</v>
      </c>
      <c r="L61" s="484"/>
      <c r="M61" s="485"/>
      <c r="N61" s="485"/>
      <c r="O61" s="485"/>
    </row>
    <row r="62" spans="1:16" ht="21.75" customHeight="1" thickTop="1" thickBot="1" x14ac:dyDescent="0.25">
      <c r="A62" s="95"/>
      <c r="B62" s="442" t="s">
        <v>47</v>
      </c>
      <c r="C62" s="442"/>
      <c r="D62" s="442"/>
      <c r="E62" s="442"/>
      <c r="F62" s="442"/>
      <c r="G62" s="442"/>
      <c r="H62" s="442"/>
      <c r="I62" s="442"/>
      <c r="J62" s="442"/>
      <c r="K62" s="105">
        <f>SUM(K57:K61)</f>
        <v>0</v>
      </c>
    </row>
    <row r="63" spans="1:16" ht="21.75" customHeight="1" thickTop="1" x14ac:dyDescent="0.2">
      <c r="A63" s="464" t="s">
        <v>153</v>
      </c>
      <c r="B63" s="465"/>
      <c r="C63" s="465"/>
      <c r="D63" s="465"/>
      <c r="E63" s="465"/>
      <c r="F63" s="465"/>
      <c r="G63" s="465"/>
      <c r="H63" s="465"/>
      <c r="I63" s="465"/>
      <c r="J63" s="465"/>
      <c r="K63" s="466"/>
    </row>
    <row r="64" spans="1:16" ht="37.15" customHeight="1" thickBot="1" x14ac:dyDescent="0.25">
      <c r="A64" s="467"/>
      <c r="B64" s="468"/>
      <c r="C64" s="468"/>
      <c r="D64" s="468"/>
      <c r="E64" s="468"/>
      <c r="F64" s="468"/>
      <c r="G64" s="468"/>
      <c r="H64" s="468"/>
      <c r="I64" s="468"/>
      <c r="J64" s="468"/>
      <c r="K64" s="469"/>
    </row>
    <row r="65" spans="1:18" ht="21.75" customHeight="1" thickTop="1" thickBot="1" x14ac:dyDescent="0.25">
      <c r="A65" s="423" t="s">
        <v>64</v>
      </c>
      <c r="B65" s="424"/>
      <c r="C65" s="424"/>
      <c r="D65" s="424"/>
      <c r="E65" s="424"/>
      <c r="F65" s="424"/>
      <c r="G65" s="424"/>
      <c r="H65" s="424"/>
      <c r="I65" s="424"/>
      <c r="J65" s="424"/>
      <c r="K65" s="426"/>
    </row>
    <row r="66" spans="1:18" ht="21.75" customHeight="1" thickTop="1" thickBot="1" x14ac:dyDescent="0.25">
      <c r="A66" s="118" t="s">
        <v>65</v>
      </c>
      <c r="B66" s="455" t="s">
        <v>154</v>
      </c>
      <c r="C66" s="455"/>
      <c r="D66" s="455"/>
      <c r="E66" s="455"/>
      <c r="F66" s="455"/>
      <c r="G66" s="455"/>
      <c r="H66" s="455"/>
      <c r="I66" s="455"/>
      <c r="J66" s="119">
        <f>J40</f>
        <v>0.19440000000000002</v>
      </c>
      <c r="K66" s="120">
        <f>K40</f>
        <v>0</v>
      </c>
    </row>
    <row r="67" spans="1:18" ht="21.75" customHeight="1" thickTop="1" thickBot="1" x14ac:dyDescent="0.25">
      <c r="A67" s="118" t="s">
        <v>67</v>
      </c>
      <c r="B67" s="455" t="s">
        <v>68</v>
      </c>
      <c r="C67" s="455"/>
      <c r="D67" s="455"/>
      <c r="E67" s="455"/>
      <c r="F67" s="455"/>
      <c r="G67" s="455"/>
      <c r="H67" s="455"/>
      <c r="I67" s="455"/>
      <c r="J67" s="119">
        <f>J52</f>
        <v>0.36800000000000005</v>
      </c>
      <c r="K67" s="120">
        <f>K52</f>
        <v>0</v>
      </c>
    </row>
    <row r="68" spans="1:18" ht="21.75" customHeight="1" thickTop="1" thickBot="1" x14ac:dyDescent="0.25">
      <c r="A68" s="118" t="s">
        <v>69</v>
      </c>
      <c r="B68" s="455" t="s">
        <v>70</v>
      </c>
      <c r="C68" s="455"/>
      <c r="D68" s="455"/>
      <c r="E68" s="455"/>
      <c r="F68" s="455"/>
      <c r="G68" s="455"/>
      <c r="H68" s="455"/>
      <c r="I68" s="455"/>
      <c r="J68" s="455"/>
      <c r="K68" s="120">
        <f>K62</f>
        <v>0</v>
      </c>
    </row>
    <row r="69" spans="1:18" ht="21.75" customHeight="1" thickTop="1" thickBot="1" x14ac:dyDescent="0.25">
      <c r="A69" s="95"/>
      <c r="B69" s="442" t="s">
        <v>47</v>
      </c>
      <c r="C69" s="442"/>
      <c r="D69" s="442"/>
      <c r="E69" s="442"/>
      <c r="F69" s="442"/>
      <c r="G69" s="442"/>
      <c r="H69" s="442"/>
      <c r="I69" s="442"/>
      <c r="J69" s="442"/>
      <c r="K69" s="105">
        <f>ROUND((K66+K67+K68),2)</f>
        <v>0</v>
      </c>
    </row>
    <row r="70" spans="1:18" s="121" customFormat="1" ht="21.75" customHeight="1" thickTop="1" thickBot="1" x14ac:dyDescent="0.3">
      <c r="A70" s="482"/>
      <c r="B70" s="483"/>
      <c r="C70" s="483"/>
      <c r="D70" s="483"/>
      <c r="E70" s="483"/>
      <c r="F70" s="483"/>
      <c r="G70" s="483"/>
      <c r="H70" s="483"/>
      <c r="I70" s="483"/>
      <c r="J70" s="483"/>
      <c r="K70" s="483"/>
    </row>
    <row r="71" spans="1:18" s="121" customFormat="1" ht="21.75" customHeight="1" thickTop="1" thickBot="1" x14ac:dyDescent="0.3">
      <c r="A71" s="423" t="s">
        <v>71</v>
      </c>
      <c r="B71" s="424"/>
      <c r="C71" s="424"/>
      <c r="D71" s="424"/>
      <c r="E71" s="424"/>
      <c r="F71" s="424"/>
      <c r="G71" s="424"/>
      <c r="H71" s="424"/>
      <c r="I71" s="424"/>
      <c r="J71" s="424"/>
      <c r="K71" s="426"/>
    </row>
    <row r="72" spans="1:18" s="121" customFormat="1" ht="21.75" customHeight="1" thickTop="1" thickBot="1" x14ac:dyDescent="0.3">
      <c r="A72" s="122" t="s">
        <v>23</v>
      </c>
      <c r="B72" s="459" t="s">
        <v>72</v>
      </c>
      <c r="C72" s="459"/>
      <c r="D72" s="459"/>
      <c r="E72" s="459"/>
      <c r="F72" s="459"/>
      <c r="G72" s="459"/>
      <c r="H72" s="459"/>
      <c r="I72" s="459"/>
      <c r="J72" s="123">
        <f>L72</f>
        <v>4.1666666666666666E-3</v>
      </c>
      <c r="K72" s="124">
        <f>J72*$K$33</f>
        <v>0</v>
      </c>
      <c r="L72" s="478">
        <f>0.05*(1/12)</f>
        <v>4.1666666666666666E-3</v>
      </c>
      <c r="M72" s="479"/>
      <c r="N72" s="121" t="s">
        <v>73</v>
      </c>
    </row>
    <row r="73" spans="1:18" s="121" customFormat="1" ht="21.75" customHeight="1" thickTop="1" thickBot="1" x14ac:dyDescent="0.3">
      <c r="A73" s="122" t="s">
        <v>25</v>
      </c>
      <c r="B73" s="459" t="s">
        <v>74</v>
      </c>
      <c r="C73" s="459"/>
      <c r="D73" s="459"/>
      <c r="E73" s="459"/>
      <c r="F73" s="459"/>
      <c r="G73" s="459"/>
      <c r="H73" s="459"/>
      <c r="I73" s="459"/>
      <c r="J73" s="123">
        <f>L73</f>
        <v>3.3333333333333332E-4</v>
      </c>
      <c r="K73" s="124">
        <f t="shared" ref="K73:K75" si="0">J73*$K$33</f>
        <v>0</v>
      </c>
      <c r="L73" s="480">
        <f>0.08*J72</f>
        <v>3.3333333333333332E-4</v>
      </c>
      <c r="M73" s="481"/>
    </row>
    <row r="74" spans="1:18" s="121" customFormat="1" ht="28.15" customHeight="1" thickTop="1" thickBot="1" x14ac:dyDescent="0.3">
      <c r="A74" s="122" t="s">
        <v>28</v>
      </c>
      <c r="B74" s="472" t="s">
        <v>75</v>
      </c>
      <c r="C74" s="472"/>
      <c r="D74" s="472"/>
      <c r="E74" s="472"/>
      <c r="F74" s="472"/>
      <c r="G74" s="472"/>
      <c r="H74" s="472"/>
      <c r="I74" s="472"/>
      <c r="J74" s="125">
        <f>L74</f>
        <v>3.4799999999999998E-2</v>
      </c>
      <c r="K74" s="124">
        <f t="shared" si="0"/>
        <v>0</v>
      </c>
      <c r="L74" s="473">
        <f>(0.08*(0.4)*0.9)*((1+5/56+5/56)+(1/3*5/56))</f>
        <v>3.4799999999999998E-2</v>
      </c>
      <c r="M74" s="474"/>
      <c r="N74" s="126"/>
      <c r="O74" s="127"/>
      <c r="P74" s="127"/>
      <c r="Q74" s="127"/>
      <c r="R74" s="127"/>
    </row>
    <row r="75" spans="1:18" s="121" customFormat="1" ht="21.75" customHeight="1" thickTop="1" thickBot="1" x14ac:dyDescent="0.3">
      <c r="A75" s="122" t="s">
        <v>33</v>
      </c>
      <c r="B75" s="459" t="s">
        <v>76</v>
      </c>
      <c r="C75" s="459"/>
      <c r="D75" s="459"/>
      <c r="E75" s="459"/>
      <c r="F75" s="459"/>
      <c r="G75" s="459"/>
      <c r="H75" s="459"/>
      <c r="I75" s="459"/>
      <c r="J75" s="125">
        <f>L75</f>
        <v>1.9444444444444445E-2</v>
      </c>
      <c r="K75" s="124">
        <f t="shared" si="0"/>
        <v>0</v>
      </c>
      <c r="L75" s="473">
        <f>(7/30)/12</f>
        <v>1.9444444444444445E-2</v>
      </c>
      <c r="M75" s="474"/>
    </row>
    <row r="76" spans="1:18" s="121" customFormat="1" ht="30" customHeight="1" thickTop="1" thickBot="1" x14ac:dyDescent="0.3">
      <c r="A76" s="122" t="s">
        <v>35</v>
      </c>
      <c r="B76" s="459" t="s">
        <v>77</v>
      </c>
      <c r="C76" s="459"/>
      <c r="D76" s="459"/>
      <c r="E76" s="459"/>
      <c r="F76" s="459"/>
      <c r="G76" s="459"/>
      <c r="H76" s="459"/>
      <c r="I76" s="459"/>
      <c r="J76" s="123">
        <f>J52*J75</f>
        <v>7.1555555555555565E-3</v>
      </c>
      <c r="K76" s="124">
        <f>K33*J76</f>
        <v>0</v>
      </c>
      <c r="L76" s="470">
        <f>J75*J52</f>
        <v>7.1555555555555565E-3</v>
      </c>
      <c r="M76" s="471"/>
      <c r="N76" s="128"/>
    </row>
    <row r="77" spans="1:18" s="121" customFormat="1" ht="30" customHeight="1" thickTop="1" thickBot="1" x14ac:dyDescent="0.3">
      <c r="A77" s="122" t="s">
        <v>37</v>
      </c>
      <c r="B77" s="472" t="s">
        <v>78</v>
      </c>
      <c r="C77" s="472"/>
      <c r="D77" s="472"/>
      <c r="E77" s="472"/>
      <c r="F77" s="472"/>
      <c r="G77" s="472"/>
      <c r="H77" s="472"/>
      <c r="I77" s="472"/>
      <c r="J77" s="123">
        <f>L77</f>
        <v>6.2222222222222225E-4</v>
      </c>
      <c r="K77" s="124">
        <f>J77*(K33+K40)</f>
        <v>0</v>
      </c>
      <c r="L77" s="473">
        <f>0.08*(0.4)*J75</f>
        <v>6.2222222222222225E-4</v>
      </c>
      <c r="M77" s="474"/>
      <c r="O77" s="129"/>
    </row>
    <row r="78" spans="1:18" s="121" customFormat="1" ht="21.75" customHeight="1" thickTop="1" thickBot="1" x14ac:dyDescent="0.3">
      <c r="A78" s="423" t="s">
        <v>47</v>
      </c>
      <c r="B78" s="424"/>
      <c r="C78" s="424"/>
      <c r="D78" s="424"/>
      <c r="E78" s="424"/>
      <c r="F78" s="424"/>
      <c r="G78" s="424"/>
      <c r="H78" s="424"/>
      <c r="I78" s="424"/>
      <c r="J78" s="130"/>
      <c r="K78" s="131">
        <f>ROUND(K72+K73+K74+K75+K76+K77,2)</f>
        <v>0</v>
      </c>
    </row>
    <row r="79" spans="1:18" s="121" customFormat="1" ht="21.75" customHeight="1" thickTop="1" x14ac:dyDescent="0.25">
      <c r="A79" s="464" t="s">
        <v>155</v>
      </c>
      <c r="B79" s="465"/>
      <c r="C79" s="465"/>
      <c r="D79" s="465"/>
      <c r="E79" s="465"/>
      <c r="F79" s="465"/>
      <c r="G79" s="465"/>
      <c r="H79" s="465"/>
      <c r="I79" s="465"/>
      <c r="J79" s="465"/>
      <c r="K79" s="466"/>
    </row>
    <row r="80" spans="1:18" s="121" customFormat="1" ht="21.75" customHeight="1" x14ac:dyDescent="0.25">
      <c r="A80" s="475"/>
      <c r="B80" s="476"/>
      <c r="C80" s="476"/>
      <c r="D80" s="476"/>
      <c r="E80" s="476"/>
      <c r="F80" s="476"/>
      <c r="G80" s="476"/>
      <c r="H80" s="476"/>
      <c r="I80" s="476"/>
      <c r="J80" s="476"/>
      <c r="K80" s="477"/>
    </row>
    <row r="81" spans="1:18" s="121" customFormat="1" ht="12.6" customHeight="1" thickBot="1" x14ac:dyDescent="0.3">
      <c r="A81" s="467"/>
      <c r="B81" s="468"/>
      <c r="C81" s="468"/>
      <c r="D81" s="468"/>
      <c r="E81" s="468"/>
      <c r="F81" s="468"/>
      <c r="G81" s="468"/>
      <c r="H81" s="468"/>
      <c r="I81" s="468"/>
      <c r="J81" s="468"/>
      <c r="K81" s="469"/>
    </row>
    <row r="82" spans="1:18" s="121" customFormat="1" ht="21.75" customHeight="1" thickTop="1" thickBot="1" x14ac:dyDescent="0.3">
      <c r="A82" s="423" t="s">
        <v>80</v>
      </c>
      <c r="B82" s="424"/>
      <c r="C82" s="424"/>
      <c r="D82" s="424"/>
      <c r="E82" s="424"/>
      <c r="F82" s="424"/>
      <c r="G82" s="424"/>
      <c r="H82" s="424"/>
      <c r="I82" s="424"/>
      <c r="J82" s="424"/>
      <c r="K82" s="426"/>
    </row>
    <row r="83" spans="1:18" s="121" customFormat="1" ht="21.75" customHeight="1" thickTop="1" thickBot="1" x14ac:dyDescent="0.3">
      <c r="A83" s="423" t="s">
        <v>144</v>
      </c>
      <c r="B83" s="424"/>
      <c r="C83" s="424"/>
      <c r="D83" s="424"/>
      <c r="E83" s="424"/>
      <c r="F83" s="424"/>
      <c r="G83" s="424"/>
      <c r="H83" s="424"/>
      <c r="I83" s="424"/>
      <c r="J83" s="424"/>
      <c r="K83" s="426"/>
    </row>
    <row r="84" spans="1:18" s="121" customFormat="1" ht="21.75" customHeight="1" thickTop="1" thickBot="1" x14ac:dyDescent="0.3">
      <c r="A84" s="132" t="s">
        <v>23</v>
      </c>
      <c r="B84" s="459" t="s">
        <v>82</v>
      </c>
      <c r="C84" s="459"/>
      <c r="D84" s="459"/>
      <c r="E84" s="459"/>
      <c r="F84" s="459"/>
      <c r="G84" s="459"/>
      <c r="H84" s="459"/>
      <c r="I84" s="459"/>
      <c r="J84" s="125">
        <f>L84</f>
        <v>9.0909090909090912E-2</v>
      </c>
      <c r="K84" s="124">
        <f>J84*$K$33</f>
        <v>0</v>
      </c>
      <c r="L84" s="133">
        <f>(5/55)</f>
        <v>9.0909090909090912E-2</v>
      </c>
      <c r="M84" s="134"/>
    </row>
    <row r="85" spans="1:18" s="121" customFormat="1" ht="21.75" customHeight="1" thickTop="1" thickBot="1" x14ac:dyDescent="0.3">
      <c r="A85" s="132" t="s">
        <v>25</v>
      </c>
      <c r="B85" s="459" t="s">
        <v>83</v>
      </c>
      <c r="C85" s="459"/>
      <c r="D85" s="459"/>
      <c r="E85" s="459"/>
      <c r="F85" s="459"/>
      <c r="G85" s="459"/>
      <c r="H85" s="459"/>
      <c r="I85" s="459"/>
      <c r="J85" s="123">
        <f>L85</f>
        <v>1.3698630136986301E-2</v>
      </c>
      <c r="K85" s="124">
        <f t="shared" ref="K85:K89" si="1">J85*$K$33</f>
        <v>0</v>
      </c>
      <c r="L85" s="133">
        <f>5/365</f>
        <v>1.3698630136986301E-2</v>
      </c>
      <c r="M85" s="135"/>
      <c r="N85" s="136"/>
      <c r="O85" s="136"/>
      <c r="P85" s="136"/>
    </row>
    <row r="86" spans="1:18" s="121" customFormat="1" ht="21.75" customHeight="1" thickTop="1" thickBot="1" x14ac:dyDescent="0.3">
      <c r="A86" s="132" t="s">
        <v>28</v>
      </c>
      <c r="B86" s="459" t="s">
        <v>84</v>
      </c>
      <c r="C86" s="459"/>
      <c r="D86" s="459"/>
      <c r="E86" s="459"/>
      <c r="F86" s="459"/>
      <c r="G86" s="459"/>
      <c r="H86" s="459"/>
      <c r="I86" s="459"/>
      <c r="J86" s="123">
        <f>L86</f>
        <v>2.0547945205479451E-4</v>
      </c>
      <c r="K86" s="124">
        <f t="shared" si="1"/>
        <v>0</v>
      </c>
      <c r="L86" s="133">
        <f>5/365*0.015</f>
        <v>2.0547945205479451E-4</v>
      </c>
      <c r="M86" s="137"/>
    </row>
    <row r="87" spans="1:18" s="121" customFormat="1" ht="21.75" customHeight="1" thickTop="1" thickBot="1" x14ac:dyDescent="0.3">
      <c r="A87" s="132" t="s">
        <v>33</v>
      </c>
      <c r="B87" s="459" t="s">
        <v>85</v>
      </c>
      <c r="C87" s="459"/>
      <c r="D87" s="459"/>
      <c r="E87" s="459"/>
      <c r="F87" s="459"/>
      <c r="G87" s="459"/>
      <c r="H87" s="459"/>
      <c r="I87" s="459"/>
      <c r="J87" s="123">
        <f>L87</f>
        <v>3.2876712328767121E-3</v>
      </c>
      <c r="K87" s="124">
        <f t="shared" si="1"/>
        <v>0</v>
      </c>
      <c r="L87" s="133">
        <f>15/365*0.08</f>
        <v>3.2876712328767121E-3</v>
      </c>
      <c r="M87" s="137"/>
    </row>
    <row r="88" spans="1:18" s="121" customFormat="1" ht="21.75" customHeight="1" thickTop="1" thickBot="1" x14ac:dyDescent="0.3">
      <c r="A88" s="132" t="s">
        <v>35</v>
      </c>
      <c r="B88" s="459" t="s">
        <v>86</v>
      </c>
      <c r="C88" s="459"/>
      <c r="D88" s="459"/>
      <c r="E88" s="459"/>
      <c r="F88" s="459"/>
      <c r="G88" s="459"/>
      <c r="H88" s="459"/>
      <c r="I88" s="459"/>
      <c r="J88" s="123">
        <f>M88</f>
        <v>1.6133333333333334E-3</v>
      </c>
      <c r="K88" s="124">
        <f t="shared" si="1"/>
        <v>0</v>
      </c>
      <c r="L88"/>
      <c r="M88" s="138">
        <f>((0.121*4)/12*0.04)</f>
        <v>1.6133333333333334E-3</v>
      </c>
      <c r="N88" s="139"/>
      <c r="Q88" s="140"/>
      <c r="R88" s="141"/>
    </row>
    <row r="89" spans="1:18" s="121" customFormat="1" ht="21.75" customHeight="1" thickTop="1" thickBot="1" x14ac:dyDescent="0.3">
      <c r="A89" s="132" t="s">
        <v>37</v>
      </c>
      <c r="B89" s="459" t="s">
        <v>87</v>
      </c>
      <c r="C89" s="459"/>
      <c r="D89" s="459"/>
      <c r="E89" s="459"/>
      <c r="F89" s="459"/>
      <c r="G89" s="459"/>
      <c r="H89" s="459"/>
      <c r="I89" s="459"/>
      <c r="J89" s="125">
        <v>0</v>
      </c>
      <c r="K89" s="124">
        <f t="shared" si="1"/>
        <v>0</v>
      </c>
      <c r="L89"/>
      <c r="M89" s="137"/>
    </row>
    <row r="90" spans="1:18" s="121" customFormat="1" ht="21.75" customHeight="1" thickTop="1" thickBot="1" x14ac:dyDescent="0.3">
      <c r="A90" s="132" t="s">
        <v>39</v>
      </c>
      <c r="B90" s="459" t="s">
        <v>88</v>
      </c>
      <c r="C90" s="459"/>
      <c r="D90" s="459"/>
      <c r="E90" s="459"/>
      <c r="F90" s="459"/>
      <c r="G90" s="459"/>
      <c r="H90" s="459"/>
      <c r="I90" s="459"/>
      <c r="J90" s="125">
        <f>(J84+J85+J86+J87+J88+J89)*J52</f>
        <v>4.0374827463677876E-2</v>
      </c>
      <c r="K90" s="124">
        <f>K33*J90</f>
        <v>0</v>
      </c>
      <c r="L90" s="137"/>
      <c r="M90" s="137"/>
      <c r="Q90" s="142"/>
    </row>
    <row r="91" spans="1:18" s="121" customFormat="1" ht="21.75" customHeight="1" thickTop="1" thickBot="1" x14ac:dyDescent="0.3">
      <c r="A91" s="423" t="s">
        <v>47</v>
      </c>
      <c r="B91" s="424"/>
      <c r="C91" s="424"/>
      <c r="D91" s="424"/>
      <c r="E91" s="424"/>
      <c r="F91" s="424"/>
      <c r="G91" s="424"/>
      <c r="H91" s="424"/>
      <c r="I91" s="426"/>
      <c r="J91" s="143">
        <f>SUM(J84:J90)</f>
        <v>0.15008903252801992</v>
      </c>
      <c r="K91" s="131">
        <f>ROUND(K84+K85+K86+K87+K88+K90,2)</f>
        <v>0</v>
      </c>
    </row>
    <row r="92" spans="1:18" s="121" customFormat="1" ht="21.75" customHeight="1" thickTop="1" x14ac:dyDescent="0.25">
      <c r="A92" s="464" t="s">
        <v>156</v>
      </c>
      <c r="B92" s="465"/>
      <c r="C92" s="465"/>
      <c r="D92" s="465"/>
      <c r="E92" s="465"/>
      <c r="F92" s="465"/>
      <c r="G92" s="465"/>
      <c r="H92" s="465"/>
      <c r="I92" s="465"/>
      <c r="J92" s="465"/>
      <c r="K92" s="466"/>
    </row>
    <row r="93" spans="1:18" s="121" customFormat="1" ht="27" customHeight="1" thickBot="1" x14ac:dyDescent="0.3">
      <c r="A93" s="467"/>
      <c r="B93" s="468"/>
      <c r="C93" s="468"/>
      <c r="D93" s="468"/>
      <c r="E93" s="468"/>
      <c r="F93" s="468"/>
      <c r="G93" s="468"/>
      <c r="H93" s="468"/>
      <c r="I93" s="468"/>
      <c r="J93" s="468"/>
      <c r="K93" s="469"/>
    </row>
    <row r="94" spans="1:18" s="121" customFormat="1" ht="21.75" customHeight="1" thickTop="1" thickBot="1" x14ac:dyDescent="0.3">
      <c r="A94" s="423" t="s">
        <v>90</v>
      </c>
      <c r="B94" s="424"/>
      <c r="C94" s="424"/>
      <c r="D94" s="424"/>
      <c r="E94" s="424"/>
      <c r="F94" s="424"/>
      <c r="G94" s="424"/>
      <c r="H94" s="424"/>
      <c r="I94" s="424"/>
      <c r="J94" s="424"/>
      <c r="K94" s="426"/>
    </row>
    <row r="95" spans="1:18" s="121" customFormat="1" ht="21.75" customHeight="1" thickTop="1" thickBot="1" x14ac:dyDescent="0.25">
      <c r="A95" s="95" t="s">
        <v>23</v>
      </c>
      <c r="B95" s="459" t="s">
        <v>91</v>
      </c>
      <c r="C95" s="459"/>
      <c r="D95" s="459"/>
      <c r="E95" s="459"/>
      <c r="F95" s="459"/>
      <c r="G95" s="459"/>
      <c r="H95" s="459"/>
      <c r="I95" s="459"/>
      <c r="J95" s="144">
        <v>0</v>
      </c>
      <c r="K95" s="97">
        <f>J95*L95</f>
        <v>0</v>
      </c>
      <c r="L95" s="136"/>
      <c r="M95" s="127"/>
      <c r="R95" s="145"/>
    </row>
    <row r="96" spans="1:18" s="121" customFormat="1" ht="21.75" customHeight="1" thickTop="1" thickBot="1" x14ac:dyDescent="0.3">
      <c r="A96" s="95"/>
      <c r="B96" s="460" t="s">
        <v>47</v>
      </c>
      <c r="C96" s="460"/>
      <c r="D96" s="460"/>
      <c r="E96" s="460"/>
      <c r="F96" s="460"/>
      <c r="G96" s="460"/>
      <c r="H96" s="460"/>
      <c r="I96" s="460"/>
      <c r="J96" s="146"/>
      <c r="K96" s="97">
        <f>K95</f>
        <v>0</v>
      </c>
      <c r="L96" s="136"/>
    </row>
    <row r="97" spans="1:13" s="121" customFormat="1" ht="35.450000000000003" customHeight="1" thickTop="1" thickBot="1" x14ac:dyDescent="0.3">
      <c r="A97" s="439" t="s">
        <v>157</v>
      </c>
      <c r="B97" s="440"/>
      <c r="C97" s="440"/>
      <c r="D97" s="440"/>
      <c r="E97" s="440"/>
      <c r="F97" s="440"/>
      <c r="G97" s="440"/>
      <c r="H97" s="440"/>
      <c r="I97" s="440"/>
      <c r="J97" s="440"/>
      <c r="K97" s="441"/>
    </row>
    <row r="98" spans="1:13" s="121" customFormat="1" ht="21.75" customHeight="1" thickTop="1" thickBot="1" x14ac:dyDescent="0.3">
      <c r="A98" s="423" t="s">
        <v>93</v>
      </c>
      <c r="B98" s="424"/>
      <c r="C98" s="424"/>
      <c r="D98" s="424"/>
      <c r="E98" s="424"/>
      <c r="F98" s="424"/>
      <c r="G98" s="424"/>
      <c r="H98" s="424"/>
      <c r="I98" s="424"/>
      <c r="J98" s="424"/>
      <c r="K98" s="426"/>
    </row>
    <row r="99" spans="1:13" s="121" customFormat="1" ht="21.75" customHeight="1" thickTop="1" thickBot="1" x14ac:dyDescent="0.3">
      <c r="A99" s="95" t="s">
        <v>94</v>
      </c>
      <c r="B99" s="461" t="s">
        <v>95</v>
      </c>
      <c r="C99" s="462"/>
      <c r="D99" s="462"/>
      <c r="E99" s="462"/>
      <c r="F99" s="462"/>
      <c r="G99" s="462"/>
      <c r="H99" s="462"/>
      <c r="I99" s="462"/>
      <c r="J99" s="463"/>
      <c r="K99" s="104">
        <f>K91</f>
        <v>0</v>
      </c>
    </row>
    <row r="100" spans="1:13" s="121" customFormat="1" ht="21.75" customHeight="1" thickTop="1" thickBot="1" x14ac:dyDescent="0.3">
      <c r="A100" s="95" t="s">
        <v>96</v>
      </c>
      <c r="B100" s="461" t="s">
        <v>97</v>
      </c>
      <c r="C100" s="462"/>
      <c r="D100" s="462"/>
      <c r="E100" s="462"/>
      <c r="F100" s="462"/>
      <c r="G100" s="462"/>
      <c r="H100" s="462"/>
      <c r="I100" s="462"/>
      <c r="J100" s="463"/>
      <c r="K100" s="104">
        <f>K96</f>
        <v>0</v>
      </c>
    </row>
    <row r="101" spans="1:13" s="121" customFormat="1" ht="21.75" customHeight="1" thickTop="1" thickBot="1" x14ac:dyDescent="0.3">
      <c r="A101" s="95"/>
      <c r="B101" s="442" t="s">
        <v>47</v>
      </c>
      <c r="C101" s="442"/>
      <c r="D101" s="442"/>
      <c r="E101" s="442"/>
      <c r="F101" s="442"/>
      <c r="G101" s="442"/>
      <c r="H101" s="442"/>
      <c r="I101" s="442"/>
      <c r="J101" s="442"/>
      <c r="K101" s="131">
        <f>K99+K100</f>
        <v>0</v>
      </c>
    </row>
    <row r="102" spans="1:13" s="121" customFormat="1" ht="21.75" customHeight="1" thickTop="1" thickBot="1" x14ac:dyDescent="0.3">
      <c r="A102" s="439"/>
      <c r="B102" s="440"/>
      <c r="C102" s="440"/>
      <c r="D102" s="440"/>
      <c r="E102" s="440"/>
      <c r="F102" s="440"/>
      <c r="G102" s="440"/>
      <c r="H102" s="440"/>
      <c r="I102" s="440"/>
      <c r="J102" s="440"/>
      <c r="K102" s="441"/>
    </row>
    <row r="103" spans="1:13" ht="21.75" customHeight="1" thickTop="1" thickBot="1" x14ac:dyDescent="0.25">
      <c r="A103" s="423" t="s">
        <v>98</v>
      </c>
      <c r="B103" s="424"/>
      <c r="C103" s="424"/>
      <c r="D103" s="424"/>
      <c r="E103" s="424"/>
      <c r="F103" s="424"/>
      <c r="G103" s="424"/>
      <c r="H103" s="424"/>
      <c r="I103" s="424"/>
      <c r="J103" s="426"/>
      <c r="K103" s="95" t="s">
        <v>99</v>
      </c>
    </row>
    <row r="104" spans="1:13" ht="21.75" customHeight="1" thickTop="1" thickBot="1" x14ac:dyDescent="0.25">
      <c r="A104" s="95" t="s">
        <v>23</v>
      </c>
      <c r="B104" s="455" t="s">
        <v>100</v>
      </c>
      <c r="C104" s="455"/>
      <c r="D104" s="455"/>
      <c r="E104" s="455"/>
      <c r="F104" s="455"/>
      <c r="G104" s="455"/>
      <c r="H104" s="455"/>
      <c r="I104" s="455"/>
      <c r="J104" s="455"/>
      <c r="K104" s="147">
        <v>0</v>
      </c>
    </row>
    <row r="105" spans="1:13" ht="21.75" customHeight="1" thickTop="1" thickBot="1" x14ac:dyDescent="0.25">
      <c r="A105" s="95" t="s">
        <v>25</v>
      </c>
      <c r="B105" s="455" t="s">
        <v>101</v>
      </c>
      <c r="C105" s="455"/>
      <c r="D105" s="455"/>
      <c r="E105" s="456" t="s">
        <v>102</v>
      </c>
      <c r="F105" s="456"/>
      <c r="G105" s="456"/>
      <c r="H105" s="456"/>
      <c r="I105" s="456"/>
      <c r="J105" s="456"/>
      <c r="K105" s="147">
        <f>'Insumos Sede'!B87</f>
        <v>0</v>
      </c>
    </row>
    <row r="106" spans="1:13" ht="21.75" customHeight="1" thickTop="1" thickBot="1" x14ac:dyDescent="0.25">
      <c r="A106" s="95" t="s">
        <v>28</v>
      </c>
      <c r="B106" s="455" t="s">
        <v>103</v>
      </c>
      <c r="C106" s="455"/>
      <c r="D106" s="455"/>
      <c r="E106" s="456" t="s">
        <v>102</v>
      </c>
      <c r="F106" s="456"/>
      <c r="G106" s="456"/>
      <c r="H106" s="456"/>
      <c r="I106" s="456"/>
      <c r="J106" s="456"/>
      <c r="K106" s="147">
        <f>'Insumos Sede'!B86+'Insumos Sede'!B85</f>
        <v>0</v>
      </c>
    </row>
    <row r="107" spans="1:13" ht="21.75" customHeight="1" thickTop="1" thickBot="1" x14ac:dyDescent="0.25">
      <c r="A107" s="442" t="s">
        <v>33</v>
      </c>
      <c r="B107" s="457" t="s">
        <v>87</v>
      </c>
      <c r="C107" s="457"/>
      <c r="D107" s="458" t="s">
        <v>104</v>
      </c>
      <c r="E107" s="458"/>
      <c r="F107" s="458"/>
      <c r="G107" s="458"/>
      <c r="H107" s="458"/>
      <c r="I107" s="458"/>
      <c r="J107" s="458"/>
      <c r="K107" s="147">
        <v>0</v>
      </c>
    </row>
    <row r="108" spans="1:13" ht="21.75" customHeight="1" thickTop="1" thickBot="1" x14ac:dyDescent="0.25">
      <c r="A108" s="442"/>
      <c r="B108" s="457"/>
      <c r="C108" s="457"/>
      <c r="D108" s="458" t="s">
        <v>104</v>
      </c>
      <c r="E108" s="458"/>
      <c r="F108" s="458"/>
      <c r="G108" s="458"/>
      <c r="H108" s="458"/>
      <c r="I108" s="458"/>
      <c r="J108" s="458"/>
      <c r="K108" s="147">
        <f>J108*K33</f>
        <v>0</v>
      </c>
    </row>
    <row r="109" spans="1:13" s="121" customFormat="1" ht="21.75" customHeight="1" thickTop="1" thickBot="1" x14ac:dyDescent="0.3">
      <c r="A109" s="423" t="s">
        <v>105</v>
      </c>
      <c r="B109" s="424"/>
      <c r="C109" s="424"/>
      <c r="D109" s="424"/>
      <c r="E109" s="424"/>
      <c r="F109" s="424"/>
      <c r="G109" s="424"/>
      <c r="H109" s="424"/>
      <c r="I109" s="424"/>
      <c r="J109" s="426"/>
      <c r="K109" s="131">
        <f>SUM(K104:K108)</f>
        <v>0</v>
      </c>
    </row>
    <row r="110" spans="1:13" s="121" customFormat="1" ht="21.75" customHeight="1" thickTop="1" thickBot="1" x14ac:dyDescent="0.3">
      <c r="A110" s="439" t="s">
        <v>158</v>
      </c>
      <c r="B110" s="440"/>
      <c r="C110" s="440"/>
      <c r="D110" s="440"/>
      <c r="E110" s="440"/>
      <c r="F110" s="440"/>
      <c r="G110" s="440"/>
      <c r="H110" s="440"/>
      <c r="I110" s="440"/>
      <c r="J110" s="440"/>
      <c r="K110" s="441"/>
    </row>
    <row r="111" spans="1:13" s="121" customFormat="1" ht="21.75" customHeight="1" thickTop="1" thickBot="1" x14ac:dyDescent="0.3">
      <c r="A111" s="423" t="s">
        <v>107</v>
      </c>
      <c r="B111" s="424"/>
      <c r="C111" s="424"/>
      <c r="D111" s="424"/>
      <c r="E111" s="424"/>
      <c r="F111" s="424"/>
      <c r="G111" s="424"/>
      <c r="H111" s="424"/>
      <c r="I111" s="424"/>
      <c r="J111" s="426"/>
      <c r="K111" s="95" t="s">
        <v>22</v>
      </c>
    </row>
    <row r="112" spans="1:13" s="121" customFormat="1" ht="21.75" customHeight="1" thickTop="1" thickBot="1" x14ac:dyDescent="0.3">
      <c r="A112" s="95" t="s">
        <v>23</v>
      </c>
      <c r="B112" s="86" t="s">
        <v>108</v>
      </c>
      <c r="C112" s="86"/>
      <c r="D112" s="86"/>
      <c r="E112" s="86"/>
      <c r="F112" s="86"/>
      <c r="G112" s="86"/>
      <c r="H112" s="86"/>
      <c r="I112" s="86"/>
      <c r="J112" s="340">
        <v>0.03</v>
      </c>
      <c r="K112" s="124">
        <f>J112*K132</f>
        <v>0</v>
      </c>
      <c r="L112" s="137" t="s">
        <v>109</v>
      </c>
      <c r="M112" s="137"/>
    </row>
    <row r="113" spans="1:13" s="121" customFormat="1" ht="21.75" customHeight="1" thickTop="1" thickBot="1" x14ac:dyDescent="0.3">
      <c r="A113" s="95" t="s">
        <v>25</v>
      </c>
      <c r="B113" s="86" t="s">
        <v>110</v>
      </c>
      <c r="C113" s="86"/>
      <c r="D113" s="86"/>
      <c r="E113" s="86"/>
      <c r="F113" s="86"/>
      <c r="G113" s="86"/>
      <c r="H113" s="86"/>
      <c r="I113" s="86"/>
      <c r="J113" s="340">
        <v>6.7900000000000002E-2</v>
      </c>
      <c r="K113" s="124">
        <f>(K132+K112)*J113</f>
        <v>0</v>
      </c>
      <c r="L113" s="148"/>
      <c r="M113" s="137"/>
    </row>
    <row r="114" spans="1:13" s="121" customFormat="1" ht="21.75" customHeight="1" thickTop="1" thickBot="1" x14ac:dyDescent="0.3">
      <c r="A114" s="442" t="s">
        <v>28</v>
      </c>
      <c r="B114" s="86" t="s">
        <v>111</v>
      </c>
      <c r="C114" s="86"/>
      <c r="D114" s="86"/>
      <c r="E114" s="86"/>
      <c r="F114" s="86"/>
      <c r="G114" s="86"/>
      <c r="H114" s="86"/>
      <c r="I114" s="149" t="s">
        <v>112</v>
      </c>
      <c r="J114" s="136"/>
      <c r="K114" s="146"/>
    </row>
    <row r="115" spans="1:13" s="121" customFormat="1" ht="21.75" customHeight="1" thickTop="1" thickBot="1" x14ac:dyDescent="0.3">
      <c r="A115" s="442"/>
      <c r="B115" s="86"/>
      <c r="C115" s="150" t="s">
        <v>113</v>
      </c>
      <c r="D115" s="150"/>
      <c r="E115" s="150"/>
      <c r="F115" s="86" t="s">
        <v>114</v>
      </c>
      <c r="G115" s="151"/>
      <c r="H115" s="151"/>
      <c r="I115" s="443">
        <f>SUM(J115:J117)</f>
        <v>0.14250000000000002</v>
      </c>
      <c r="J115" s="152">
        <v>1.6500000000000001E-2</v>
      </c>
      <c r="K115" s="153">
        <f>((K132+K112+K113)/(1-I115))*J115</f>
        <v>0</v>
      </c>
    </row>
    <row r="116" spans="1:13" s="121" customFormat="1" ht="21.75" customHeight="1" thickTop="1" thickBot="1" x14ac:dyDescent="0.3">
      <c r="A116" s="442"/>
      <c r="B116" s="86"/>
      <c r="C116" s="86"/>
      <c r="D116" s="86"/>
      <c r="E116" s="86"/>
      <c r="F116" s="86" t="s">
        <v>115</v>
      </c>
      <c r="G116" s="151"/>
      <c r="H116" s="151"/>
      <c r="I116" s="444"/>
      <c r="J116" s="152">
        <v>7.5999999999999998E-2</v>
      </c>
      <c r="K116" s="153">
        <f>((K132+K112+K113)/(1-I115))*J116</f>
        <v>0</v>
      </c>
    </row>
    <row r="117" spans="1:13" s="121" customFormat="1" ht="21.75" customHeight="1" thickTop="1" thickBot="1" x14ac:dyDescent="0.3">
      <c r="A117" s="442"/>
      <c r="B117" s="150"/>
      <c r="C117" s="150" t="s">
        <v>116</v>
      </c>
      <c r="D117" s="150"/>
      <c r="E117" s="86"/>
      <c r="F117" s="86" t="s">
        <v>117</v>
      </c>
      <c r="G117" s="151"/>
      <c r="H117" s="151"/>
      <c r="I117" s="445"/>
      <c r="J117" s="152">
        <v>0.05</v>
      </c>
      <c r="K117" s="153">
        <f>((K132+K112+K113)/(1-I115))*J117</f>
        <v>0</v>
      </c>
    </row>
    <row r="118" spans="1:13" s="121" customFormat="1" ht="21.75" customHeight="1" thickTop="1" thickBot="1" x14ac:dyDescent="0.3">
      <c r="A118" s="154" t="s">
        <v>118</v>
      </c>
      <c r="B118" s="130"/>
      <c r="C118" s="130"/>
      <c r="D118" s="130"/>
      <c r="E118" s="130"/>
      <c r="F118" s="130"/>
      <c r="G118" s="130"/>
      <c r="H118" s="130"/>
      <c r="I118" s="130"/>
      <c r="J118" s="130"/>
      <c r="K118" s="131">
        <f>K112+K113+K115+K116+K117</f>
        <v>0</v>
      </c>
    </row>
    <row r="119" spans="1:13" s="121" customFormat="1" ht="37.15" customHeight="1" thickTop="1" thickBot="1" x14ac:dyDescent="0.3">
      <c r="A119" s="446" t="s">
        <v>159</v>
      </c>
      <c r="B119" s="447"/>
      <c r="C119" s="447"/>
      <c r="D119" s="447"/>
      <c r="E119" s="447"/>
      <c r="F119" s="447"/>
      <c r="G119" s="447"/>
      <c r="H119" s="447"/>
      <c r="I119" s="447"/>
      <c r="J119" s="447"/>
      <c r="K119" s="448"/>
    </row>
    <row r="120" spans="1:13" s="121" customFormat="1" ht="21.6" hidden="1" customHeight="1" x14ac:dyDescent="0.25">
      <c r="A120" s="449"/>
      <c r="B120" s="450"/>
      <c r="C120" s="450"/>
      <c r="D120" s="450"/>
      <c r="E120" s="450"/>
      <c r="F120" s="450"/>
      <c r="G120" s="450"/>
      <c r="H120" s="450"/>
      <c r="I120" s="450"/>
      <c r="J120" s="450"/>
      <c r="K120" s="451"/>
    </row>
    <row r="121" spans="1:13" s="121" customFormat="1" ht="21.6" hidden="1" customHeight="1" x14ac:dyDescent="0.25">
      <c r="A121" s="449"/>
      <c r="B121" s="450"/>
      <c r="C121" s="450"/>
      <c r="D121" s="450"/>
      <c r="E121" s="450"/>
      <c r="F121" s="450"/>
      <c r="G121" s="450"/>
      <c r="H121" s="450"/>
      <c r="I121" s="450"/>
      <c r="J121" s="450"/>
      <c r="K121" s="451"/>
    </row>
    <row r="122" spans="1:13" s="121" customFormat="1" ht="21.6" hidden="1" customHeight="1" x14ac:dyDescent="0.25">
      <c r="A122" s="449"/>
      <c r="B122" s="450"/>
      <c r="C122" s="450"/>
      <c r="D122" s="450"/>
      <c r="E122" s="450"/>
      <c r="F122" s="450"/>
      <c r="G122" s="450"/>
      <c r="H122" s="450"/>
      <c r="I122" s="450"/>
      <c r="J122" s="450"/>
      <c r="K122" s="451"/>
    </row>
    <row r="123" spans="1:13" s="121" customFormat="1" ht="21.6" hidden="1" customHeight="1" x14ac:dyDescent="0.25">
      <c r="A123" s="449"/>
      <c r="B123" s="450"/>
      <c r="C123" s="450"/>
      <c r="D123" s="450"/>
      <c r="E123" s="450"/>
      <c r="F123" s="450"/>
      <c r="G123" s="450"/>
      <c r="H123" s="450"/>
      <c r="I123" s="450"/>
      <c r="J123" s="450"/>
      <c r="K123" s="451"/>
    </row>
    <row r="124" spans="1:13" ht="21.6" hidden="1" customHeight="1" x14ac:dyDescent="0.2">
      <c r="A124" s="452"/>
      <c r="B124" s="453"/>
      <c r="C124" s="453"/>
      <c r="D124" s="453"/>
      <c r="E124" s="453"/>
      <c r="F124" s="453"/>
      <c r="G124" s="453"/>
      <c r="H124" s="453"/>
      <c r="I124" s="453"/>
      <c r="J124" s="453"/>
      <c r="K124" s="454"/>
    </row>
    <row r="125" spans="1:13" ht="21.75" customHeight="1" thickTop="1" thickBot="1" x14ac:dyDescent="0.25">
      <c r="A125" s="423" t="s">
        <v>120</v>
      </c>
      <c r="B125" s="424"/>
      <c r="C125" s="424"/>
      <c r="D125" s="424"/>
      <c r="E125" s="424"/>
      <c r="F125" s="424"/>
      <c r="G125" s="424"/>
      <c r="H125" s="424"/>
      <c r="I125" s="424"/>
      <c r="J125" s="424"/>
      <c r="K125" s="426"/>
    </row>
    <row r="126" spans="1:13" ht="21.75" customHeight="1" thickTop="1" thickBot="1" x14ac:dyDescent="0.25">
      <c r="A126" s="435" t="s">
        <v>121</v>
      </c>
      <c r="B126" s="436"/>
      <c r="C126" s="436"/>
      <c r="D126" s="436"/>
      <c r="E126" s="436"/>
      <c r="F126" s="436"/>
      <c r="G126" s="436"/>
      <c r="H126" s="436"/>
      <c r="I126" s="436"/>
      <c r="J126" s="437"/>
      <c r="K126" s="95" t="s">
        <v>99</v>
      </c>
    </row>
    <row r="127" spans="1:13" ht="21.75" customHeight="1" thickTop="1" thickBot="1" x14ac:dyDescent="0.25">
      <c r="A127" s="95" t="s">
        <v>23</v>
      </c>
      <c r="B127" s="427" t="s">
        <v>122</v>
      </c>
      <c r="C127" s="428"/>
      <c r="D127" s="428"/>
      <c r="E127" s="428"/>
      <c r="F127" s="428"/>
      <c r="G127" s="428"/>
      <c r="H127" s="428"/>
      <c r="I127" s="428"/>
      <c r="J127" s="429"/>
      <c r="K127" s="104">
        <f>K33</f>
        <v>0</v>
      </c>
    </row>
    <row r="128" spans="1:13" ht="21.75" customHeight="1" thickTop="1" thickBot="1" x14ac:dyDescent="0.25">
      <c r="A128" s="95" t="s">
        <v>25</v>
      </c>
      <c r="B128" s="438" t="s">
        <v>123</v>
      </c>
      <c r="C128" s="438"/>
      <c r="D128" s="438"/>
      <c r="E128" s="438"/>
      <c r="F128" s="438"/>
      <c r="G128" s="438"/>
      <c r="H128" s="438"/>
      <c r="I128" s="438"/>
      <c r="J128" s="438"/>
      <c r="K128" s="104">
        <f>K69</f>
        <v>0</v>
      </c>
    </row>
    <row r="129" spans="1:13" ht="21.75" customHeight="1" thickTop="1" thickBot="1" x14ac:dyDescent="0.25">
      <c r="A129" s="95" t="s">
        <v>28</v>
      </c>
      <c r="B129" s="427" t="s">
        <v>145</v>
      </c>
      <c r="C129" s="428"/>
      <c r="D129" s="428"/>
      <c r="E129" s="428"/>
      <c r="F129" s="428"/>
      <c r="G129" s="428"/>
      <c r="H129" s="428"/>
      <c r="I129" s="428"/>
      <c r="J129" s="429"/>
      <c r="K129" s="104">
        <f>K78</f>
        <v>0</v>
      </c>
    </row>
    <row r="130" spans="1:13" ht="21.75" customHeight="1" thickTop="1" thickBot="1" x14ac:dyDescent="0.25">
      <c r="A130" s="95" t="s">
        <v>33</v>
      </c>
      <c r="B130" s="427" t="s">
        <v>146</v>
      </c>
      <c r="C130" s="428"/>
      <c r="D130" s="428"/>
      <c r="E130" s="428"/>
      <c r="F130" s="428"/>
      <c r="G130" s="428"/>
      <c r="H130" s="428"/>
      <c r="I130" s="428"/>
      <c r="J130" s="429"/>
      <c r="K130" s="104">
        <f>K101</f>
        <v>0</v>
      </c>
    </row>
    <row r="131" spans="1:13" ht="21.75" customHeight="1" thickTop="1" thickBot="1" x14ac:dyDescent="0.25">
      <c r="A131" s="95" t="s">
        <v>35</v>
      </c>
      <c r="B131" s="427" t="s">
        <v>126</v>
      </c>
      <c r="C131" s="428"/>
      <c r="D131" s="428"/>
      <c r="E131" s="428"/>
      <c r="F131" s="428"/>
      <c r="G131" s="428"/>
      <c r="H131" s="428"/>
      <c r="I131" s="428"/>
      <c r="J131" s="429"/>
      <c r="K131" s="104">
        <f>K109</f>
        <v>0</v>
      </c>
    </row>
    <row r="132" spans="1:13" ht="21.75" customHeight="1" thickTop="1" thickBot="1" x14ac:dyDescent="0.25">
      <c r="A132" s="423" t="s">
        <v>127</v>
      </c>
      <c r="B132" s="424"/>
      <c r="C132" s="424"/>
      <c r="D132" s="424"/>
      <c r="E132" s="424"/>
      <c r="F132" s="424"/>
      <c r="G132" s="424"/>
      <c r="H132" s="424"/>
      <c r="I132" s="424"/>
      <c r="J132" s="426"/>
      <c r="K132" s="131">
        <f>SUM(K127:K131)</f>
        <v>0</v>
      </c>
      <c r="L132" s="156"/>
    </row>
    <row r="133" spans="1:13" s="121" customFormat="1" ht="21.75" customHeight="1" thickTop="1" thickBot="1" x14ac:dyDescent="0.3">
      <c r="A133" s="95" t="s">
        <v>37</v>
      </c>
      <c r="B133" s="427" t="s">
        <v>128</v>
      </c>
      <c r="C133" s="428"/>
      <c r="D133" s="428"/>
      <c r="E133" s="428"/>
      <c r="F133" s="428"/>
      <c r="G133" s="428"/>
      <c r="H133" s="428"/>
      <c r="I133" s="428"/>
      <c r="J133" s="429"/>
      <c r="K133" s="104">
        <f>K118</f>
        <v>0</v>
      </c>
    </row>
    <row r="134" spans="1:13" ht="34.15" customHeight="1" thickTop="1" thickBot="1" x14ac:dyDescent="0.25">
      <c r="A134" s="430" t="s">
        <v>129</v>
      </c>
      <c r="B134" s="431"/>
      <c r="C134" s="431"/>
      <c r="D134" s="431"/>
      <c r="E134" s="431"/>
      <c r="F134" s="431"/>
      <c r="G134" s="431"/>
      <c r="H134" s="431"/>
      <c r="I134" s="431"/>
      <c r="J134" s="432"/>
      <c r="K134" s="157">
        <f>SUM(K132+K133)</f>
        <v>0</v>
      </c>
    </row>
    <row r="135" spans="1:13" ht="21.75" customHeight="1" thickTop="1" thickBot="1" x14ac:dyDescent="0.25">
      <c r="A135" s="81"/>
      <c r="B135" s="82"/>
      <c r="C135" s="82"/>
      <c r="D135" s="82"/>
      <c r="E135" s="82"/>
      <c r="F135" s="82"/>
      <c r="G135" s="82"/>
      <c r="H135" s="82"/>
      <c r="I135" s="82"/>
      <c r="J135" s="82"/>
      <c r="K135" s="79"/>
    </row>
    <row r="136" spans="1:13" ht="21.75" customHeight="1" thickTop="1" thickBot="1" x14ac:dyDescent="0.25">
      <c r="A136" s="423" t="s">
        <v>130</v>
      </c>
      <c r="B136" s="424"/>
      <c r="C136" s="424"/>
      <c r="D136" s="424"/>
      <c r="E136" s="424"/>
      <c r="F136" s="424"/>
      <c r="G136" s="424"/>
      <c r="H136" s="424"/>
      <c r="I136" s="424"/>
      <c r="J136" s="424"/>
      <c r="K136" s="426"/>
    </row>
    <row r="137" spans="1:13" ht="45" customHeight="1" thickTop="1" thickBot="1" x14ac:dyDescent="0.25">
      <c r="A137" s="430" t="s">
        <v>131</v>
      </c>
      <c r="B137" s="431"/>
      <c r="C137" s="433"/>
      <c r="D137" s="434" t="s">
        <v>329</v>
      </c>
      <c r="E137" s="434"/>
      <c r="F137" s="434" t="s">
        <v>133</v>
      </c>
      <c r="G137" s="434"/>
      <c r="H137" s="434" t="s">
        <v>134</v>
      </c>
      <c r="I137" s="434"/>
      <c r="J137" s="158" t="s">
        <v>135</v>
      </c>
      <c r="K137" s="159" t="s">
        <v>136</v>
      </c>
    </row>
    <row r="138" spans="1:13" ht="21.75" customHeight="1" thickTop="1" thickBot="1" x14ac:dyDescent="0.25">
      <c r="A138" s="418" t="s">
        <v>193</v>
      </c>
      <c r="B138" s="419"/>
      <c r="C138" s="420"/>
      <c r="D138" s="421">
        <f>K134</f>
        <v>0</v>
      </c>
      <c r="E138" s="421"/>
      <c r="F138" s="422">
        <v>1</v>
      </c>
      <c r="G138" s="422"/>
      <c r="H138" s="421">
        <f>F138*D138</f>
        <v>0</v>
      </c>
      <c r="I138" s="421"/>
      <c r="J138" s="160">
        <f>'Quantitativo de pessoal'!F14</f>
        <v>12</v>
      </c>
      <c r="K138" s="161">
        <f>ROUND(J138*H138,2)</f>
        <v>0</v>
      </c>
    </row>
    <row r="139" spans="1:13" ht="36.75" customHeight="1" thickTop="1" thickBot="1" x14ac:dyDescent="0.25">
      <c r="A139" s="423" t="s">
        <v>137</v>
      </c>
      <c r="B139" s="424"/>
      <c r="C139" s="424"/>
      <c r="D139" s="424"/>
      <c r="E139" s="424"/>
      <c r="F139" s="424"/>
      <c r="G139" s="424"/>
      <c r="H139" s="424"/>
      <c r="I139" s="424"/>
      <c r="J139" s="425"/>
      <c r="K139" s="162">
        <f>K138</f>
        <v>0</v>
      </c>
    </row>
    <row r="140" spans="1:13" ht="36.75" customHeight="1" thickTop="1" thickBot="1" x14ac:dyDescent="0.25">
      <c r="A140" s="423" t="s">
        <v>138</v>
      </c>
      <c r="B140" s="424"/>
      <c r="C140" s="424"/>
      <c r="D140" s="424"/>
      <c r="E140" s="424"/>
      <c r="F140" s="424"/>
      <c r="G140" s="424"/>
      <c r="H140" s="424"/>
      <c r="I140" s="424"/>
      <c r="J140" s="426"/>
      <c r="K140" s="330">
        <f>K139*12</f>
        <v>0</v>
      </c>
    </row>
    <row r="141" spans="1:13" ht="16.5" thickTop="1" x14ac:dyDescent="0.2">
      <c r="K141" s="329" t="s">
        <v>139</v>
      </c>
      <c r="L141" s="163" t="e">
        <f>K134/K33</f>
        <v>#DIV/0!</v>
      </c>
      <c r="M141" s="111"/>
    </row>
    <row r="1048526" ht="12.75" customHeight="1" x14ac:dyDescent="0.2"/>
    <row r="1048527" ht="12.75" customHeight="1" x14ac:dyDescent="0.2"/>
    <row r="1048528" ht="12.75" customHeight="1" x14ac:dyDescent="0.2"/>
    <row r="1048529" ht="12.75" customHeight="1" x14ac:dyDescent="0.2"/>
    <row r="1048530" ht="12.75" customHeight="1" x14ac:dyDescent="0.2"/>
    <row r="1048531" ht="12.75" customHeight="1" x14ac:dyDescent="0.2"/>
    <row r="1048532" ht="12.75" customHeight="1" x14ac:dyDescent="0.2"/>
    <row r="1048533" ht="12.75" customHeight="1" x14ac:dyDescent="0.2"/>
    <row r="1048534" ht="12.75" customHeight="1" x14ac:dyDescent="0.2"/>
    <row r="1048535" ht="12.75" customHeight="1" x14ac:dyDescent="0.2"/>
    <row r="1048536" ht="12.75" customHeight="1" x14ac:dyDescent="0.2"/>
    <row r="1048537" ht="12.75" customHeight="1" x14ac:dyDescent="0.2"/>
    <row r="1048538" ht="12.75" customHeight="1" x14ac:dyDescent="0.2"/>
    <row r="1048539" ht="12.75" customHeight="1" x14ac:dyDescent="0.2"/>
    <row r="1048540" ht="12.75" customHeight="1" x14ac:dyDescent="0.2"/>
    <row r="1048541" ht="12.75" customHeight="1" x14ac:dyDescent="0.2"/>
    <row r="1048542" ht="12.75" customHeight="1" x14ac:dyDescent="0.2"/>
    <row r="1048543" ht="12.75" customHeight="1" x14ac:dyDescent="0.2"/>
    <row r="1048544" ht="12.75" customHeight="1" x14ac:dyDescent="0.2"/>
    <row r="1048545" ht="12.75" customHeight="1" x14ac:dyDescent="0.2"/>
    <row r="1048546" ht="12.75" customHeight="1" x14ac:dyDescent="0.2"/>
    <row r="1048547" ht="12.75" customHeight="1" x14ac:dyDescent="0.2"/>
    <row r="1048548" ht="12.75" customHeight="1" x14ac:dyDescent="0.2"/>
    <row r="1048549" ht="12.75" customHeight="1" x14ac:dyDescent="0.2"/>
    <row r="1048550" ht="12.75" customHeight="1" x14ac:dyDescent="0.2"/>
    <row r="1048551" ht="12.75" customHeight="1" x14ac:dyDescent="0.2"/>
    <row r="1048552" ht="12.75" customHeight="1" x14ac:dyDescent="0.2"/>
    <row r="1048553" ht="12.75" customHeight="1" x14ac:dyDescent="0.2"/>
    <row r="1048554" ht="12.75" customHeight="1" x14ac:dyDescent="0.2"/>
    <row r="1048555" ht="12.75" customHeight="1" x14ac:dyDescent="0.2"/>
    <row r="1048556" ht="12.75" customHeight="1" x14ac:dyDescent="0.2"/>
  </sheetData>
  <mergeCells count="137">
    <mergeCell ref="A5:C5"/>
    <mergeCell ref="D5:I5"/>
    <mergeCell ref="B7:E7"/>
    <mergeCell ref="F7:K7"/>
    <mergeCell ref="A12:K14"/>
    <mergeCell ref="A15:K15"/>
    <mergeCell ref="A1:I1"/>
    <mergeCell ref="A2:C2"/>
    <mergeCell ref="D2:I2"/>
    <mergeCell ref="A3:C3"/>
    <mergeCell ref="D3:I3"/>
    <mergeCell ref="A4:C4"/>
    <mergeCell ref="D4:F4"/>
    <mergeCell ref="H4:I4"/>
    <mergeCell ref="I9:K9"/>
    <mergeCell ref="B9:H9"/>
    <mergeCell ref="B28:J28"/>
    <mergeCell ref="B29:J29"/>
    <mergeCell ref="B19:J19"/>
    <mergeCell ref="A20:K22"/>
    <mergeCell ref="A23:J23"/>
    <mergeCell ref="H25:J25"/>
    <mergeCell ref="A26:A27"/>
    <mergeCell ref="B26:D27"/>
    <mergeCell ref="K26:K27"/>
    <mergeCell ref="A37:K37"/>
    <mergeCell ref="B38:I38"/>
    <mergeCell ref="B39:I39"/>
    <mergeCell ref="B40:I40"/>
    <mergeCell ref="A41:K42"/>
    <mergeCell ref="A43:K43"/>
    <mergeCell ref="B30:J30"/>
    <mergeCell ref="B31:J31"/>
    <mergeCell ref="A32:K32"/>
    <mergeCell ref="A33:J33"/>
    <mergeCell ref="A34:K35"/>
    <mergeCell ref="A36:K36"/>
    <mergeCell ref="A53:K55"/>
    <mergeCell ref="A56:K56"/>
    <mergeCell ref="B57:J57"/>
    <mergeCell ref="B44:I44"/>
    <mergeCell ref="B45:I45"/>
    <mergeCell ref="B47:I47"/>
    <mergeCell ref="B48:I48"/>
    <mergeCell ref="B52:I52"/>
    <mergeCell ref="B46:E46"/>
    <mergeCell ref="H46:I46"/>
    <mergeCell ref="B51:I51"/>
    <mergeCell ref="B50:I50"/>
    <mergeCell ref="B61:J61"/>
    <mergeCell ref="L61:O61"/>
    <mergeCell ref="B62:J62"/>
    <mergeCell ref="A63:K64"/>
    <mergeCell ref="A65:K65"/>
    <mergeCell ref="B66:I66"/>
    <mergeCell ref="B58:J58"/>
    <mergeCell ref="L58:O58"/>
    <mergeCell ref="B59:J59"/>
    <mergeCell ref="L59:O59"/>
    <mergeCell ref="B60:J60"/>
    <mergeCell ref="L60:O60"/>
    <mergeCell ref="L72:M72"/>
    <mergeCell ref="B73:I73"/>
    <mergeCell ref="L73:M73"/>
    <mergeCell ref="B74:I74"/>
    <mergeCell ref="L74:M74"/>
    <mergeCell ref="B75:I75"/>
    <mergeCell ref="L75:M75"/>
    <mergeCell ref="B67:I67"/>
    <mergeCell ref="B68:J68"/>
    <mergeCell ref="B69:J69"/>
    <mergeCell ref="A70:K70"/>
    <mergeCell ref="A71:K71"/>
    <mergeCell ref="B72:I72"/>
    <mergeCell ref="A82:K82"/>
    <mergeCell ref="A83:K83"/>
    <mergeCell ref="B84:I84"/>
    <mergeCell ref="B85:I85"/>
    <mergeCell ref="B86:I86"/>
    <mergeCell ref="B87:I87"/>
    <mergeCell ref="B76:I76"/>
    <mergeCell ref="L76:M76"/>
    <mergeCell ref="B77:I77"/>
    <mergeCell ref="L77:M77"/>
    <mergeCell ref="A78:I78"/>
    <mergeCell ref="A79:K81"/>
    <mergeCell ref="B95:I95"/>
    <mergeCell ref="B96:I96"/>
    <mergeCell ref="A97:K97"/>
    <mergeCell ref="A98:K98"/>
    <mergeCell ref="B99:J99"/>
    <mergeCell ref="B100:J100"/>
    <mergeCell ref="B88:I88"/>
    <mergeCell ref="B89:I89"/>
    <mergeCell ref="B90:I90"/>
    <mergeCell ref="A91:I91"/>
    <mergeCell ref="A92:K93"/>
    <mergeCell ref="A94:K94"/>
    <mergeCell ref="B106:D106"/>
    <mergeCell ref="E106:J106"/>
    <mergeCell ref="A107:A108"/>
    <mergeCell ref="B107:C108"/>
    <mergeCell ref="D107:J107"/>
    <mergeCell ref="D108:J108"/>
    <mergeCell ref="B101:J101"/>
    <mergeCell ref="A102:K102"/>
    <mergeCell ref="A103:J103"/>
    <mergeCell ref="B104:J104"/>
    <mergeCell ref="B105:D105"/>
    <mergeCell ref="E105:J105"/>
    <mergeCell ref="A125:K125"/>
    <mergeCell ref="A126:J126"/>
    <mergeCell ref="B127:J127"/>
    <mergeCell ref="B128:J128"/>
    <mergeCell ref="B129:J129"/>
    <mergeCell ref="B130:J130"/>
    <mergeCell ref="A109:J109"/>
    <mergeCell ref="A110:K110"/>
    <mergeCell ref="A111:J111"/>
    <mergeCell ref="A114:A117"/>
    <mergeCell ref="I115:I117"/>
    <mergeCell ref="A119:K124"/>
    <mergeCell ref="A138:C138"/>
    <mergeCell ref="D138:E138"/>
    <mergeCell ref="F138:G138"/>
    <mergeCell ref="H138:I138"/>
    <mergeCell ref="A139:J139"/>
    <mergeCell ref="A140:J140"/>
    <mergeCell ref="B131:J131"/>
    <mergeCell ref="A132:J132"/>
    <mergeCell ref="B133:J133"/>
    <mergeCell ref="A134:J134"/>
    <mergeCell ref="A136:K136"/>
    <mergeCell ref="A137:C137"/>
    <mergeCell ref="D137:E137"/>
    <mergeCell ref="F137:G137"/>
    <mergeCell ref="H137:I137"/>
  </mergeCells>
  <pageMargins left="0.511811024" right="0.511811024" top="0.78740157499999996" bottom="0.78740157499999996" header="0.31496062000000002" footer="0.31496062000000002"/>
  <pageSetup paperSize="9" scale="41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A5DCA-B696-4426-A4ED-5F7E36EA40ED}">
  <sheetPr>
    <tabColor rgb="FFFFFFFF"/>
    <pageSetUpPr fitToPage="1"/>
  </sheetPr>
  <dimension ref="A1:IW68"/>
  <sheetViews>
    <sheetView showGridLines="0" topLeftCell="A37" zoomScale="90" zoomScaleNormal="90" workbookViewId="0">
      <selection activeCell="B59" sqref="B59:B66"/>
    </sheetView>
  </sheetViews>
  <sheetFormatPr defaultRowHeight="12.75" x14ac:dyDescent="0.2"/>
  <cols>
    <col min="1" max="1" width="55.5703125" style="284" customWidth="1"/>
    <col min="2" max="2" width="28.85546875" style="284" customWidth="1"/>
    <col min="3" max="4" width="20.42578125" style="284" customWidth="1"/>
    <col min="5" max="5" width="23.85546875" style="284" customWidth="1"/>
    <col min="6" max="6" width="24" style="284" customWidth="1"/>
    <col min="7" max="7" width="15.7109375" style="284" customWidth="1"/>
    <col min="8" max="8" width="12.85546875" style="284" customWidth="1"/>
    <col min="9" max="257" width="9.140625" style="284"/>
    <col min="258" max="16384" width="9.140625" style="283"/>
  </cols>
  <sheetData>
    <row r="1" spans="1:9" ht="14.1" customHeight="1" x14ac:dyDescent="0.2">
      <c r="A1" s="794" t="s">
        <v>407</v>
      </c>
      <c r="B1" s="794" t="s">
        <v>244</v>
      </c>
      <c r="C1" s="794" t="s">
        <v>245</v>
      </c>
      <c r="D1" s="794" t="s">
        <v>246</v>
      </c>
      <c r="E1" s="283"/>
      <c r="F1" s="283"/>
      <c r="G1" s="283"/>
      <c r="H1" s="283"/>
      <c r="I1" s="283"/>
    </row>
    <row r="2" spans="1:9" x14ac:dyDescent="0.2">
      <c r="A2" s="794"/>
      <c r="B2" s="816"/>
      <c r="C2" s="794"/>
      <c r="D2" s="794"/>
      <c r="E2" s="283"/>
      <c r="F2" s="283"/>
      <c r="G2" s="283"/>
      <c r="H2" s="283"/>
      <c r="I2" s="283"/>
    </row>
    <row r="3" spans="1:9" ht="18" customHeight="1" x14ac:dyDescent="0.2">
      <c r="A3" s="350" t="s">
        <v>346</v>
      </c>
      <c r="B3" s="290">
        <v>4</v>
      </c>
      <c r="C3" s="316">
        <v>0</v>
      </c>
      <c r="D3" s="317">
        <v>0</v>
      </c>
      <c r="E3" s="283"/>
      <c r="F3" s="283"/>
      <c r="G3" s="283"/>
      <c r="H3" s="283"/>
      <c r="I3" s="283"/>
    </row>
    <row r="4" spans="1:9" ht="21" customHeight="1" x14ac:dyDescent="0.2">
      <c r="A4" s="292" t="s">
        <v>248</v>
      </c>
      <c r="B4" s="294">
        <v>2</v>
      </c>
      <c r="C4" s="409">
        <v>0</v>
      </c>
      <c r="D4" s="317">
        <v>0</v>
      </c>
      <c r="E4" s="283"/>
      <c r="F4" s="283"/>
      <c r="G4" s="283"/>
      <c r="H4" s="283"/>
      <c r="I4" s="283"/>
    </row>
    <row r="5" spans="1:9" ht="19.149999999999999" customHeight="1" x14ac:dyDescent="0.2">
      <c r="A5" s="288" t="s">
        <v>395</v>
      </c>
      <c r="B5" s="290">
        <v>2</v>
      </c>
      <c r="C5" s="409">
        <v>0</v>
      </c>
      <c r="D5" s="317">
        <v>0</v>
      </c>
      <c r="E5" s="283"/>
      <c r="F5" s="283"/>
      <c r="G5" s="283"/>
      <c r="H5" s="283"/>
      <c r="I5" s="283"/>
    </row>
    <row r="6" spans="1:9" ht="19.149999999999999" customHeight="1" x14ac:dyDescent="0.2">
      <c r="A6" s="351" t="s">
        <v>362</v>
      </c>
      <c r="B6" s="294">
        <v>2</v>
      </c>
      <c r="C6" s="409">
        <v>0</v>
      </c>
      <c r="D6" s="317">
        <v>0</v>
      </c>
      <c r="E6" s="283"/>
      <c r="F6" s="283"/>
      <c r="G6" s="283"/>
      <c r="H6" s="283"/>
      <c r="I6" s="283"/>
    </row>
    <row r="7" spans="1:9" ht="34.5" customHeight="1" x14ac:dyDescent="0.2">
      <c r="A7" s="351" t="s">
        <v>363</v>
      </c>
      <c r="B7" s="352">
        <v>2</v>
      </c>
      <c r="C7" s="409">
        <v>0</v>
      </c>
      <c r="D7" s="317">
        <v>0</v>
      </c>
      <c r="E7" s="283"/>
      <c r="F7" s="283"/>
      <c r="G7" s="283"/>
      <c r="H7" s="283"/>
      <c r="I7" s="283"/>
    </row>
    <row r="8" spans="1:9" ht="29.25" customHeight="1" x14ac:dyDescent="0.2">
      <c r="A8" s="353" t="s">
        <v>252</v>
      </c>
      <c r="B8" s="290">
        <v>2</v>
      </c>
      <c r="C8" s="409">
        <v>0</v>
      </c>
      <c r="D8" s="317">
        <v>0</v>
      </c>
      <c r="E8" s="283"/>
      <c r="F8" s="283"/>
      <c r="G8" s="283"/>
      <c r="H8" s="283"/>
      <c r="I8" s="283"/>
    </row>
    <row r="9" spans="1:9" ht="42" customHeight="1" x14ac:dyDescent="0.2">
      <c r="A9" s="350" t="s">
        <v>349</v>
      </c>
      <c r="B9" s="354">
        <v>1</v>
      </c>
      <c r="C9" s="409">
        <v>0</v>
      </c>
      <c r="D9" s="317">
        <v>0</v>
      </c>
      <c r="E9" s="283"/>
      <c r="F9" s="283"/>
      <c r="G9" s="283"/>
      <c r="H9" s="283"/>
      <c r="I9" s="283"/>
    </row>
    <row r="10" spans="1:9" ht="42" customHeight="1" x14ac:dyDescent="0.2">
      <c r="A10" s="355" t="s">
        <v>356</v>
      </c>
      <c r="B10" s="290">
        <v>2</v>
      </c>
      <c r="C10" s="409">
        <v>0</v>
      </c>
      <c r="D10" s="317">
        <v>0</v>
      </c>
      <c r="E10" s="283"/>
      <c r="F10" s="283"/>
      <c r="G10" s="283"/>
      <c r="H10" s="283"/>
      <c r="I10" s="283"/>
    </row>
    <row r="11" spans="1:9" ht="21.6" customHeight="1" x14ac:dyDescent="0.2">
      <c r="A11" s="288" t="s">
        <v>364</v>
      </c>
      <c r="B11" s="293">
        <v>2</v>
      </c>
      <c r="C11" s="409">
        <v>0</v>
      </c>
      <c r="D11" s="317">
        <v>0</v>
      </c>
      <c r="E11" s="283"/>
      <c r="F11" s="283"/>
      <c r="G11" s="283"/>
      <c r="H11" s="283"/>
      <c r="I11" s="283"/>
    </row>
    <row r="12" spans="1:9" ht="36.4" customHeight="1" x14ac:dyDescent="0.2">
      <c r="A12" s="288" t="s">
        <v>352</v>
      </c>
      <c r="B12" s="286">
        <v>1</v>
      </c>
      <c r="C12" s="409">
        <v>0</v>
      </c>
      <c r="D12" s="317">
        <v>0</v>
      </c>
      <c r="E12" s="283"/>
      <c r="F12" s="283"/>
      <c r="G12" s="283"/>
      <c r="H12" s="283"/>
      <c r="I12" s="283"/>
    </row>
    <row r="13" spans="1:9" ht="40.5" customHeight="1" x14ac:dyDescent="0.2">
      <c r="A13" s="295" t="s">
        <v>353</v>
      </c>
      <c r="B13" s="290">
        <v>1</v>
      </c>
      <c r="C13" s="409">
        <v>0</v>
      </c>
      <c r="D13" s="317">
        <v>0</v>
      </c>
      <c r="E13" s="283"/>
      <c r="F13" s="283"/>
      <c r="G13" s="283"/>
      <c r="H13" s="283"/>
      <c r="I13" s="283"/>
    </row>
    <row r="14" spans="1:9" ht="19.899999999999999" customHeight="1" x14ac:dyDescent="0.2">
      <c r="A14" s="295" t="s">
        <v>365</v>
      </c>
      <c r="B14" s="293">
        <v>50</v>
      </c>
      <c r="C14" s="409">
        <v>0</v>
      </c>
      <c r="D14" s="317">
        <v>0</v>
      </c>
      <c r="E14" s="283"/>
      <c r="F14" s="283"/>
      <c r="G14" s="283"/>
      <c r="H14" s="283"/>
      <c r="I14" s="283"/>
    </row>
    <row r="15" spans="1:9" ht="21.6" customHeight="1" x14ac:dyDescent="0.2">
      <c r="A15" s="288" t="s">
        <v>366</v>
      </c>
      <c r="B15" s="294">
        <v>50</v>
      </c>
      <c r="C15" s="409">
        <v>0</v>
      </c>
      <c r="D15" s="317">
        <v>0</v>
      </c>
      <c r="E15" s="283"/>
      <c r="F15" s="283"/>
      <c r="G15" s="283"/>
      <c r="H15" s="283"/>
      <c r="I15" s="283"/>
    </row>
    <row r="16" spans="1:9" s="284" customFormat="1" ht="55.5" customHeight="1" x14ac:dyDescent="0.2">
      <c r="A16" s="356" t="s">
        <v>269</v>
      </c>
      <c r="B16" s="357">
        <v>10</v>
      </c>
      <c r="C16" s="409">
        <v>0</v>
      </c>
      <c r="D16" s="317">
        <v>0</v>
      </c>
      <c r="E16" s="283"/>
      <c r="F16" s="283"/>
      <c r="G16" s="283"/>
      <c r="H16" s="283"/>
      <c r="I16" s="283"/>
    </row>
    <row r="17" spans="1:9" s="284" customFormat="1" ht="51" x14ac:dyDescent="0.2">
      <c r="A17" s="297" t="s">
        <v>270</v>
      </c>
      <c r="B17" s="286">
        <v>10</v>
      </c>
      <c r="C17" s="409">
        <v>0</v>
      </c>
      <c r="D17" s="317">
        <v>0</v>
      </c>
      <c r="E17" s="283"/>
      <c r="F17" s="283"/>
      <c r="G17" s="283"/>
      <c r="H17" s="283"/>
      <c r="I17" s="283"/>
    </row>
    <row r="18" spans="1:9" s="284" customFormat="1" ht="15" x14ac:dyDescent="0.2">
      <c r="A18" s="297" t="s">
        <v>271</v>
      </c>
      <c r="B18" s="294">
        <v>1</v>
      </c>
      <c r="C18" s="409">
        <v>0</v>
      </c>
      <c r="D18" s="317">
        <v>0</v>
      </c>
      <c r="E18" s="283"/>
      <c r="F18" s="283"/>
      <c r="G18" s="283"/>
      <c r="H18" s="283"/>
      <c r="I18" s="283"/>
    </row>
    <row r="19" spans="1:9" s="284" customFormat="1" ht="13.35" customHeight="1" x14ac:dyDescent="0.2">
      <c r="A19" s="794" t="s">
        <v>272</v>
      </c>
      <c r="B19" s="794"/>
      <c r="C19" s="794"/>
      <c r="D19" s="298">
        <f>SUM(D3:D18)</f>
        <v>0</v>
      </c>
      <c r="E19" s="283"/>
      <c r="F19" s="283"/>
      <c r="G19" s="283"/>
      <c r="H19" s="283"/>
      <c r="I19" s="283"/>
    </row>
    <row r="20" spans="1:9" s="284" customFormat="1" x14ac:dyDescent="0.2">
      <c r="A20" s="283"/>
      <c r="B20" s="283"/>
      <c r="C20" s="283"/>
      <c r="D20" s="283"/>
      <c r="E20" s="283"/>
      <c r="F20" s="283"/>
      <c r="G20" s="283"/>
      <c r="H20" s="283"/>
      <c r="I20" s="283"/>
    </row>
    <row r="21" spans="1:9" s="284" customFormat="1" x14ac:dyDescent="0.2">
      <c r="A21" s="283"/>
      <c r="B21" s="283"/>
      <c r="C21" s="283"/>
      <c r="D21" s="283"/>
      <c r="E21" s="283"/>
      <c r="F21" s="283"/>
      <c r="G21" s="283"/>
      <c r="H21" s="283"/>
      <c r="I21" s="283"/>
    </row>
    <row r="22" spans="1:9" s="284" customFormat="1" ht="12.75" customHeight="1" x14ac:dyDescent="0.25">
      <c r="A22" s="796" t="s">
        <v>369</v>
      </c>
      <c r="B22" s="795" t="s">
        <v>274</v>
      </c>
      <c r="C22" s="794" t="s">
        <v>275</v>
      </c>
      <c r="D22" s="794" t="s">
        <v>245</v>
      </c>
      <c r="E22" s="794" t="s">
        <v>276</v>
      </c>
      <c r="F22"/>
      <c r="G22"/>
      <c r="H22"/>
      <c r="I22"/>
    </row>
    <row r="23" spans="1:9" s="284" customFormat="1" ht="15" x14ac:dyDescent="0.25">
      <c r="A23" s="797"/>
      <c r="B23" s="798"/>
      <c r="C23" s="798"/>
      <c r="D23" s="795"/>
      <c r="E23" s="794"/>
      <c r="F23"/>
      <c r="G23"/>
      <c r="H23"/>
      <c r="I23"/>
    </row>
    <row r="24" spans="1:9" s="284" customFormat="1" ht="15" x14ac:dyDescent="0.25">
      <c r="A24" s="288" t="s">
        <v>278</v>
      </c>
      <c r="B24" s="299" t="s">
        <v>219</v>
      </c>
      <c r="C24" s="358">
        <v>1</v>
      </c>
      <c r="D24" s="303">
        <v>0</v>
      </c>
      <c r="E24" s="318">
        <v>0</v>
      </c>
      <c r="F24"/>
      <c r="G24"/>
      <c r="H24"/>
      <c r="I24"/>
    </row>
    <row r="25" spans="1:9" s="284" customFormat="1" ht="15" x14ac:dyDescent="0.25">
      <c r="A25" s="288" t="s">
        <v>285</v>
      </c>
      <c r="B25" s="299" t="s">
        <v>219</v>
      </c>
      <c r="C25" s="291">
        <v>1</v>
      </c>
      <c r="D25" s="303">
        <f t="shared" ref="D25:D29" si="0">E25/C25</f>
        <v>0</v>
      </c>
      <c r="E25" s="318">
        <v>0</v>
      </c>
      <c r="F25"/>
      <c r="G25"/>
      <c r="H25"/>
      <c r="I25"/>
    </row>
    <row r="26" spans="1:9" s="284" customFormat="1" ht="15" x14ac:dyDescent="0.25">
      <c r="A26" s="288" t="s">
        <v>367</v>
      </c>
      <c r="B26" s="299" t="s">
        <v>219</v>
      </c>
      <c r="C26" s="354">
        <v>1</v>
      </c>
      <c r="D26" s="303">
        <v>0</v>
      </c>
      <c r="E26" s="318">
        <v>0</v>
      </c>
      <c r="F26"/>
      <c r="G26"/>
      <c r="H26"/>
      <c r="I26"/>
    </row>
    <row r="27" spans="1:9" s="284" customFormat="1" ht="15" x14ac:dyDescent="0.25">
      <c r="A27" s="288" t="s">
        <v>368</v>
      </c>
      <c r="B27" s="299" t="s">
        <v>219</v>
      </c>
      <c r="C27" s="290">
        <v>1</v>
      </c>
      <c r="D27" s="300">
        <f t="shared" si="0"/>
        <v>0</v>
      </c>
      <c r="E27" s="318">
        <v>0</v>
      </c>
      <c r="F27"/>
      <c r="G27"/>
      <c r="H27"/>
      <c r="I27"/>
    </row>
    <row r="28" spans="1:9" s="284" customFormat="1" ht="15" x14ac:dyDescent="0.25">
      <c r="A28" s="285" t="s">
        <v>293</v>
      </c>
      <c r="B28" s="359" t="s">
        <v>219</v>
      </c>
      <c r="C28" s="290">
        <v>1</v>
      </c>
      <c r="D28" s="303">
        <f t="shared" si="0"/>
        <v>0</v>
      </c>
      <c r="E28" s="318">
        <v>0</v>
      </c>
      <c r="F28"/>
      <c r="G28"/>
      <c r="H28"/>
      <c r="I28"/>
    </row>
    <row r="29" spans="1:9" s="284" customFormat="1" ht="38.25" x14ac:dyDescent="0.25">
      <c r="A29" s="288" t="s">
        <v>292</v>
      </c>
      <c r="B29" s="299" t="s">
        <v>219</v>
      </c>
      <c r="C29" s="358">
        <v>1</v>
      </c>
      <c r="D29" s="303">
        <f t="shared" si="0"/>
        <v>0</v>
      </c>
      <c r="E29" s="318">
        <v>0</v>
      </c>
      <c r="F29"/>
      <c r="G29"/>
      <c r="H29"/>
      <c r="I29"/>
    </row>
    <row r="30" spans="1:9" s="284" customFormat="1" ht="14.1" customHeight="1" x14ac:dyDescent="0.2">
      <c r="A30" s="795" t="s">
        <v>275</v>
      </c>
      <c r="B30" s="795"/>
      <c r="C30" s="795"/>
      <c r="D30" s="794"/>
      <c r="E30" s="298">
        <f>SUM(E24:E29)</f>
        <v>0</v>
      </c>
      <c r="F30" s="283"/>
      <c r="G30" s="283"/>
      <c r="H30" s="283"/>
      <c r="I30" s="283"/>
    </row>
    <row r="31" spans="1:9" s="284" customFormat="1" x14ac:dyDescent="0.2">
      <c r="A31" s="283"/>
      <c r="B31" s="283"/>
      <c r="C31" s="283"/>
      <c r="D31" s="283"/>
      <c r="E31" s="283"/>
      <c r="F31" s="283"/>
      <c r="G31" s="283"/>
      <c r="H31" s="283"/>
      <c r="I31" s="283"/>
    </row>
    <row r="32" spans="1:9" s="284" customFormat="1" x14ac:dyDescent="0.2">
      <c r="A32" s="283"/>
      <c r="B32" s="283"/>
      <c r="C32" s="283"/>
      <c r="D32" s="283"/>
      <c r="E32" s="283"/>
      <c r="F32" s="283"/>
      <c r="G32" s="283"/>
      <c r="H32" s="283"/>
      <c r="I32" s="283"/>
    </row>
    <row r="33" spans="1:9" s="284" customFormat="1" ht="39" customHeight="1" x14ac:dyDescent="0.25">
      <c r="A33" s="795" t="s">
        <v>295</v>
      </c>
      <c r="B33" s="795" t="s">
        <v>274</v>
      </c>
      <c r="C33" s="795" t="s">
        <v>275</v>
      </c>
      <c r="D33" s="795" t="s">
        <v>245</v>
      </c>
      <c r="E33" s="795" t="s">
        <v>276</v>
      </c>
      <c r="F33" s="794" t="s">
        <v>277</v>
      </c>
      <c r="G33" s="794" t="s">
        <v>296</v>
      </c>
      <c r="H33"/>
      <c r="I33"/>
    </row>
    <row r="34" spans="1:9" s="284" customFormat="1" ht="15" x14ac:dyDescent="0.25">
      <c r="A34" s="795"/>
      <c r="B34" s="795"/>
      <c r="C34" s="795"/>
      <c r="D34" s="795"/>
      <c r="E34" s="795" t="s">
        <v>276</v>
      </c>
      <c r="F34" s="794"/>
      <c r="G34" s="794"/>
      <c r="H34"/>
      <c r="I34"/>
    </row>
    <row r="35" spans="1:9" s="284" customFormat="1" ht="25.5" x14ac:dyDescent="0.25">
      <c r="A35" s="304" t="s">
        <v>298</v>
      </c>
      <c r="B35" s="302" t="s">
        <v>219</v>
      </c>
      <c r="C35" s="354">
        <v>1</v>
      </c>
      <c r="D35" s="303">
        <f t="shared" ref="D35:D38" si="1">E35/C35</f>
        <v>0</v>
      </c>
      <c r="E35" s="318">
        <v>0</v>
      </c>
      <c r="F35" s="348">
        <f>E35*10%</f>
        <v>0</v>
      </c>
      <c r="G35" s="807">
        <f>SUM(F35:F39)/12</f>
        <v>0</v>
      </c>
      <c r="H35"/>
      <c r="I35"/>
    </row>
    <row r="36" spans="1:9" s="284" customFormat="1" ht="25.5" x14ac:dyDescent="0.25">
      <c r="A36" s="288" t="s">
        <v>299</v>
      </c>
      <c r="B36" s="302" t="s">
        <v>219</v>
      </c>
      <c r="C36" s="290">
        <v>1</v>
      </c>
      <c r="D36" s="303">
        <f t="shared" si="1"/>
        <v>0</v>
      </c>
      <c r="E36" s="318">
        <v>0</v>
      </c>
      <c r="F36" s="348">
        <f t="shared" ref="F36:F39" si="2">E36*10%</f>
        <v>0</v>
      </c>
      <c r="G36" s="808"/>
      <c r="H36"/>
      <c r="I36"/>
    </row>
    <row r="37" spans="1:9" s="284" customFormat="1" ht="25.5" x14ac:dyDescent="0.25">
      <c r="A37" s="361" t="s">
        <v>359</v>
      </c>
      <c r="B37" s="299" t="s">
        <v>219</v>
      </c>
      <c r="C37" s="290">
        <v>5</v>
      </c>
      <c r="D37" s="300">
        <f t="shared" si="1"/>
        <v>0</v>
      </c>
      <c r="E37" s="318">
        <v>0</v>
      </c>
      <c r="F37" s="348">
        <f t="shared" si="2"/>
        <v>0</v>
      </c>
      <c r="G37" s="808"/>
      <c r="H37"/>
      <c r="I37"/>
    </row>
    <row r="38" spans="1:9" s="284" customFormat="1" ht="25.5" x14ac:dyDescent="0.25">
      <c r="A38" s="361" t="s">
        <v>304</v>
      </c>
      <c r="B38" s="299" t="s">
        <v>219</v>
      </c>
      <c r="C38" s="290">
        <v>5</v>
      </c>
      <c r="D38" s="303">
        <f t="shared" si="1"/>
        <v>0</v>
      </c>
      <c r="E38" s="318">
        <v>0</v>
      </c>
      <c r="F38" s="348">
        <f t="shared" si="2"/>
        <v>0</v>
      </c>
      <c r="G38" s="808"/>
      <c r="H38"/>
      <c r="I38"/>
    </row>
    <row r="39" spans="1:9" s="284" customFormat="1" ht="15" x14ac:dyDescent="0.25">
      <c r="A39" s="362" t="s">
        <v>396</v>
      </c>
      <c r="B39" s="363" t="s">
        <v>219</v>
      </c>
      <c r="C39" s="364">
        <v>7</v>
      </c>
      <c r="D39" s="303">
        <v>0</v>
      </c>
      <c r="E39" s="318">
        <v>0</v>
      </c>
      <c r="F39" s="348">
        <f t="shared" si="2"/>
        <v>0</v>
      </c>
      <c r="G39" s="809"/>
      <c r="H39"/>
      <c r="I39"/>
    </row>
    <row r="40" spans="1:9" s="284" customFormat="1" ht="14.1" customHeight="1" x14ac:dyDescent="0.25">
      <c r="A40" s="795" t="s">
        <v>275</v>
      </c>
      <c r="B40" s="795"/>
      <c r="C40" s="795"/>
      <c r="D40" s="794"/>
      <c r="E40" s="298">
        <f>SUM(E33:E39)</f>
        <v>0</v>
      </c>
      <c r="F40" s="283"/>
      <c r="G40"/>
    </row>
    <row r="41" spans="1:9" s="284" customFormat="1" x14ac:dyDescent="0.2">
      <c r="A41" s="283"/>
      <c r="B41" s="283"/>
      <c r="C41" s="283"/>
      <c r="D41" s="283"/>
      <c r="E41" s="283"/>
      <c r="F41" s="283"/>
    </row>
    <row r="42" spans="1:9" s="284" customFormat="1" x14ac:dyDescent="0.2">
      <c r="A42" s="283"/>
      <c r="B42" s="283"/>
      <c r="C42" s="283"/>
      <c r="D42" s="283"/>
      <c r="E42" s="283"/>
      <c r="F42" s="283"/>
    </row>
    <row r="43" spans="1:9" s="284" customFormat="1" x14ac:dyDescent="0.2">
      <c r="A43" s="283"/>
      <c r="B43" s="283"/>
      <c r="C43" s="283"/>
      <c r="D43" s="283"/>
      <c r="E43" s="283"/>
      <c r="F43" s="283"/>
    </row>
    <row r="44" spans="1:9" s="284" customFormat="1" ht="13.5" thickBot="1" x14ac:dyDescent="0.25">
      <c r="A44" s="283"/>
      <c r="B44" s="283"/>
      <c r="C44" s="283"/>
      <c r="D44" s="283"/>
      <c r="E44" s="283"/>
      <c r="F44" s="283"/>
    </row>
    <row r="45" spans="1:9" s="284" customFormat="1" ht="14.1" customHeight="1" thickBot="1" x14ac:dyDescent="0.25">
      <c r="A45" s="810" t="s">
        <v>207</v>
      </c>
      <c r="B45" s="810"/>
      <c r="C45" s="283"/>
      <c r="D45" s="283"/>
      <c r="E45" s="283"/>
      <c r="F45" s="283"/>
    </row>
    <row r="46" spans="1:9" s="284" customFormat="1" ht="13.5" thickBot="1" x14ac:dyDescent="0.25">
      <c r="A46" s="307" t="s">
        <v>310</v>
      </c>
      <c r="B46" s="308">
        <f>D19</f>
        <v>0</v>
      </c>
      <c r="C46" s="283"/>
      <c r="D46" s="283"/>
      <c r="E46" s="283"/>
      <c r="F46" s="283"/>
    </row>
    <row r="47" spans="1:9" s="284" customFormat="1" ht="13.5" thickBot="1" x14ac:dyDescent="0.25">
      <c r="A47" s="307" t="s">
        <v>311</v>
      </c>
      <c r="B47" s="309">
        <f>E30/6</f>
        <v>0</v>
      </c>
      <c r="C47" s="283"/>
      <c r="D47" s="283"/>
      <c r="E47" s="283"/>
      <c r="F47" s="283"/>
    </row>
    <row r="48" spans="1:9" s="284" customFormat="1" ht="13.5" thickBot="1" x14ac:dyDescent="0.25">
      <c r="A48" s="307" t="s">
        <v>312</v>
      </c>
      <c r="B48" s="309">
        <f>G35</f>
        <v>0</v>
      </c>
      <c r="C48" s="283"/>
      <c r="D48" s="283"/>
      <c r="E48" s="283"/>
      <c r="F48" s="283"/>
    </row>
    <row r="49" spans="1:6" s="284" customFormat="1" ht="13.5" thickBot="1" x14ac:dyDescent="0.25">
      <c r="A49" s="283"/>
      <c r="B49" s="283"/>
      <c r="C49" s="283"/>
      <c r="D49" s="283"/>
      <c r="E49" s="283"/>
      <c r="F49" s="283"/>
    </row>
    <row r="50" spans="1:6" s="284" customFormat="1" ht="13.35" customHeight="1" thickBot="1" x14ac:dyDescent="0.25">
      <c r="A50" s="810" t="s">
        <v>313</v>
      </c>
      <c r="B50" s="810"/>
      <c r="C50" s="283"/>
      <c r="D50" s="283"/>
      <c r="E50" s="283"/>
      <c r="F50" s="283"/>
    </row>
    <row r="51" spans="1:6" s="284" customFormat="1" ht="13.5" thickBot="1" x14ac:dyDescent="0.25">
      <c r="A51" s="307" t="s">
        <v>314</v>
      </c>
      <c r="B51" s="310">
        <f>SUM('[2]Quadro Resumo Grupo 1'!F7)</f>
        <v>1</v>
      </c>
      <c r="C51" s="283"/>
      <c r="D51" s="283"/>
      <c r="E51" s="283"/>
      <c r="F51" s="283"/>
    </row>
    <row r="52" spans="1:6" s="284" customFormat="1" ht="13.5" thickBot="1" x14ac:dyDescent="0.25">
      <c r="A52" s="307" t="s">
        <v>310</v>
      </c>
      <c r="B52" s="309">
        <f>B46/B51</f>
        <v>0</v>
      </c>
      <c r="C52" s="283"/>
      <c r="D52" s="283"/>
      <c r="E52" s="283"/>
      <c r="F52" s="283"/>
    </row>
    <row r="53" spans="1:6" s="284" customFormat="1" ht="13.5" thickBot="1" x14ac:dyDescent="0.25">
      <c r="A53" s="307" t="s">
        <v>311</v>
      </c>
      <c r="B53" s="309">
        <f>B47/B51</f>
        <v>0</v>
      </c>
      <c r="C53" s="283"/>
      <c r="D53" s="283"/>
      <c r="E53" s="283"/>
      <c r="F53" s="283"/>
    </row>
    <row r="54" spans="1:6" s="284" customFormat="1" ht="13.5" thickBot="1" x14ac:dyDescent="0.25">
      <c r="A54" s="307" t="s">
        <v>312</v>
      </c>
      <c r="B54" s="309">
        <f>B48/B51</f>
        <v>0</v>
      </c>
      <c r="C54" s="283"/>
      <c r="D54" s="283"/>
      <c r="E54" s="283"/>
      <c r="F54" s="283"/>
    </row>
    <row r="55" spans="1:6" s="284" customFormat="1" x14ac:dyDescent="0.2">
      <c r="A55" s="283"/>
      <c r="B55" s="283"/>
      <c r="C55" s="283"/>
      <c r="D55" s="283"/>
      <c r="E55" s="283"/>
      <c r="F55" s="283"/>
    </row>
    <row r="56" spans="1:6" s="284" customFormat="1" ht="13.5" thickBot="1" x14ac:dyDescent="0.25">
      <c r="A56" s="283"/>
      <c r="B56" s="283"/>
      <c r="C56" s="283"/>
      <c r="D56" s="283"/>
      <c r="E56" s="283"/>
      <c r="F56" s="283"/>
    </row>
    <row r="57" spans="1:6" s="284" customFormat="1" ht="14.1" customHeight="1" thickTop="1" thickBot="1" x14ac:dyDescent="0.25">
      <c r="A57" s="813" t="s">
        <v>315</v>
      </c>
      <c r="B57" s="813"/>
      <c r="C57" s="813"/>
      <c r="D57" s="813"/>
      <c r="E57" s="813"/>
      <c r="F57" s="813"/>
    </row>
    <row r="58" spans="1:6" s="284" customFormat="1" ht="14.1" customHeight="1" thickTop="1" thickBot="1" x14ac:dyDescent="0.25">
      <c r="A58" s="311" t="s">
        <v>208</v>
      </c>
      <c r="B58" s="311" t="s">
        <v>316</v>
      </c>
      <c r="C58" s="311" t="s">
        <v>317</v>
      </c>
      <c r="D58" s="311" t="s">
        <v>318</v>
      </c>
      <c r="E58" s="814" t="s">
        <v>319</v>
      </c>
      <c r="F58" s="814"/>
    </row>
    <row r="59" spans="1:6" s="284" customFormat="1" ht="15.75" thickBot="1" x14ac:dyDescent="0.25">
      <c r="A59" s="312" t="s">
        <v>320</v>
      </c>
      <c r="B59" s="360">
        <v>0</v>
      </c>
      <c r="C59" s="312">
        <v>12</v>
      </c>
      <c r="D59" s="312">
        <v>2</v>
      </c>
      <c r="E59" s="811">
        <f t="shared" ref="E59:E67" si="3">ROUND(B59*D59/C59,2)</f>
        <v>0</v>
      </c>
      <c r="F59" s="811"/>
    </row>
    <row r="60" spans="1:6" s="284" customFormat="1" ht="15.75" thickBot="1" x14ac:dyDescent="0.25">
      <c r="A60" s="312" t="s">
        <v>321</v>
      </c>
      <c r="B60" s="360">
        <v>0</v>
      </c>
      <c r="C60" s="312">
        <v>12</v>
      </c>
      <c r="D60" s="312">
        <v>2</v>
      </c>
      <c r="E60" s="811">
        <f t="shared" si="3"/>
        <v>0</v>
      </c>
      <c r="F60" s="811"/>
    </row>
    <row r="61" spans="1:6" s="284" customFormat="1" ht="15.75" thickBot="1" x14ac:dyDescent="0.25">
      <c r="A61" s="312" t="s">
        <v>322</v>
      </c>
      <c r="B61" s="360">
        <v>0</v>
      </c>
      <c r="C61" s="312">
        <v>12</v>
      </c>
      <c r="D61" s="312">
        <v>1</v>
      </c>
      <c r="E61" s="811">
        <f t="shared" si="3"/>
        <v>0</v>
      </c>
      <c r="F61" s="811"/>
    </row>
    <row r="62" spans="1:6" s="284" customFormat="1" ht="15.75" thickBot="1" x14ac:dyDescent="0.25">
      <c r="A62" s="312" t="s">
        <v>323</v>
      </c>
      <c r="B62" s="360">
        <v>0</v>
      </c>
      <c r="C62" s="312">
        <v>12</v>
      </c>
      <c r="D62" s="312">
        <v>4</v>
      </c>
      <c r="E62" s="811">
        <f t="shared" si="3"/>
        <v>0</v>
      </c>
      <c r="F62" s="811"/>
    </row>
    <row r="63" spans="1:6" s="284" customFormat="1" ht="15.75" thickBot="1" x14ac:dyDescent="0.25">
      <c r="A63" s="312" t="s">
        <v>324</v>
      </c>
      <c r="B63" s="360">
        <v>0</v>
      </c>
      <c r="C63" s="312">
        <v>12</v>
      </c>
      <c r="D63" s="312">
        <v>1</v>
      </c>
      <c r="E63" s="811">
        <f t="shared" si="3"/>
        <v>0</v>
      </c>
      <c r="F63" s="811"/>
    </row>
    <row r="64" spans="1:6" s="284" customFormat="1" ht="15.75" thickBot="1" x14ac:dyDescent="0.25">
      <c r="A64" s="312" t="s">
        <v>325</v>
      </c>
      <c r="B64" s="360">
        <v>0</v>
      </c>
      <c r="C64" s="312">
        <v>12</v>
      </c>
      <c r="D64" s="312">
        <v>1</v>
      </c>
      <c r="E64" s="811">
        <f t="shared" si="3"/>
        <v>0</v>
      </c>
      <c r="F64" s="811"/>
    </row>
    <row r="65" spans="1:6" s="284" customFormat="1" ht="15.75" thickBot="1" x14ac:dyDescent="0.25">
      <c r="A65" s="312" t="s">
        <v>326</v>
      </c>
      <c r="B65" s="360">
        <v>0</v>
      </c>
      <c r="C65" s="312">
        <v>6</v>
      </c>
      <c r="D65" s="312">
        <v>3</v>
      </c>
      <c r="E65" s="811">
        <f t="shared" si="3"/>
        <v>0</v>
      </c>
      <c r="F65" s="811"/>
    </row>
    <row r="66" spans="1:6" s="284" customFormat="1" ht="15.75" thickBot="1" x14ac:dyDescent="0.25">
      <c r="A66" s="312" t="s">
        <v>327</v>
      </c>
      <c r="B66" s="360">
        <v>0</v>
      </c>
      <c r="C66" s="312">
        <v>12</v>
      </c>
      <c r="D66" s="312">
        <v>1</v>
      </c>
      <c r="E66" s="811">
        <f t="shared" si="3"/>
        <v>0</v>
      </c>
      <c r="F66" s="811"/>
    </row>
    <row r="67" spans="1:6" s="284" customFormat="1" ht="15.75" thickBot="1" x14ac:dyDescent="0.25">
      <c r="A67" s="312" t="s">
        <v>87</v>
      </c>
      <c r="B67" s="313"/>
      <c r="C67" s="312"/>
      <c r="D67" s="312"/>
      <c r="E67" s="811" t="e">
        <f t="shared" si="3"/>
        <v>#DIV/0!</v>
      </c>
      <c r="F67" s="811"/>
    </row>
    <row r="68" spans="1:6" s="284" customFormat="1" ht="13.5" thickBot="1" x14ac:dyDescent="0.25">
      <c r="A68" s="314"/>
      <c r="B68" s="314"/>
      <c r="C68" s="314"/>
      <c r="D68" s="315" t="s">
        <v>328</v>
      </c>
      <c r="E68" s="815">
        <f>SUM(E59:E66)</f>
        <v>0</v>
      </c>
      <c r="F68" s="815"/>
    </row>
  </sheetData>
  <mergeCells count="34">
    <mergeCell ref="E66:F66"/>
    <mergeCell ref="E67:F67"/>
    <mergeCell ref="E68:F68"/>
    <mergeCell ref="E60:F60"/>
    <mergeCell ref="E61:F61"/>
    <mergeCell ref="E62:F62"/>
    <mergeCell ref="E63:F63"/>
    <mergeCell ref="E64:F64"/>
    <mergeCell ref="E65:F65"/>
    <mergeCell ref="E59:F59"/>
    <mergeCell ref="F33:F34"/>
    <mergeCell ref="G33:G34"/>
    <mergeCell ref="G35:G39"/>
    <mergeCell ref="A30:D30"/>
    <mergeCell ref="A33:A34"/>
    <mergeCell ref="B33:B34"/>
    <mergeCell ref="C33:C34"/>
    <mergeCell ref="D33:D34"/>
    <mergeCell ref="E33:E34"/>
    <mergeCell ref="A40:D40"/>
    <mergeCell ref="A45:B45"/>
    <mergeCell ref="A50:B50"/>
    <mergeCell ref="A57:F57"/>
    <mergeCell ref="E58:F58"/>
    <mergeCell ref="E22:E23"/>
    <mergeCell ref="A1:A2"/>
    <mergeCell ref="B1:B2"/>
    <mergeCell ref="C1:C2"/>
    <mergeCell ref="D1:D2"/>
    <mergeCell ref="A19:C19"/>
    <mergeCell ref="A22:A23"/>
    <mergeCell ref="B22:B23"/>
    <mergeCell ref="C22:C23"/>
    <mergeCell ref="D22:D23"/>
  </mergeCells>
  <dataValidations count="1">
    <dataValidation operator="equal" allowBlank="1" showErrorMessage="1" sqref="D35:D39 D24:D29" xr:uid="{9DCCA9BB-E110-4957-8B42-3CCF83924BC5}">
      <formula1>0</formula1>
      <formula2>0</formula2>
    </dataValidation>
  </dataValidations>
  <pageMargins left="0.51180555555555496" right="0.51180555555555496" top="0.78749999999999998" bottom="0.78749999999999998" header="0.51180555555555496" footer="0.51180555555555496"/>
  <pageSetup paperSize="9" scale="72" firstPageNumber="0" fitToHeight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C2A1F-F3AF-4D46-9F28-D00D0CE67640}">
  <sheetPr>
    <tabColor rgb="FFFFFFFF"/>
    <pageSetUpPr fitToPage="1"/>
  </sheetPr>
  <dimension ref="A1:IW68"/>
  <sheetViews>
    <sheetView showGridLines="0" topLeftCell="A37" zoomScale="90" zoomScaleNormal="90" workbookViewId="0">
      <selection activeCell="B59" sqref="B59:B66"/>
    </sheetView>
  </sheetViews>
  <sheetFormatPr defaultRowHeight="12.75" x14ac:dyDescent="0.2"/>
  <cols>
    <col min="1" max="1" width="55.5703125" style="284" customWidth="1"/>
    <col min="2" max="2" width="28.85546875" style="284" customWidth="1"/>
    <col min="3" max="4" width="20.42578125" style="284" customWidth="1"/>
    <col min="5" max="5" width="23.85546875" style="284" customWidth="1"/>
    <col min="6" max="6" width="24" style="284" customWidth="1"/>
    <col min="7" max="7" width="15.7109375" style="284" customWidth="1"/>
    <col min="8" max="8" width="12.85546875" style="284" customWidth="1"/>
    <col min="9" max="257" width="9.140625" style="284"/>
    <col min="258" max="16384" width="9.140625" style="283"/>
  </cols>
  <sheetData>
    <row r="1" spans="1:9" s="284" customFormat="1" ht="14.1" customHeight="1" x14ac:dyDescent="0.2">
      <c r="A1" s="794" t="s">
        <v>408</v>
      </c>
      <c r="B1" s="794" t="s">
        <v>244</v>
      </c>
      <c r="C1" s="794" t="s">
        <v>245</v>
      </c>
      <c r="D1" s="794" t="s">
        <v>246</v>
      </c>
      <c r="E1" s="283"/>
      <c r="F1" s="283"/>
      <c r="G1" s="283"/>
      <c r="H1" s="283"/>
      <c r="I1" s="283"/>
    </row>
    <row r="2" spans="1:9" s="284" customFormat="1" x14ac:dyDescent="0.2">
      <c r="A2" s="794"/>
      <c r="B2" s="816"/>
      <c r="C2" s="794"/>
      <c r="D2" s="794"/>
      <c r="E2" s="283"/>
      <c r="F2" s="283"/>
      <c r="G2" s="283"/>
      <c r="H2" s="283"/>
      <c r="I2" s="283"/>
    </row>
    <row r="3" spans="1:9" s="284" customFormat="1" ht="18" customHeight="1" x14ac:dyDescent="0.2">
      <c r="A3" s="350" t="s">
        <v>346</v>
      </c>
      <c r="B3" s="290">
        <v>4</v>
      </c>
      <c r="C3" s="316">
        <f t="shared" ref="C3:C18" si="0">D3/B3</f>
        <v>0</v>
      </c>
      <c r="D3" s="317">
        <v>0</v>
      </c>
      <c r="E3" s="283"/>
      <c r="F3" s="283"/>
      <c r="G3" s="283"/>
      <c r="H3" s="283"/>
      <c r="I3" s="283"/>
    </row>
    <row r="4" spans="1:9" s="284" customFormat="1" ht="21" customHeight="1" x14ac:dyDescent="0.2">
      <c r="A4" s="292" t="s">
        <v>248</v>
      </c>
      <c r="B4" s="294">
        <v>4</v>
      </c>
      <c r="C4" s="287">
        <f t="shared" si="0"/>
        <v>0</v>
      </c>
      <c r="D4" s="317">
        <v>0</v>
      </c>
      <c r="E4" s="283"/>
      <c r="F4" s="283"/>
      <c r="G4" s="283"/>
      <c r="H4" s="283"/>
      <c r="I4" s="283"/>
    </row>
    <row r="5" spans="1:9" ht="19.149999999999999" customHeight="1" x14ac:dyDescent="0.2">
      <c r="A5" s="288" t="s">
        <v>395</v>
      </c>
      <c r="B5" s="290">
        <v>5</v>
      </c>
      <c r="C5" s="404">
        <v>0</v>
      </c>
      <c r="D5" s="317">
        <v>0</v>
      </c>
      <c r="E5" s="283"/>
      <c r="F5" s="283"/>
      <c r="G5" s="283"/>
      <c r="H5" s="283"/>
      <c r="I5" s="283"/>
    </row>
    <row r="6" spans="1:9" s="284" customFormat="1" ht="19.149999999999999" customHeight="1" x14ac:dyDescent="0.2">
      <c r="A6" s="351" t="s">
        <v>362</v>
      </c>
      <c r="B6" s="294">
        <v>2</v>
      </c>
      <c r="C6" s="287">
        <f t="shared" si="0"/>
        <v>0</v>
      </c>
      <c r="D6" s="317">
        <v>0</v>
      </c>
      <c r="E6" s="283"/>
      <c r="F6" s="283"/>
      <c r="G6" s="283"/>
      <c r="H6" s="283"/>
      <c r="I6" s="283"/>
    </row>
    <row r="7" spans="1:9" s="284" customFormat="1" ht="34.5" customHeight="1" x14ac:dyDescent="0.2">
      <c r="A7" s="351" t="s">
        <v>363</v>
      </c>
      <c r="B7" s="352">
        <v>2</v>
      </c>
      <c r="C7" s="316">
        <f t="shared" si="0"/>
        <v>0</v>
      </c>
      <c r="D7" s="317">
        <v>0</v>
      </c>
      <c r="E7" s="283"/>
      <c r="F7" s="283"/>
      <c r="G7" s="283"/>
      <c r="H7" s="283"/>
      <c r="I7" s="283"/>
    </row>
    <row r="8" spans="1:9" s="284" customFormat="1" ht="29.25" customHeight="1" x14ac:dyDescent="0.2">
      <c r="A8" s="353" t="s">
        <v>252</v>
      </c>
      <c r="B8" s="290">
        <v>2</v>
      </c>
      <c r="C8" s="287">
        <f t="shared" si="0"/>
        <v>0</v>
      </c>
      <c r="D8" s="317">
        <v>0</v>
      </c>
      <c r="E8" s="283"/>
      <c r="F8" s="283"/>
      <c r="G8" s="283"/>
      <c r="H8" s="283"/>
      <c r="I8" s="283"/>
    </row>
    <row r="9" spans="1:9" s="284" customFormat="1" ht="42" customHeight="1" x14ac:dyDescent="0.2">
      <c r="A9" s="350" t="s">
        <v>349</v>
      </c>
      <c r="B9" s="354">
        <v>1</v>
      </c>
      <c r="C9" s="316">
        <f t="shared" si="0"/>
        <v>0</v>
      </c>
      <c r="D9" s="317">
        <v>0</v>
      </c>
      <c r="E9" s="283"/>
      <c r="F9" s="283"/>
      <c r="G9" s="283"/>
      <c r="H9" s="283"/>
      <c r="I9" s="283"/>
    </row>
    <row r="10" spans="1:9" s="284" customFormat="1" ht="42" customHeight="1" x14ac:dyDescent="0.2">
      <c r="A10" s="355" t="s">
        <v>356</v>
      </c>
      <c r="B10" s="290">
        <v>2</v>
      </c>
      <c r="C10" s="287">
        <f t="shared" si="0"/>
        <v>0</v>
      </c>
      <c r="D10" s="317">
        <v>0</v>
      </c>
      <c r="E10" s="283"/>
      <c r="F10" s="283"/>
      <c r="G10" s="283"/>
      <c r="H10" s="283"/>
      <c r="I10" s="283"/>
    </row>
    <row r="11" spans="1:9" s="284" customFormat="1" ht="21.6" customHeight="1" x14ac:dyDescent="0.2">
      <c r="A11" s="288" t="s">
        <v>364</v>
      </c>
      <c r="B11" s="293">
        <v>2</v>
      </c>
      <c r="C11" s="287">
        <f t="shared" si="0"/>
        <v>0</v>
      </c>
      <c r="D11" s="317">
        <v>0</v>
      </c>
      <c r="E11" s="283"/>
      <c r="F11" s="283"/>
      <c r="G11" s="283"/>
      <c r="H11" s="283"/>
      <c r="I11" s="283"/>
    </row>
    <row r="12" spans="1:9" s="284" customFormat="1" ht="36.4" customHeight="1" x14ac:dyDescent="0.2">
      <c r="A12" s="288" t="s">
        <v>352</v>
      </c>
      <c r="B12" s="286">
        <v>1</v>
      </c>
      <c r="C12" s="287">
        <f t="shared" si="0"/>
        <v>0</v>
      </c>
      <c r="D12" s="317">
        <v>0</v>
      </c>
      <c r="E12" s="283"/>
      <c r="F12" s="283"/>
      <c r="G12" s="283"/>
      <c r="H12" s="283"/>
      <c r="I12" s="283"/>
    </row>
    <row r="13" spans="1:9" s="284" customFormat="1" ht="40.5" customHeight="1" x14ac:dyDescent="0.2">
      <c r="A13" s="295" t="s">
        <v>353</v>
      </c>
      <c r="B13" s="290">
        <v>1</v>
      </c>
      <c r="C13" s="287">
        <f t="shared" si="0"/>
        <v>0</v>
      </c>
      <c r="D13" s="317">
        <v>0</v>
      </c>
      <c r="E13" s="283"/>
      <c r="F13" s="283"/>
      <c r="G13" s="283"/>
      <c r="H13" s="283"/>
      <c r="I13" s="283"/>
    </row>
    <row r="14" spans="1:9" s="284" customFormat="1" ht="19.899999999999999" customHeight="1" x14ac:dyDescent="0.2">
      <c r="A14" s="295" t="s">
        <v>365</v>
      </c>
      <c r="B14" s="293">
        <v>50</v>
      </c>
      <c r="C14" s="287">
        <f t="shared" si="0"/>
        <v>0</v>
      </c>
      <c r="D14" s="317">
        <v>0</v>
      </c>
      <c r="E14" s="283"/>
      <c r="F14" s="283"/>
      <c r="G14" s="283"/>
      <c r="H14" s="283"/>
      <c r="I14" s="283"/>
    </row>
    <row r="15" spans="1:9" s="284" customFormat="1" ht="21.6" customHeight="1" x14ac:dyDescent="0.2">
      <c r="A15" s="288" t="s">
        <v>366</v>
      </c>
      <c r="B15" s="294">
        <v>50</v>
      </c>
      <c r="C15" s="287">
        <f t="shared" si="0"/>
        <v>0</v>
      </c>
      <c r="D15" s="317">
        <v>0</v>
      </c>
      <c r="E15" s="283"/>
      <c r="F15" s="283"/>
      <c r="G15" s="283"/>
      <c r="H15" s="283"/>
      <c r="I15" s="283"/>
    </row>
    <row r="16" spans="1:9" s="284" customFormat="1" ht="55.5" customHeight="1" x14ac:dyDescent="0.2">
      <c r="A16" s="356" t="s">
        <v>269</v>
      </c>
      <c r="B16" s="357">
        <v>6</v>
      </c>
      <c r="C16" s="287">
        <f t="shared" si="0"/>
        <v>0</v>
      </c>
      <c r="D16" s="317">
        <v>0</v>
      </c>
      <c r="E16" s="283"/>
      <c r="F16" s="283"/>
      <c r="G16" s="283"/>
      <c r="H16" s="283"/>
      <c r="I16" s="283"/>
    </row>
    <row r="17" spans="1:9" s="284" customFormat="1" ht="51" x14ac:dyDescent="0.2">
      <c r="A17" s="297" t="s">
        <v>270</v>
      </c>
      <c r="B17" s="286">
        <v>6</v>
      </c>
      <c r="C17" s="287">
        <f t="shared" si="0"/>
        <v>0</v>
      </c>
      <c r="D17" s="317">
        <v>0</v>
      </c>
      <c r="E17" s="283"/>
      <c r="F17" s="283"/>
      <c r="G17" s="283"/>
      <c r="H17" s="283"/>
      <c r="I17" s="283"/>
    </row>
    <row r="18" spans="1:9" s="284" customFormat="1" ht="15" x14ac:dyDescent="0.2">
      <c r="A18" s="297" t="s">
        <v>370</v>
      </c>
      <c r="B18" s="294">
        <v>1</v>
      </c>
      <c r="C18" s="287">
        <f t="shared" si="0"/>
        <v>0</v>
      </c>
      <c r="D18" s="317">
        <v>0</v>
      </c>
      <c r="E18" s="283"/>
      <c r="F18" s="283"/>
      <c r="G18" s="283"/>
      <c r="H18" s="283"/>
      <c r="I18" s="283"/>
    </row>
    <row r="19" spans="1:9" s="284" customFormat="1" ht="13.35" customHeight="1" x14ac:dyDescent="0.2">
      <c r="A19" s="794" t="s">
        <v>272</v>
      </c>
      <c r="B19" s="794"/>
      <c r="C19" s="794"/>
      <c r="D19" s="298">
        <f>SUM(D3:D18)</f>
        <v>0</v>
      </c>
      <c r="E19" s="283"/>
      <c r="F19" s="283"/>
      <c r="G19" s="283"/>
      <c r="H19" s="283"/>
      <c r="I19" s="283"/>
    </row>
    <row r="20" spans="1:9" s="284" customFormat="1" x14ac:dyDescent="0.2">
      <c r="A20" s="283"/>
      <c r="B20" s="283"/>
      <c r="C20" s="283"/>
      <c r="D20" s="283"/>
      <c r="E20" s="283"/>
      <c r="F20" s="283"/>
      <c r="G20" s="283"/>
      <c r="H20" s="283"/>
      <c r="I20" s="283"/>
    </row>
    <row r="21" spans="1:9" s="284" customFormat="1" x14ac:dyDescent="0.2">
      <c r="A21" s="283"/>
      <c r="B21" s="283"/>
      <c r="C21" s="283"/>
      <c r="D21" s="283"/>
      <c r="E21" s="283"/>
      <c r="F21" s="283"/>
      <c r="G21" s="283"/>
      <c r="H21" s="283"/>
      <c r="I21" s="283"/>
    </row>
    <row r="22" spans="1:9" s="284" customFormat="1" ht="12.75" customHeight="1" x14ac:dyDescent="0.25">
      <c r="A22" s="795" t="s">
        <v>273</v>
      </c>
      <c r="B22" s="795" t="s">
        <v>274</v>
      </c>
      <c r="C22" s="794" t="s">
        <v>275</v>
      </c>
      <c r="D22" s="794" t="s">
        <v>245</v>
      </c>
      <c r="E22" s="794" t="s">
        <v>276</v>
      </c>
      <c r="F22"/>
      <c r="G22"/>
      <c r="H22"/>
      <c r="I22"/>
    </row>
    <row r="23" spans="1:9" s="284" customFormat="1" ht="15" x14ac:dyDescent="0.25">
      <c r="A23" s="798"/>
      <c r="B23" s="798"/>
      <c r="C23" s="798"/>
      <c r="D23" s="795"/>
      <c r="E23" s="794"/>
      <c r="F23"/>
      <c r="G23"/>
      <c r="H23"/>
      <c r="I23"/>
    </row>
    <row r="24" spans="1:9" s="284" customFormat="1" ht="15" x14ac:dyDescent="0.25">
      <c r="A24" s="288" t="s">
        <v>278</v>
      </c>
      <c r="B24" s="299" t="s">
        <v>219</v>
      </c>
      <c r="C24" s="358">
        <v>1</v>
      </c>
      <c r="D24" s="303">
        <f t="shared" ref="D24:D29" si="1">E24/C24</f>
        <v>0</v>
      </c>
      <c r="E24" s="318">
        <v>0</v>
      </c>
      <c r="F24"/>
      <c r="G24"/>
      <c r="H24"/>
      <c r="I24"/>
    </row>
    <row r="25" spans="1:9" s="284" customFormat="1" ht="15" x14ac:dyDescent="0.25">
      <c r="A25" s="288" t="s">
        <v>285</v>
      </c>
      <c r="B25" s="299" t="s">
        <v>219</v>
      </c>
      <c r="C25" s="291">
        <v>1</v>
      </c>
      <c r="D25" s="303">
        <f t="shared" si="1"/>
        <v>0</v>
      </c>
      <c r="E25" s="318">
        <v>0</v>
      </c>
      <c r="F25"/>
      <c r="G25"/>
      <c r="H25"/>
      <c r="I25"/>
    </row>
    <row r="26" spans="1:9" s="284" customFormat="1" ht="15" x14ac:dyDescent="0.25">
      <c r="A26" s="288" t="s">
        <v>367</v>
      </c>
      <c r="B26" s="299" t="s">
        <v>219</v>
      </c>
      <c r="C26" s="354">
        <v>1</v>
      </c>
      <c r="D26" s="303">
        <f t="shared" si="1"/>
        <v>0</v>
      </c>
      <c r="E26" s="318">
        <v>0</v>
      </c>
      <c r="F26"/>
      <c r="G26"/>
      <c r="H26"/>
      <c r="I26"/>
    </row>
    <row r="27" spans="1:9" s="284" customFormat="1" ht="15" x14ac:dyDescent="0.25">
      <c r="A27" s="288" t="s">
        <v>368</v>
      </c>
      <c r="B27" s="299" t="s">
        <v>219</v>
      </c>
      <c r="C27" s="290">
        <v>1</v>
      </c>
      <c r="D27" s="300">
        <f t="shared" si="1"/>
        <v>0</v>
      </c>
      <c r="E27" s="318">
        <v>0</v>
      </c>
      <c r="F27"/>
      <c r="G27"/>
      <c r="H27"/>
      <c r="I27"/>
    </row>
    <row r="28" spans="1:9" s="284" customFormat="1" ht="15" x14ac:dyDescent="0.25">
      <c r="A28" s="285" t="s">
        <v>293</v>
      </c>
      <c r="B28" s="359" t="s">
        <v>219</v>
      </c>
      <c r="C28" s="290">
        <v>1</v>
      </c>
      <c r="D28" s="303">
        <f t="shared" si="1"/>
        <v>0</v>
      </c>
      <c r="E28" s="318">
        <v>0</v>
      </c>
      <c r="F28"/>
      <c r="G28"/>
      <c r="H28"/>
      <c r="I28"/>
    </row>
    <row r="29" spans="1:9" s="284" customFormat="1" ht="38.25" x14ac:dyDescent="0.25">
      <c r="A29" s="288" t="s">
        <v>292</v>
      </c>
      <c r="B29" s="299" t="s">
        <v>219</v>
      </c>
      <c r="C29" s="290">
        <v>1</v>
      </c>
      <c r="D29" s="303">
        <f t="shared" si="1"/>
        <v>0</v>
      </c>
      <c r="E29" s="318">
        <v>0</v>
      </c>
      <c r="F29"/>
      <c r="G29"/>
      <c r="H29"/>
      <c r="I29"/>
    </row>
    <row r="30" spans="1:9" s="284" customFormat="1" ht="14.1" customHeight="1" x14ac:dyDescent="0.2">
      <c r="A30" s="795" t="s">
        <v>275</v>
      </c>
      <c r="B30" s="795"/>
      <c r="C30" s="795"/>
      <c r="D30" s="794"/>
      <c r="E30" s="298">
        <f>SUM(E24:E29)</f>
        <v>0</v>
      </c>
      <c r="F30" s="283"/>
      <c r="G30" s="283"/>
      <c r="H30" s="283"/>
      <c r="I30" s="283"/>
    </row>
    <row r="31" spans="1:9" s="284" customFormat="1" x14ac:dyDescent="0.2">
      <c r="A31" s="283"/>
      <c r="B31" s="283"/>
      <c r="C31" s="283"/>
      <c r="D31" s="283"/>
      <c r="E31" s="283"/>
      <c r="F31" s="283"/>
      <c r="G31" s="283"/>
      <c r="H31" s="283"/>
      <c r="I31" s="283"/>
    </row>
    <row r="32" spans="1:9" s="284" customFormat="1" x14ac:dyDescent="0.2">
      <c r="A32" s="283"/>
      <c r="B32" s="283"/>
      <c r="C32" s="283"/>
      <c r="D32" s="283"/>
      <c r="E32" s="283"/>
      <c r="F32" s="283"/>
      <c r="G32" s="283"/>
      <c r="H32" s="283"/>
      <c r="I32" s="283"/>
    </row>
    <row r="33" spans="1:9" s="284" customFormat="1" ht="39" customHeight="1" x14ac:dyDescent="0.25">
      <c r="A33" s="795" t="s">
        <v>295</v>
      </c>
      <c r="B33" s="795" t="s">
        <v>274</v>
      </c>
      <c r="C33" s="795" t="s">
        <v>275</v>
      </c>
      <c r="D33" s="795" t="s">
        <v>245</v>
      </c>
      <c r="E33" s="794" t="s">
        <v>276</v>
      </c>
      <c r="F33" s="794" t="s">
        <v>277</v>
      </c>
      <c r="G33" s="794" t="s">
        <v>296</v>
      </c>
      <c r="H33"/>
      <c r="I33"/>
    </row>
    <row r="34" spans="1:9" s="284" customFormat="1" ht="15" x14ac:dyDescent="0.25">
      <c r="A34" s="795"/>
      <c r="B34" s="795"/>
      <c r="C34" s="795"/>
      <c r="D34" s="795"/>
      <c r="E34" s="794" t="s">
        <v>276</v>
      </c>
      <c r="F34" s="794"/>
      <c r="G34" s="794"/>
      <c r="H34"/>
      <c r="I34"/>
    </row>
    <row r="35" spans="1:9" s="284" customFormat="1" ht="25.5" x14ac:dyDescent="0.25">
      <c r="A35" s="304" t="s">
        <v>298</v>
      </c>
      <c r="B35" s="302" t="s">
        <v>219</v>
      </c>
      <c r="C35" s="354">
        <v>1</v>
      </c>
      <c r="D35" s="303">
        <f>E35/C35</f>
        <v>0</v>
      </c>
      <c r="E35" s="318">
        <v>0</v>
      </c>
      <c r="F35" s="348">
        <f>E35*10%</f>
        <v>0</v>
      </c>
      <c r="G35" s="807">
        <f>SUM(F35:F39)/12</f>
        <v>0</v>
      </c>
      <c r="H35"/>
      <c r="I35"/>
    </row>
    <row r="36" spans="1:9" s="284" customFormat="1" ht="25.5" x14ac:dyDescent="0.25">
      <c r="A36" s="288" t="s">
        <v>299</v>
      </c>
      <c r="B36" s="302" t="s">
        <v>219</v>
      </c>
      <c r="C36" s="290">
        <v>1</v>
      </c>
      <c r="D36" s="303">
        <f>E36/C36</f>
        <v>0</v>
      </c>
      <c r="E36" s="318">
        <v>0</v>
      </c>
      <c r="F36" s="348">
        <f t="shared" ref="F36:F39" si="2">E36*10%</f>
        <v>0</v>
      </c>
      <c r="G36" s="808"/>
      <c r="H36"/>
      <c r="I36"/>
    </row>
    <row r="37" spans="1:9" s="284" customFormat="1" ht="25.5" x14ac:dyDescent="0.25">
      <c r="A37" s="361" t="s">
        <v>359</v>
      </c>
      <c r="B37" s="299" t="s">
        <v>219</v>
      </c>
      <c r="C37" s="290">
        <v>2</v>
      </c>
      <c r="D37" s="300">
        <f>E37/C37</f>
        <v>0</v>
      </c>
      <c r="E37" s="318">
        <v>0</v>
      </c>
      <c r="F37" s="348">
        <f t="shared" si="2"/>
        <v>0</v>
      </c>
      <c r="G37" s="808"/>
      <c r="H37"/>
      <c r="I37"/>
    </row>
    <row r="38" spans="1:9" s="284" customFormat="1" ht="25.5" x14ac:dyDescent="0.25">
      <c r="A38" s="361" t="s">
        <v>304</v>
      </c>
      <c r="B38" s="299" t="s">
        <v>219</v>
      </c>
      <c r="C38" s="290">
        <v>3</v>
      </c>
      <c r="D38" s="303">
        <f>E38/C38</f>
        <v>0</v>
      </c>
      <c r="E38" s="318">
        <v>0</v>
      </c>
      <c r="F38" s="348">
        <f t="shared" si="2"/>
        <v>0</v>
      </c>
      <c r="G38" s="808"/>
      <c r="H38"/>
      <c r="I38"/>
    </row>
    <row r="39" spans="1:9" s="284" customFormat="1" ht="15" x14ac:dyDescent="0.25">
      <c r="A39" s="362" t="s">
        <v>396</v>
      </c>
      <c r="B39" s="363" t="s">
        <v>219</v>
      </c>
      <c r="C39" s="364">
        <v>4</v>
      </c>
      <c r="D39" s="303">
        <v>0</v>
      </c>
      <c r="E39" s="318">
        <v>0</v>
      </c>
      <c r="F39" s="348">
        <f t="shared" si="2"/>
        <v>0</v>
      </c>
      <c r="G39" s="809"/>
      <c r="H39"/>
      <c r="I39"/>
    </row>
    <row r="40" spans="1:9" s="284" customFormat="1" ht="14.1" customHeight="1" x14ac:dyDescent="0.2">
      <c r="A40" s="795" t="s">
        <v>275</v>
      </c>
      <c r="B40" s="795"/>
      <c r="C40" s="795"/>
      <c r="D40" s="794"/>
      <c r="E40" s="298">
        <f>SUM(E33:E39)</f>
        <v>0</v>
      </c>
      <c r="F40" s="283"/>
    </row>
    <row r="41" spans="1:9" s="284" customFormat="1" x14ac:dyDescent="0.2">
      <c r="A41" s="283"/>
      <c r="B41" s="283"/>
      <c r="C41" s="283"/>
      <c r="D41" s="283"/>
      <c r="E41" s="283"/>
      <c r="F41" s="283"/>
    </row>
    <row r="42" spans="1:9" s="284" customFormat="1" x14ac:dyDescent="0.2">
      <c r="A42" s="283"/>
      <c r="B42" s="283"/>
      <c r="C42" s="283"/>
      <c r="D42" s="283"/>
      <c r="E42" s="283"/>
      <c r="F42" s="283"/>
    </row>
    <row r="43" spans="1:9" s="284" customFormat="1" x14ac:dyDescent="0.2">
      <c r="A43" s="283"/>
      <c r="B43" s="283"/>
      <c r="C43" s="283"/>
      <c r="D43" s="283"/>
      <c r="E43" s="283"/>
      <c r="F43" s="283"/>
    </row>
    <row r="44" spans="1:9" s="284" customFormat="1" ht="13.5" thickBot="1" x14ac:dyDescent="0.25">
      <c r="A44" s="283"/>
      <c r="B44" s="283"/>
      <c r="C44" s="283"/>
      <c r="D44" s="283"/>
      <c r="E44" s="283"/>
      <c r="F44" s="283"/>
    </row>
    <row r="45" spans="1:9" s="284" customFormat="1" ht="14.1" customHeight="1" thickBot="1" x14ac:dyDescent="0.25">
      <c r="A45" s="810" t="s">
        <v>207</v>
      </c>
      <c r="B45" s="810"/>
      <c r="C45" s="283"/>
      <c r="D45" s="283"/>
      <c r="E45" s="283"/>
      <c r="F45" s="283"/>
    </row>
    <row r="46" spans="1:9" s="284" customFormat="1" ht="13.5" thickBot="1" x14ac:dyDescent="0.25">
      <c r="A46" s="307" t="s">
        <v>310</v>
      </c>
      <c r="B46" s="308">
        <f>D19</f>
        <v>0</v>
      </c>
      <c r="C46" s="283"/>
      <c r="D46" s="283"/>
      <c r="E46" s="283"/>
      <c r="F46" s="283"/>
    </row>
    <row r="47" spans="1:9" s="284" customFormat="1" ht="13.5" thickBot="1" x14ac:dyDescent="0.25">
      <c r="A47" s="307" t="s">
        <v>311</v>
      </c>
      <c r="B47" s="309">
        <f>E30/6</f>
        <v>0</v>
      </c>
      <c r="C47" s="283"/>
      <c r="D47" s="283"/>
      <c r="E47" s="283"/>
      <c r="F47" s="283"/>
    </row>
    <row r="48" spans="1:9" s="284" customFormat="1" ht="13.5" thickBot="1" x14ac:dyDescent="0.25">
      <c r="A48" s="307" t="s">
        <v>312</v>
      </c>
      <c r="B48" s="309">
        <f>G35</f>
        <v>0</v>
      </c>
      <c r="C48" s="283"/>
      <c r="D48" s="283"/>
      <c r="E48" s="283"/>
      <c r="F48" s="283"/>
    </row>
    <row r="49" spans="1:6" s="284" customFormat="1" ht="13.5" thickBot="1" x14ac:dyDescent="0.25">
      <c r="A49" s="283"/>
      <c r="B49" s="283"/>
      <c r="C49" s="283"/>
      <c r="D49" s="283"/>
      <c r="E49" s="283"/>
      <c r="F49" s="283"/>
    </row>
    <row r="50" spans="1:6" s="284" customFormat="1" ht="13.35" customHeight="1" thickBot="1" x14ac:dyDescent="0.25">
      <c r="A50" s="810" t="s">
        <v>313</v>
      </c>
      <c r="B50" s="810"/>
      <c r="C50" s="283"/>
      <c r="D50" s="283"/>
      <c r="E50" s="283"/>
      <c r="F50" s="283"/>
    </row>
    <row r="51" spans="1:6" s="284" customFormat="1" ht="13.5" thickBot="1" x14ac:dyDescent="0.25">
      <c r="A51" s="307" t="s">
        <v>314</v>
      </c>
      <c r="B51" s="310">
        <f>SUM('[2]Quadro Resumo Grupo 1'!F7)</f>
        <v>1</v>
      </c>
      <c r="C51" s="283"/>
      <c r="D51" s="283"/>
      <c r="E51" s="283"/>
      <c r="F51" s="283"/>
    </row>
    <row r="52" spans="1:6" s="284" customFormat="1" ht="13.5" thickBot="1" x14ac:dyDescent="0.25">
      <c r="A52" s="307" t="s">
        <v>310</v>
      </c>
      <c r="B52" s="309">
        <f>B46/B51</f>
        <v>0</v>
      </c>
      <c r="C52" s="283"/>
      <c r="D52" s="283"/>
      <c r="E52" s="283"/>
      <c r="F52" s="283"/>
    </row>
    <row r="53" spans="1:6" s="284" customFormat="1" ht="13.5" thickBot="1" x14ac:dyDescent="0.25">
      <c r="A53" s="307" t="s">
        <v>311</v>
      </c>
      <c r="B53" s="309">
        <f>B47/B51</f>
        <v>0</v>
      </c>
      <c r="C53" s="283"/>
      <c r="D53" s="283"/>
      <c r="E53" s="283"/>
      <c r="F53" s="283"/>
    </row>
    <row r="54" spans="1:6" s="284" customFormat="1" ht="13.5" thickBot="1" x14ac:dyDescent="0.25">
      <c r="A54" s="307" t="s">
        <v>312</v>
      </c>
      <c r="B54" s="309">
        <f>B48/B51</f>
        <v>0</v>
      </c>
      <c r="C54" s="283"/>
      <c r="D54" s="283"/>
      <c r="E54" s="283"/>
      <c r="F54" s="283"/>
    </row>
    <row r="55" spans="1:6" s="284" customFormat="1" x14ac:dyDescent="0.2">
      <c r="A55" s="283"/>
      <c r="B55" s="283"/>
      <c r="C55" s="283"/>
      <c r="D55" s="283"/>
      <c r="E55" s="283"/>
      <c r="F55" s="283"/>
    </row>
    <row r="56" spans="1:6" s="284" customFormat="1" ht="13.5" thickBot="1" x14ac:dyDescent="0.25">
      <c r="A56" s="283"/>
      <c r="B56" s="283"/>
      <c r="C56" s="283"/>
      <c r="D56" s="283"/>
      <c r="E56" s="283"/>
      <c r="F56" s="283"/>
    </row>
    <row r="57" spans="1:6" s="284" customFormat="1" ht="14.1" customHeight="1" thickTop="1" thickBot="1" x14ac:dyDescent="0.25">
      <c r="A57" s="813" t="s">
        <v>315</v>
      </c>
      <c r="B57" s="813"/>
      <c r="C57" s="813"/>
      <c r="D57" s="813"/>
      <c r="E57" s="813"/>
      <c r="F57" s="813"/>
    </row>
    <row r="58" spans="1:6" s="284" customFormat="1" ht="14.1" customHeight="1" thickTop="1" thickBot="1" x14ac:dyDescent="0.25">
      <c r="A58" s="311" t="s">
        <v>208</v>
      </c>
      <c r="B58" s="311" t="s">
        <v>316</v>
      </c>
      <c r="C58" s="311" t="s">
        <v>317</v>
      </c>
      <c r="D58" s="311" t="s">
        <v>318</v>
      </c>
      <c r="E58" s="814" t="s">
        <v>319</v>
      </c>
      <c r="F58" s="814"/>
    </row>
    <row r="59" spans="1:6" s="284" customFormat="1" ht="15.75" thickBot="1" x14ac:dyDescent="0.25">
      <c r="A59" s="312" t="s">
        <v>320</v>
      </c>
      <c r="B59" s="360">
        <v>0</v>
      </c>
      <c r="C59" s="312">
        <v>12</v>
      </c>
      <c r="D59" s="312">
        <v>2</v>
      </c>
      <c r="E59" s="811">
        <f t="shared" ref="E59:E67" si="3">ROUND(B59*D59/C59,2)</f>
        <v>0</v>
      </c>
      <c r="F59" s="811"/>
    </row>
    <row r="60" spans="1:6" s="284" customFormat="1" ht="15.75" thickBot="1" x14ac:dyDescent="0.25">
      <c r="A60" s="312" t="s">
        <v>321</v>
      </c>
      <c r="B60" s="360">
        <v>0</v>
      </c>
      <c r="C60" s="312">
        <v>12</v>
      </c>
      <c r="D60" s="312">
        <v>2</v>
      </c>
      <c r="E60" s="811">
        <f t="shared" si="3"/>
        <v>0</v>
      </c>
      <c r="F60" s="811"/>
    </row>
    <row r="61" spans="1:6" s="284" customFormat="1" ht="15.75" thickBot="1" x14ac:dyDescent="0.25">
      <c r="A61" s="312" t="s">
        <v>322</v>
      </c>
      <c r="B61" s="360">
        <v>0</v>
      </c>
      <c r="C61" s="312">
        <v>12</v>
      </c>
      <c r="D61" s="312">
        <v>1</v>
      </c>
      <c r="E61" s="811">
        <f t="shared" si="3"/>
        <v>0</v>
      </c>
      <c r="F61" s="811"/>
    </row>
    <row r="62" spans="1:6" s="284" customFormat="1" ht="15.75" thickBot="1" x14ac:dyDescent="0.25">
      <c r="A62" s="312" t="s">
        <v>323</v>
      </c>
      <c r="B62" s="360">
        <v>0</v>
      </c>
      <c r="C62" s="312">
        <v>12</v>
      </c>
      <c r="D62" s="312">
        <v>4</v>
      </c>
      <c r="E62" s="811">
        <f t="shared" si="3"/>
        <v>0</v>
      </c>
      <c r="F62" s="811"/>
    </row>
    <row r="63" spans="1:6" s="284" customFormat="1" ht="15.75" thickBot="1" x14ac:dyDescent="0.25">
      <c r="A63" s="312" t="s">
        <v>324</v>
      </c>
      <c r="B63" s="360">
        <v>0</v>
      </c>
      <c r="C63" s="312">
        <v>12</v>
      </c>
      <c r="D63" s="312">
        <v>1</v>
      </c>
      <c r="E63" s="811">
        <f t="shared" si="3"/>
        <v>0</v>
      </c>
      <c r="F63" s="811"/>
    </row>
    <row r="64" spans="1:6" s="284" customFormat="1" ht="15.75" thickBot="1" x14ac:dyDescent="0.25">
      <c r="A64" s="312" t="s">
        <v>325</v>
      </c>
      <c r="B64" s="360">
        <v>0</v>
      </c>
      <c r="C64" s="312">
        <v>12</v>
      </c>
      <c r="D64" s="312">
        <v>1</v>
      </c>
      <c r="E64" s="811">
        <f t="shared" si="3"/>
        <v>0</v>
      </c>
      <c r="F64" s="811"/>
    </row>
    <row r="65" spans="1:6" s="284" customFormat="1" ht="15.75" thickBot="1" x14ac:dyDescent="0.25">
      <c r="A65" s="312" t="s">
        <v>326</v>
      </c>
      <c r="B65" s="360">
        <v>0</v>
      </c>
      <c r="C65" s="312">
        <v>6</v>
      </c>
      <c r="D65" s="312">
        <v>3</v>
      </c>
      <c r="E65" s="811">
        <f t="shared" si="3"/>
        <v>0</v>
      </c>
      <c r="F65" s="811"/>
    </row>
    <row r="66" spans="1:6" s="284" customFormat="1" ht="15.75" thickBot="1" x14ac:dyDescent="0.25">
      <c r="A66" s="312" t="s">
        <v>327</v>
      </c>
      <c r="B66" s="360">
        <v>0</v>
      </c>
      <c r="C66" s="312">
        <v>12</v>
      </c>
      <c r="D66" s="312">
        <v>1</v>
      </c>
      <c r="E66" s="811">
        <f t="shared" si="3"/>
        <v>0</v>
      </c>
      <c r="F66" s="811"/>
    </row>
    <row r="67" spans="1:6" s="284" customFormat="1" ht="15.75" thickBot="1" x14ac:dyDescent="0.25">
      <c r="A67" s="312" t="s">
        <v>87</v>
      </c>
      <c r="B67" s="313"/>
      <c r="C67" s="312"/>
      <c r="D67" s="312"/>
      <c r="E67" s="811" t="e">
        <f t="shared" si="3"/>
        <v>#DIV/0!</v>
      </c>
      <c r="F67" s="811"/>
    </row>
    <row r="68" spans="1:6" s="284" customFormat="1" ht="13.5" thickBot="1" x14ac:dyDescent="0.25">
      <c r="A68" s="314"/>
      <c r="B68" s="314"/>
      <c r="C68" s="314"/>
      <c r="D68" s="315" t="s">
        <v>328</v>
      </c>
      <c r="E68" s="815">
        <f>SUM(E59:E66)</f>
        <v>0</v>
      </c>
      <c r="F68" s="815"/>
    </row>
  </sheetData>
  <mergeCells count="34">
    <mergeCell ref="A1:A2"/>
    <mergeCell ref="B1:B2"/>
    <mergeCell ref="C1:C2"/>
    <mergeCell ref="D1:D2"/>
    <mergeCell ref="A19:C19"/>
    <mergeCell ref="A22:A23"/>
    <mergeCell ref="B22:B23"/>
    <mergeCell ref="C22:C23"/>
    <mergeCell ref="D22:D23"/>
    <mergeCell ref="E22:E23"/>
    <mergeCell ref="A30:D30"/>
    <mergeCell ref="A33:A34"/>
    <mergeCell ref="B33:B34"/>
    <mergeCell ref="C33:C34"/>
    <mergeCell ref="D33:D34"/>
    <mergeCell ref="E33:E34"/>
    <mergeCell ref="F33:F34"/>
    <mergeCell ref="G33:G34"/>
    <mergeCell ref="G35:G39"/>
    <mergeCell ref="A40:D40"/>
    <mergeCell ref="A45:B45"/>
    <mergeCell ref="A50:B50"/>
    <mergeCell ref="A57:F57"/>
    <mergeCell ref="E58:F58"/>
    <mergeCell ref="E59:F59"/>
    <mergeCell ref="E66:F66"/>
    <mergeCell ref="E67:F67"/>
    <mergeCell ref="E68:F68"/>
    <mergeCell ref="E60:F60"/>
    <mergeCell ref="E61:F61"/>
    <mergeCell ref="E62:F62"/>
    <mergeCell ref="E63:F63"/>
    <mergeCell ref="E64:F64"/>
    <mergeCell ref="E65:F65"/>
  </mergeCells>
  <dataValidations count="1">
    <dataValidation operator="equal" allowBlank="1" showErrorMessage="1" sqref="D35:D39 D24:D29" xr:uid="{C019C994-99F2-41F0-9B54-E3357D640E7C}">
      <formula1>0</formula1>
      <formula2>0</formula2>
    </dataValidation>
  </dataValidations>
  <pageMargins left="0.51180555555555496" right="0.51180555555555496" top="0.78749999999999998" bottom="0.78749999999999998" header="0.51180555555555496" footer="0.51180555555555496"/>
  <pageSetup paperSize="9" scale="72" firstPageNumber="0" fitToHeight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8079B-27B4-440A-B443-112FB31CDC1A}">
  <sheetPr>
    <tabColor rgb="FFFFFFFF"/>
    <pageSetUpPr fitToPage="1"/>
  </sheetPr>
  <dimension ref="A1:IW68"/>
  <sheetViews>
    <sheetView showGridLines="0" topLeftCell="A43" zoomScale="90" zoomScaleNormal="90" workbookViewId="0">
      <selection activeCell="B59" sqref="B59:B66"/>
    </sheetView>
  </sheetViews>
  <sheetFormatPr defaultRowHeight="12.75" x14ac:dyDescent="0.2"/>
  <cols>
    <col min="1" max="1" width="55.5703125" style="284" customWidth="1"/>
    <col min="2" max="2" width="28.85546875" style="284" customWidth="1"/>
    <col min="3" max="4" width="20.42578125" style="284" customWidth="1"/>
    <col min="5" max="5" width="23.85546875" style="284" customWidth="1"/>
    <col min="6" max="6" width="24" style="284" customWidth="1"/>
    <col min="7" max="7" width="15.7109375" style="284" customWidth="1"/>
    <col min="8" max="8" width="12.85546875" style="284" customWidth="1"/>
    <col min="9" max="257" width="9.140625" style="284"/>
    <col min="258" max="16384" width="9.140625" style="283"/>
  </cols>
  <sheetData>
    <row r="1" spans="1:9" ht="14.1" customHeight="1" x14ac:dyDescent="0.2">
      <c r="A1" s="794" t="s">
        <v>409</v>
      </c>
      <c r="B1" s="794" t="s">
        <v>244</v>
      </c>
      <c r="C1" s="794" t="s">
        <v>245</v>
      </c>
      <c r="D1" s="794" t="s">
        <v>246</v>
      </c>
      <c r="E1" s="283"/>
      <c r="F1" s="283"/>
      <c r="G1" s="283"/>
      <c r="H1" s="283"/>
      <c r="I1" s="283"/>
    </row>
    <row r="2" spans="1:9" x14ac:dyDescent="0.2">
      <c r="A2" s="794"/>
      <c r="B2" s="816"/>
      <c r="C2" s="794"/>
      <c r="D2" s="794"/>
      <c r="E2" s="283"/>
      <c r="F2" s="283"/>
      <c r="G2" s="283"/>
      <c r="H2" s="283"/>
      <c r="I2" s="283"/>
    </row>
    <row r="3" spans="1:9" ht="18" customHeight="1" x14ac:dyDescent="0.2">
      <c r="A3" s="350" t="s">
        <v>346</v>
      </c>
      <c r="B3" s="290">
        <v>4</v>
      </c>
      <c r="C3" s="316">
        <f t="shared" ref="C3:C18" si="0">D3/B3</f>
        <v>0</v>
      </c>
      <c r="D3" s="317">
        <v>0</v>
      </c>
      <c r="E3" s="283"/>
      <c r="F3" s="283"/>
      <c r="G3" s="283"/>
      <c r="H3" s="283"/>
      <c r="I3" s="283"/>
    </row>
    <row r="4" spans="1:9" ht="21" customHeight="1" x14ac:dyDescent="0.2">
      <c r="A4" s="292" t="s">
        <v>248</v>
      </c>
      <c r="B4" s="294">
        <v>2</v>
      </c>
      <c r="C4" s="287">
        <f t="shared" si="0"/>
        <v>0</v>
      </c>
      <c r="D4" s="317">
        <v>0</v>
      </c>
      <c r="E4" s="283"/>
      <c r="F4" s="283"/>
      <c r="G4" s="283"/>
      <c r="H4" s="283"/>
      <c r="I4" s="283"/>
    </row>
    <row r="5" spans="1:9" ht="19.149999999999999" customHeight="1" x14ac:dyDescent="0.2">
      <c r="A5" s="288" t="s">
        <v>395</v>
      </c>
      <c r="B5" s="290">
        <v>2</v>
      </c>
      <c r="C5" s="404">
        <v>0</v>
      </c>
      <c r="D5" s="317">
        <v>0</v>
      </c>
      <c r="E5" s="283"/>
      <c r="F5" s="283"/>
      <c r="G5" s="283"/>
      <c r="H5" s="283"/>
      <c r="I5" s="283"/>
    </row>
    <row r="6" spans="1:9" ht="19.149999999999999" customHeight="1" x14ac:dyDescent="0.2">
      <c r="A6" s="351" t="s">
        <v>362</v>
      </c>
      <c r="B6" s="294">
        <v>2</v>
      </c>
      <c r="C6" s="287">
        <f t="shared" si="0"/>
        <v>0</v>
      </c>
      <c r="D6" s="317">
        <v>0</v>
      </c>
      <c r="E6" s="283"/>
      <c r="F6" s="283"/>
      <c r="G6" s="283"/>
      <c r="H6" s="283"/>
      <c r="I6" s="283"/>
    </row>
    <row r="7" spans="1:9" ht="34.5" customHeight="1" x14ac:dyDescent="0.2">
      <c r="A7" s="351" t="s">
        <v>363</v>
      </c>
      <c r="B7" s="352">
        <v>2</v>
      </c>
      <c r="C7" s="316">
        <f t="shared" si="0"/>
        <v>0</v>
      </c>
      <c r="D7" s="317">
        <v>0</v>
      </c>
      <c r="E7" s="283"/>
      <c r="F7" s="283"/>
      <c r="G7" s="283"/>
      <c r="H7" s="283"/>
      <c r="I7" s="283"/>
    </row>
    <row r="8" spans="1:9" ht="29.25" customHeight="1" x14ac:dyDescent="0.2">
      <c r="A8" s="353" t="s">
        <v>252</v>
      </c>
      <c r="B8" s="290">
        <v>2</v>
      </c>
      <c r="C8" s="287">
        <f t="shared" si="0"/>
        <v>0</v>
      </c>
      <c r="D8" s="317">
        <v>0</v>
      </c>
      <c r="E8" s="283"/>
      <c r="F8" s="283"/>
      <c r="G8" s="283"/>
      <c r="H8" s="283"/>
      <c r="I8" s="283"/>
    </row>
    <row r="9" spans="1:9" ht="42" customHeight="1" x14ac:dyDescent="0.2">
      <c r="A9" s="350" t="s">
        <v>349</v>
      </c>
      <c r="B9" s="354">
        <v>1</v>
      </c>
      <c r="C9" s="316">
        <f t="shared" si="0"/>
        <v>0</v>
      </c>
      <c r="D9" s="317">
        <v>0</v>
      </c>
      <c r="E9" s="283"/>
      <c r="F9" s="283"/>
      <c r="G9" s="283"/>
      <c r="H9" s="283"/>
      <c r="I9" s="283"/>
    </row>
    <row r="10" spans="1:9" ht="42" customHeight="1" x14ac:dyDescent="0.2">
      <c r="A10" s="355" t="s">
        <v>356</v>
      </c>
      <c r="B10" s="290">
        <v>2</v>
      </c>
      <c r="C10" s="287">
        <f t="shared" si="0"/>
        <v>0</v>
      </c>
      <c r="D10" s="317">
        <v>0</v>
      </c>
      <c r="E10" s="283"/>
      <c r="F10" s="283"/>
      <c r="G10" s="283"/>
      <c r="H10" s="283"/>
      <c r="I10" s="283"/>
    </row>
    <row r="11" spans="1:9" ht="21.6" customHeight="1" x14ac:dyDescent="0.2">
      <c r="A11" s="288" t="s">
        <v>364</v>
      </c>
      <c r="B11" s="293">
        <v>2</v>
      </c>
      <c r="C11" s="287">
        <f t="shared" si="0"/>
        <v>0</v>
      </c>
      <c r="D11" s="317">
        <v>0</v>
      </c>
      <c r="E11" s="283"/>
      <c r="F11" s="283"/>
      <c r="G11" s="283"/>
      <c r="H11" s="283"/>
      <c r="I11" s="283"/>
    </row>
    <row r="12" spans="1:9" ht="36.4" customHeight="1" x14ac:dyDescent="0.2">
      <c r="A12" s="288" t="s">
        <v>352</v>
      </c>
      <c r="B12" s="286">
        <v>1</v>
      </c>
      <c r="C12" s="287">
        <f t="shared" si="0"/>
        <v>0</v>
      </c>
      <c r="D12" s="317">
        <v>0</v>
      </c>
      <c r="E12" s="283"/>
      <c r="F12" s="283"/>
      <c r="G12" s="283"/>
      <c r="H12" s="283"/>
      <c r="I12" s="283"/>
    </row>
    <row r="13" spans="1:9" ht="40.5" customHeight="1" x14ac:dyDescent="0.2">
      <c r="A13" s="295" t="s">
        <v>353</v>
      </c>
      <c r="B13" s="290">
        <v>1</v>
      </c>
      <c r="C13" s="287">
        <f t="shared" si="0"/>
        <v>0</v>
      </c>
      <c r="D13" s="317">
        <v>0</v>
      </c>
      <c r="E13" s="283"/>
      <c r="F13" s="283"/>
      <c r="G13" s="283"/>
      <c r="H13" s="283"/>
      <c r="I13" s="283"/>
    </row>
    <row r="14" spans="1:9" ht="19.899999999999999" customHeight="1" x14ac:dyDescent="0.2">
      <c r="A14" s="295" t="s">
        <v>365</v>
      </c>
      <c r="B14" s="293">
        <v>50</v>
      </c>
      <c r="C14" s="287">
        <f t="shared" si="0"/>
        <v>0</v>
      </c>
      <c r="D14" s="317">
        <v>0</v>
      </c>
      <c r="E14" s="283"/>
      <c r="F14" s="283"/>
      <c r="G14" s="283"/>
      <c r="H14" s="283"/>
      <c r="I14" s="283"/>
    </row>
    <row r="15" spans="1:9" ht="21.6" customHeight="1" x14ac:dyDescent="0.2">
      <c r="A15" s="288" t="s">
        <v>366</v>
      </c>
      <c r="B15" s="294">
        <v>50</v>
      </c>
      <c r="C15" s="287">
        <f t="shared" si="0"/>
        <v>0</v>
      </c>
      <c r="D15" s="317">
        <v>0</v>
      </c>
      <c r="E15" s="283"/>
      <c r="F15" s="283"/>
      <c r="G15" s="283"/>
      <c r="H15" s="283"/>
      <c r="I15" s="283"/>
    </row>
    <row r="16" spans="1:9" s="284" customFormat="1" ht="55.5" customHeight="1" x14ac:dyDescent="0.2">
      <c r="A16" s="356" t="s">
        <v>269</v>
      </c>
      <c r="B16" s="357">
        <v>4</v>
      </c>
      <c r="C16" s="287">
        <f t="shared" si="0"/>
        <v>0</v>
      </c>
      <c r="D16" s="317">
        <v>0</v>
      </c>
      <c r="E16" s="283"/>
      <c r="F16" s="283"/>
      <c r="G16" s="283"/>
      <c r="H16" s="283"/>
      <c r="I16" s="283"/>
    </row>
    <row r="17" spans="1:9" s="284" customFormat="1" ht="51" x14ac:dyDescent="0.2">
      <c r="A17" s="297" t="s">
        <v>270</v>
      </c>
      <c r="B17" s="286">
        <v>4</v>
      </c>
      <c r="C17" s="287">
        <f t="shared" si="0"/>
        <v>0</v>
      </c>
      <c r="D17" s="317">
        <v>0</v>
      </c>
      <c r="E17" s="283"/>
      <c r="F17" s="283"/>
      <c r="G17" s="283"/>
      <c r="H17" s="283"/>
      <c r="I17" s="283"/>
    </row>
    <row r="18" spans="1:9" s="284" customFormat="1" ht="15" x14ac:dyDescent="0.2">
      <c r="A18" s="297" t="s">
        <v>370</v>
      </c>
      <c r="B18" s="294">
        <v>1</v>
      </c>
      <c r="C18" s="287">
        <f t="shared" si="0"/>
        <v>0</v>
      </c>
      <c r="D18" s="317">
        <v>0</v>
      </c>
      <c r="E18" s="283"/>
      <c r="F18" s="283"/>
      <c r="G18" s="283"/>
      <c r="H18" s="283"/>
      <c r="I18" s="283"/>
    </row>
    <row r="19" spans="1:9" s="284" customFormat="1" ht="13.35" customHeight="1" x14ac:dyDescent="0.2">
      <c r="A19" s="794" t="s">
        <v>272</v>
      </c>
      <c r="B19" s="794"/>
      <c r="C19" s="794"/>
      <c r="D19" s="298">
        <f>SUM(D3:D18)</f>
        <v>0</v>
      </c>
      <c r="E19" s="283"/>
      <c r="F19" s="283"/>
      <c r="G19" s="283"/>
      <c r="H19" s="283"/>
      <c r="I19" s="283"/>
    </row>
    <row r="20" spans="1:9" s="284" customFormat="1" x14ac:dyDescent="0.2">
      <c r="A20" s="283"/>
      <c r="B20" s="283"/>
      <c r="C20" s="283"/>
      <c r="D20" s="283"/>
      <c r="E20" s="283"/>
      <c r="F20" s="283"/>
      <c r="G20" s="283"/>
      <c r="H20" s="283"/>
      <c r="I20" s="283"/>
    </row>
    <row r="21" spans="1:9" s="284" customFormat="1" x14ac:dyDescent="0.2">
      <c r="A21" s="283"/>
      <c r="B21" s="283"/>
      <c r="C21" s="283"/>
      <c r="D21" s="283"/>
      <c r="E21" s="283"/>
      <c r="F21" s="283"/>
      <c r="G21" s="283"/>
      <c r="H21" s="283"/>
      <c r="I21" s="283"/>
    </row>
    <row r="22" spans="1:9" s="284" customFormat="1" ht="12.75" customHeight="1" x14ac:dyDescent="0.25">
      <c r="A22" s="795" t="s">
        <v>273</v>
      </c>
      <c r="B22" s="795" t="s">
        <v>274</v>
      </c>
      <c r="C22" s="794" t="s">
        <v>275</v>
      </c>
      <c r="D22" s="794" t="s">
        <v>245</v>
      </c>
      <c r="E22" s="794" t="s">
        <v>276</v>
      </c>
      <c r="F22"/>
      <c r="G22"/>
      <c r="H22"/>
      <c r="I22"/>
    </row>
    <row r="23" spans="1:9" s="284" customFormat="1" ht="15" x14ac:dyDescent="0.25">
      <c r="A23" s="798"/>
      <c r="B23" s="798"/>
      <c r="C23" s="798"/>
      <c r="D23" s="795"/>
      <c r="E23" s="794"/>
      <c r="F23"/>
      <c r="G23"/>
      <c r="H23"/>
      <c r="I23"/>
    </row>
    <row r="24" spans="1:9" s="284" customFormat="1" ht="15" x14ac:dyDescent="0.25">
      <c r="A24" s="288" t="s">
        <v>278</v>
      </c>
      <c r="B24" s="299" t="s">
        <v>219</v>
      </c>
      <c r="C24" s="358">
        <v>1</v>
      </c>
      <c r="D24" s="303">
        <f>E24/C24</f>
        <v>0</v>
      </c>
      <c r="E24" s="318">
        <v>0</v>
      </c>
      <c r="F24"/>
      <c r="G24"/>
      <c r="H24"/>
      <c r="I24"/>
    </row>
    <row r="25" spans="1:9" s="284" customFormat="1" ht="15" x14ac:dyDescent="0.25">
      <c r="A25" s="288" t="s">
        <v>285</v>
      </c>
      <c r="B25" s="299" t="s">
        <v>219</v>
      </c>
      <c r="C25" s="291">
        <v>1</v>
      </c>
      <c r="D25" s="303">
        <f t="shared" ref="D25:D29" si="1">E25/C25</f>
        <v>0</v>
      </c>
      <c r="E25" s="318">
        <v>0</v>
      </c>
      <c r="F25"/>
      <c r="G25"/>
      <c r="H25"/>
      <c r="I25"/>
    </row>
    <row r="26" spans="1:9" s="284" customFormat="1" ht="15" x14ac:dyDescent="0.25">
      <c r="A26" s="288" t="s">
        <v>367</v>
      </c>
      <c r="B26" s="299" t="s">
        <v>219</v>
      </c>
      <c r="C26" s="354">
        <v>1</v>
      </c>
      <c r="D26" s="303">
        <f t="shared" si="1"/>
        <v>0</v>
      </c>
      <c r="E26" s="318">
        <v>0</v>
      </c>
      <c r="F26"/>
      <c r="G26"/>
      <c r="H26"/>
      <c r="I26"/>
    </row>
    <row r="27" spans="1:9" s="284" customFormat="1" ht="15" x14ac:dyDescent="0.25">
      <c r="A27" s="288" t="s">
        <v>368</v>
      </c>
      <c r="B27" s="299" t="s">
        <v>219</v>
      </c>
      <c r="C27" s="290">
        <v>1</v>
      </c>
      <c r="D27" s="300">
        <f t="shared" si="1"/>
        <v>0</v>
      </c>
      <c r="E27" s="318">
        <v>0</v>
      </c>
      <c r="F27"/>
      <c r="G27"/>
      <c r="H27"/>
      <c r="I27"/>
    </row>
    <row r="28" spans="1:9" s="284" customFormat="1" ht="15" x14ac:dyDescent="0.25">
      <c r="A28" s="285" t="s">
        <v>293</v>
      </c>
      <c r="B28" s="359" t="s">
        <v>219</v>
      </c>
      <c r="C28" s="291">
        <v>1</v>
      </c>
      <c r="D28" s="303">
        <f t="shared" si="1"/>
        <v>0</v>
      </c>
      <c r="E28" s="318">
        <v>0</v>
      </c>
      <c r="F28"/>
      <c r="G28"/>
      <c r="H28"/>
      <c r="I28"/>
    </row>
    <row r="29" spans="1:9" s="284" customFormat="1" ht="38.25" x14ac:dyDescent="0.25">
      <c r="A29" s="288" t="s">
        <v>292</v>
      </c>
      <c r="B29" s="299" t="s">
        <v>219</v>
      </c>
      <c r="C29" s="290">
        <v>1</v>
      </c>
      <c r="D29" s="303">
        <f t="shared" si="1"/>
        <v>0</v>
      </c>
      <c r="E29" s="318">
        <v>0</v>
      </c>
      <c r="F29"/>
      <c r="G29"/>
      <c r="H29"/>
      <c r="I29"/>
    </row>
    <row r="30" spans="1:9" s="284" customFormat="1" ht="14.1" customHeight="1" x14ac:dyDescent="0.2">
      <c r="A30" s="795" t="s">
        <v>275</v>
      </c>
      <c r="B30" s="795"/>
      <c r="C30" s="795"/>
      <c r="D30" s="794"/>
      <c r="E30" s="298">
        <f>SUM(E24:E29)</f>
        <v>0</v>
      </c>
      <c r="F30" s="283"/>
      <c r="G30" s="283"/>
      <c r="H30" s="283"/>
      <c r="I30" s="283"/>
    </row>
    <row r="31" spans="1:9" s="284" customFormat="1" x14ac:dyDescent="0.2">
      <c r="A31" s="283"/>
      <c r="B31" s="283"/>
      <c r="C31" s="283"/>
      <c r="D31" s="283"/>
      <c r="E31" s="283"/>
      <c r="F31" s="283"/>
      <c r="G31" s="283"/>
      <c r="H31" s="283"/>
      <c r="I31" s="283"/>
    </row>
    <row r="32" spans="1:9" s="284" customFormat="1" x14ac:dyDescent="0.2">
      <c r="A32" s="283"/>
      <c r="B32" s="283"/>
      <c r="C32" s="283"/>
      <c r="D32" s="283"/>
      <c r="E32" s="283"/>
      <c r="F32" s="283"/>
      <c r="G32" s="283"/>
      <c r="H32" s="283"/>
      <c r="I32" s="283"/>
    </row>
    <row r="33" spans="1:9" s="284" customFormat="1" ht="39" customHeight="1" x14ac:dyDescent="0.25">
      <c r="A33" s="795" t="s">
        <v>295</v>
      </c>
      <c r="B33" s="795" t="s">
        <v>274</v>
      </c>
      <c r="C33" s="795" t="s">
        <v>275</v>
      </c>
      <c r="D33" s="795" t="s">
        <v>245</v>
      </c>
      <c r="E33" s="795" t="s">
        <v>276</v>
      </c>
      <c r="F33" s="794" t="s">
        <v>277</v>
      </c>
      <c r="G33" s="794" t="s">
        <v>296</v>
      </c>
      <c r="H33"/>
      <c r="I33"/>
    </row>
    <row r="34" spans="1:9" s="284" customFormat="1" ht="15" x14ac:dyDescent="0.25">
      <c r="A34" s="795"/>
      <c r="B34" s="795"/>
      <c r="C34" s="795"/>
      <c r="D34" s="795"/>
      <c r="E34" s="795" t="s">
        <v>276</v>
      </c>
      <c r="F34" s="794"/>
      <c r="G34" s="794"/>
      <c r="H34"/>
      <c r="I34"/>
    </row>
    <row r="35" spans="1:9" s="284" customFormat="1" ht="25.5" x14ac:dyDescent="0.25">
      <c r="A35" s="304" t="s">
        <v>298</v>
      </c>
      <c r="B35" s="302" t="s">
        <v>219</v>
      </c>
      <c r="C35" s="354">
        <v>1</v>
      </c>
      <c r="D35" s="303">
        <f t="shared" ref="D35:D38" si="2">E35/C35</f>
        <v>0</v>
      </c>
      <c r="E35" s="318">
        <v>0</v>
      </c>
      <c r="F35" s="348">
        <f>E35*10%</f>
        <v>0</v>
      </c>
      <c r="G35" s="807">
        <f>SUM(F35:F39)/12</f>
        <v>0</v>
      </c>
      <c r="H35"/>
      <c r="I35"/>
    </row>
    <row r="36" spans="1:9" s="284" customFormat="1" ht="25.5" x14ac:dyDescent="0.25">
      <c r="A36" s="288" t="s">
        <v>299</v>
      </c>
      <c r="B36" s="302" t="s">
        <v>219</v>
      </c>
      <c r="C36" s="290">
        <v>1</v>
      </c>
      <c r="D36" s="303">
        <f t="shared" si="2"/>
        <v>0</v>
      </c>
      <c r="E36" s="318">
        <v>0</v>
      </c>
      <c r="F36" s="348">
        <f t="shared" ref="F36:F39" si="3">E36*10%</f>
        <v>0</v>
      </c>
      <c r="G36" s="808"/>
      <c r="H36"/>
      <c r="I36"/>
    </row>
    <row r="37" spans="1:9" s="284" customFormat="1" ht="25.5" x14ac:dyDescent="0.25">
      <c r="A37" s="361" t="s">
        <v>359</v>
      </c>
      <c r="B37" s="299" t="s">
        <v>219</v>
      </c>
      <c r="C37" s="290">
        <v>2</v>
      </c>
      <c r="D37" s="300">
        <f t="shared" si="2"/>
        <v>0</v>
      </c>
      <c r="E37" s="318">
        <v>0</v>
      </c>
      <c r="F37" s="348">
        <f t="shared" si="3"/>
        <v>0</v>
      </c>
      <c r="G37" s="808"/>
      <c r="H37"/>
      <c r="I37"/>
    </row>
    <row r="38" spans="1:9" s="284" customFormat="1" ht="25.5" x14ac:dyDescent="0.25">
      <c r="A38" s="361" t="s">
        <v>304</v>
      </c>
      <c r="B38" s="299" t="s">
        <v>219</v>
      </c>
      <c r="C38" s="290">
        <v>3</v>
      </c>
      <c r="D38" s="303">
        <f t="shared" si="2"/>
        <v>0</v>
      </c>
      <c r="E38" s="318">
        <v>0</v>
      </c>
      <c r="F38" s="348">
        <f t="shared" si="3"/>
        <v>0</v>
      </c>
      <c r="G38" s="808"/>
      <c r="H38"/>
      <c r="I38"/>
    </row>
    <row r="39" spans="1:9" s="284" customFormat="1" ht="15" x14ac:dyDescent="0.25">
      <c r="A39" s="362" t="s">
        <v>396</v>
      </c>
      <c r="B39" s="363" t="s">
        <v>219</v>
      </c>
      <c r="C39" s="364">
        <v>4</v>
      </c>
      <c r="D39" s="303">
        <v>0</v>
      </c>
      <c r="E39" s="318">
        <v>0</v>
      </c>
      <c r="F39" s="348">
        <f t="shared" si="3"/>
        <v>0</v>
      </c>
      <c r="G39" s="809"/>
      <c r="H39"/>
      <c r="I39"/>
    </row>
    <row r="40" spans="1:9" s="284" customFormat="1" ht="14.1" customHeight="1" x14ac:dyDescent="0.2">
      <c r="A40" s="795" t="s">
        <v>275</v>
      </c>
      <c r="B40" s="795"/>
      <c r="C40" s="795"/>
      <c r="D40" s="794"/>
      <c r="E40" s="298">
        <f>SUM(E33:E39)</f>
        <v>0</v>
      </c>
      <c r="F40" s="283"/>
    </row>
    <row r="41" spans="1:9" s="284" customFormat="1" x14ac:dyDescent="0.2">
      <c r="A41" s="283"/>
      <c r="B41" s="283"/>
      <c r="C41" s="283"/>
      <c r="D41" s="283"/>
      <c r="E41" s="283"/>
      <c r="F41" s="283"/>
    </row>
    <row r="42" spans="1:9" s="284" customFormat="1" x14ac:dyDescent="0.2">
      <c r="A42" s="283"/>
      <c r="B42" s="283"/>
      <c r="C42" s="283"/>
      <c r="D42" s="283"/>
      <c r="E42" s="283"/>
      <c r="F42" s="283"/>
    </row>
    <row r="43" spans="1:9" s="284" customFormat="1" x14ac:dyDescent="0.2">
      <c r="A43" s="283"/>
      <c r="B43" s="283"/>
      <c r="C43" s="283"/>
      <c r="D43" s="283"/>
      <c r="E43" s="283"/>
      <c r="F43" s="283"/>
    </row>
    <row r="44" spans="1:9" s="284" customFormat="1" ht="13.5" thickBot="1" x14ac:dyDescent="0.25">
      <c r="A44" s="283"/>
      <c r="B44" s="283"/>
      <c r="C44" s="283"/>
      <c r="D44" s="283"/>
      <c r="E44" s="283"/>
      <c r="F44" s="283"/>
    </row>
    <row r="45" spans="1:9" s="284" customFormat="1" ht="14.1" customHeight="1" thickBot="1" x14ac:dyDescent="0.25">
      <c r="A45" s="810" t="s">
        <v>207</v>
      </c>
      <c r="B45" s="810"/>
      <c r="C45" s="283"/>
      <c r="D45" s="283"/>
      <c r="E45" s="283"/>
      <c r="F45" s="283"/>
    </row>
    <row r="46" spans="1:9" s="284" customFormat="1" ht="13.5" thickBot="1" x14ac:dyDescent="0.25">
      <c r="A46" s="307" t="s">
        <v>310</v>
      </c>
      <c r="B46" s="308">
        <f>D19</f>
        <v>0</v>
      </c>
      <c r="C46" s="283"/>
      <c r="D46" s="283"/>
      <c r="E46" s="283"/>
      <c r="F46" s="283"/>
    </row>
    <row r="47" spans="1:9" s="284" customFormat="1" ht="13.5" thickBot="1" x14ac:dyDescent="0.25">
      <c r="A47" s="307" t="s">
        <v>311</v>
      </c>
      <c r="B47" s="309">
        <f>E30/6</f>
        <v>0</v>
      </c>
      <c r="C47" s="283"/>
      <c r="D47" s="283"/>
      <c r="E47" s="283"/>
      <c r="F47" s="283"/>
    </row>
    <row r="48" spans="1:9" s="284" customFormat="1" ht="13.5" thickBot="1" x14ac:dyDescent="0.25">
      <c r="A48" s="307" t="s">
        <v>312</v>
      </c>
      <c r="B48" s="309">
        <f>G35</f>
        <v>0</v>
      </c>
      <c r="C48" s="283"/>
      <c r="D48" s="283"/>
      <c r="E48" s="283"/>
      <c r="F48" s="283"/>
    </row>
    <row r="49" spans="1:6" s="284" customFormat="1" ht="13.5" thickBot="1" x14ac:dyDescent="0.25">
      <c r="A49" s="283"/>
      <c r="B49" s="283"/>
      <c r="C49" s="283"/>
      <c r="D49" s="283"/>
      <c r="E49" s="283"/>
      <c r="F49" s="283"/>
    </row>
    <row r="50" spans="1:6" s="284" customFormat="1" ht="13.35" customHeight="1" thickBot="1" x14ac:dyDescent="0.25">
      <c r="A50" s="810" t="s">
        <v>313</v>
      </c>
      <c r="B50" s="810"/>
      <c r="C50" s="283"/>
      <c r="D50" s="283"/>
      <c r="E50" s="283"/>
      <c r="F50" s="283"/>
    </row>
    <row r="51" spans="1:6" s="284" customFormat="1" ht="13.5" thickBot="1" x14ac:dyDescent="0.25">
      <c r="A51" s="307" t="s">
        <v>314</v>
      </c>
      <c r="B51" s="310">
        <f>SUM('[2]Quadro Resumo Grupo 1'!F7)</f>
        <v>1</v>
      </c>
      <c r="C51" s="283"/>
      <c r="D51" s="283"/>
      <c r="E51" s="283"/>
      <c r="F51" s="283"/>
    </row>
    <row r="52" spans="1:6" s="284" customFormat="1" ht="13.5" thickBot="1" x14ac:dyDescent="0.25">
      <c r="A52" s="307" t="s">
        <v>310</v>
      </c>
      <c r="B52" s="309">
        <f>B46/B51</f>
        <v>0</v>
      </c>
      <c r="C52" s="283"/>
      <c r="D52" s="283"/>
      <c r="E52" s="283"/>
      <c r="F52" s="283"/>
    </row>
    <row r="53" spans="1:6" s="284" customFormat="1" ht="13.5" thickBot="1" x14ac:dyDescent="0.25">
      <c r="A53" s="307" t="s">
        <v>311</v>
      </c>
      <c r="B53" s="309">
        <f>B47/B51</f>
        <v>0</v>
      </c>
      <c r="C53" s="283"/>
      <c r="D53" s="283"/>
      <c r="E53" s="283"/>
      <c r="F53" s="283"/>
    </row>
    <row r="54" spans="1:6" s="284" customFormat="1" ht="13.5" thickBot="1" x14ac:dyDescent="0.25">
      <c r="A54" s="307" t="s">
        <v>312</v>
      </c>
      <c r="B54" s="309">
        <f>B48/B51</f>
        <v>0</v>
      </c>
      <c r="C54" s="283"/>
      <c r="D54" s="283"/>
      <c r="E54" s="283"/>
      <c r="F54" s="283"/>
    </row>
    <row r="55" spans="1:6" s="284" customFormat="1" x14ac:dyDescent="0.2">
      <c r="A55" s="283"/>
      <c r="B55" s="283"/>
      <c r="C55" s="283"/>
      <c r="D55" s="283"/>
      <c r="E55" s="283"/>
      <c r="F55" s="283"/>
    </row>
    <row r="56" spans="1:6" s="284" customFormat="1" ht="13.5" thickBot="1" x14ac:dyDescent="0.25">
      <c r="A56" s="283"/>
      <c r="B56" s="283"/>
      <c r="C56" s="283"/>
      <c r="D56" s="283"/>
      <c r="E56" s="283"/>
      <c r="F56" s="283"/>
    </row>
    <row r="57" spans="1:6" s="284" customFormat="1" ht="14.1" customHeight="1" thickTop="1" thickBot="1" x14ac:dyDescent="0.25">
      <c r="A57" s="813" t="s">
        <v>315</v>
      </c>
      <c r="B57" s="813"/>
      <c r="C57" s="813"/>
      <c r="D57" s="813"/>
      <c r="E57" s="813"/>
      <c r="F57" s="813"/>
    </row>
    <row r="58" spans="1:6" s="284" customFormat="1" ht="14.1" customHeight="1" thickTop="1" thickBot="1" x14ac:dyDescent="0.25">
      <c r="A58" s="311" t="s">
        <v>208</v>
      </c>
      <c r="B58" s="311" t="s">
        <v>316</v>
      </c>
      <c r="C58" s="311" t="s">
        <v>317</v>
      </c>
      <c r="D58" s="311" t="s">
        <v>318</v>
      </c>
      <c r="E58" s="814" t="s">
        <v>319</v>
      </c>
      <c r="F58" s="814"/>
    </row>
    <row r="59" spans="1:6" s="284" customFormat="1" ht="15.75" thickBot="1" x14ac:dyDescent="0.25">
      <c r="A59" s="312" t="s">
        <v>320</v>
      </c>
      <c r="B59" s="360">
        <v>0</v>
      </c>
      <c r="C59" s="312">
        <v>12</v>
      </c>
      <c r="D59" s="312">
        <v>2</v>
      </c>
      <c r="E59" s="811">
        <f t="shared" ref="E59:E67" si="4">ROUND(B59*D59/C59,2)</f>
        <v>0</v>
      </c>
      <c r="F59" s="811"/>
    </row>
    <row r="60" spans="1:6" s="284" customFormat="1" ht="15.75" thickBot="1" x14ac:dyDescent="0.25">
      <c r="A60" s="312" t="s">
        <v>321</v>
      </c>
      <c r="B60" s="360">
        <v>0</v>
      </c>
      <c r="C60" s="312">
        <v>12</v>
      </c>
      <c r="D60" s="312">
        <v>2</v>
      </c>
      <c r="E60" s="811">
        <f t="shared" si="4"/>
        <v>0</v>
      </c>
      <c r="F60" s="811"/>
    </row>
    <row r="61" spans="1:6" s="284" customFormat="1" ht="15.75" thickBot="1" x14ac:dyDescent="0.25">
      <c r="A61" s="312" t="s">
        <v>322</v>
      </c>
      <c r="B61" s="360">
        <v>0</v>
      </c>
      <c r="C61" s="312">
        <v>12</v>
      </c>
      <c r="D61" s="312">
        <v>1</v>
      </c>
      <c r="E61" s="811">
        <f t="shared" si="4"/>
        <v>0</v>
      </c>
      <c r="F61" s="811"/>
    </row>
    <row r="62" spans="1:6" s="284" customFormat="1" ht="15.75" thickBot="1" x14ac:dyDescent="0.25">
      <c r="A62" s="312" t="s">
        <v>323</v>
      </c>
      <c r="B62" s="360">
        <v>0</v>
      </c>
      <c r="C62" s="312">
        <v>12</v>
      </c>
      <c r="D62" s="312">
        <v>4</v>
      </c>
      <c r="E62" s="811">
        <f t="shared" si="4"/>
        <v>0</v>
      </c>
      <c r="F62" s="811"/>
    </row>
    <row r="63" spans="1:6" s="284" customFormat="1" ht="15.75" thickBot="1" x14ac:dyDescent="0.25">
      <c r="A63" s="312" t="s">
        <v>324</v>
      </c>
      <c r="B63" s="360">
        <v>0</v>
      </c>
      <c r="C63" s="312">
        <v>12</v>
      </c>
      <c r="D63" s="312">
        <v>1</v>
      </c>
      <c r="E63" s="811">
        <f t="shared" si="4"/>
        <v>0</v>
      </c>
      <c r="F63" s="811"/>
    </row>
    <row r="64" spans="1:6" s="284" customFormat="1" ht="15.75" thickBot="1" x14ac:dyDescent="0.25">
      <c r="A64" s="312" t="s">
        <v>325</v>
      </c>
      <c r="B64" s="360">
        <v>0</v>
      </c>
      <c r="C64" s="312">
        <v>12</v>
      </c>
      <c r="D64" s="312">
        <v>1</v>
      </c>
      <c r="E64" s="811">
        <f t="shared" si="4"/>
        <v>0</v>
      </c>
      <c r="F64" s="811"/>
    </row>
    <row r="65" spans="1:6" s="284" customFormat="1" ht="15.75" thickBot="1" x14ac:dyDescent="0.25">
      <c r="A65" s="312" t="s">
        <v>326</v>
      </c>
      <c r="B65" s="360">
        <v>0</v>
      </c>
      <c r="C65" s="312">
        <v>6</v>
      </c>
      <c r="D65" s="312">
        <v>3</v>
      </c>
      <c r="E65" s="811">
        <f t="shared" si="4"/>
        <v>0</v>
      </c>
      <c r="F65" s="811"/>
    </row>
    <row r="66" spans="1:6" s="284" customFormat="1" ht="15.75" thickBot="1" x14ac:dyDescent="0.25">
      <c r="A66" s="312" t="s">
        <v>327</v>
      </c>
      <c r="B66" s="360">
        <v>0</v>
      </c>
      <c r="C66" s="312">
        <v>12</v>
      </c>
      <c r="D66" s="312">
        <v>1</v>
      </c>
      <c r="E66" s="811">
        <f t="shared" si="4"/>
        <v>0</v>
      </c>
      <c r="F66" s="811"/>
    </row>
    <row r="67" spans="1:6" s="284" customFormat="1" ht="15.75" thickBot="1" x14ac:dyDescent="0.25">
      <c r="A67" s="312" t="s">
        <v>87</v>
      </c>
      <c r="B67" s="313"/>
      <c r="C67" s="312"/>
      <c r="D67" s="312"/>
      <c r="E67" s="811" t="e">
        <f t="shared" si="4"/>
        <v>#DIV/0!</v>
      </c>
      <c r="F67" s="811"/>
    </row>
    <row r="68" spans="1:6" s="284" customFormat="1" ht="13.5" thickBot="1" x14ac:dyDescent="0.25">
      <c r="A68" s="314"/>
      <c r="B68" s="314"/>
      <c r="C68" s="314"/>
      <c r="D68" s="315" t="s">
        <v>328</v>
      </c>
      <c r="E68" s="815">
        <f>SUM(E59:E66)</f>
        <v>0</v>
      </c>
      <c r="F68" s="815"/>
    </row>
  </sheetData>
  <mergeCells count="34">
    <mergeCell ref="E66:F66"/>
    <mergeCell ref="E67:F67"/>
    <mergeCell ref="E68:F68"/>
    <mergeCell ref="E60:F60"/>
    <mergeCell ref="E61:F61"/>
    <mergeCell ref="E62:F62"/>
    <mergeCell ref="E63:F63"/>
    <mergeCell ref="E64:F64"/>
    <mergeCell ref="E65:F65"/>
    <mergeCell ref="E59:F59"/>
    <mergeCell ref="F33:F34"/>
    <mergeCell ref="G33:G34"/>
    <mergeCell ref="G35:G39"/>
    <mergeCell ref="A30:D30"/>
    <mergeCell ref="A33:A34"/>
    <mergeCell ref="B33:B34"/>
    <mergeCell ref="C33:C34"/>
    <mergeCell ref="D33:D34"/>
    <mergeCell ref="E33:E34"/>
    <mergeCell ref="A40:D40"/>
    <mergeCell ref="A45:B45"/>
    <mergeCell ref="A50:B50"/>
    <mergeCell ref="A57:F57"/>
    <mergeCell ref="E58:F58"/>
    <mergeCell ref="E22:E23"/>
    <mergeCell ref="A1:A2"/>
    <mergeCell ref="B1:B2"/>
    <mergeCell ref="C1:C2"/>
    <mergeCell ref="D1:D2"/>
    <mergeCell ref="A19:C19"/>
    <mergeCell ref="A22:A23"/>
    <mergeCell ref="B22:B23"/>
    <mergeCell ref="C22:C23"/>
    <mergeCell ref="D22:D23"/>
  </mergeCells>
  <dataValidations count="1">
    <dataValidation operator="equal" allowBlank="1" showErrorMessage="1" sqref="D35:D39 D24:D29" xr:uid="{4AD4F7C8-6FBA-404A-B857-694FA0B186B7}">
      <formula1>0</formula1>
      <formula2>0</formula2>
    </dataValidation>
  </dataValidations>
  <pageMargins left="0.51180555555555496" right="0.51180555555555496" top="0.78749999999999998" bottom="0.78749999999999998" header="0.51180555555555496" footer="0.51180555555555496"/>
  <pageSetup paperSize="9" scale="72" firstPageNumber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8EC8AC-5240-497D-A45B-1C8240CF2634}">
  <sheetPr>
    <pageSetUpPr fitToPage="1"/>
  </sheetPr>
  <dimension ref="A1:IV1048556"/>
  <sheetViews>
    <sheetView topLeftCell="A45" workbookViewId="0">
      <selection activeCell="K51" sqref="K51"/>
    </sheetView>
  </sheetViews>
  <sheetFormatPr defaultRowHeight="15.75" x14ac:dyDescent="0.2"/>
  <cols>
    <col min="1" max="10" width="12.42578125" style="3" customWidth="1"/>
    <col min="11" max="11" width="18.140625" style="3" bestFit="1" customWidth="1"/>
    <col min="12" max="12" width="18.28515625" style="3" customWidth="1"/>
    <col min="13" max="256" width="12.42578125" style="3" customWidth="1"/>
    <col min="257" max="1024" width="12.42578125" style="54" customWidth="1"/>
    <col min="1025" max="16384" width="9.140625" style="54"/>
  </cols>
  <sheetData>
    <row r="1" spans="1:11" s="3" customFormat="1" ht="21.75" customHeight="1" thickTop="1" thickBot="1" x14ac:dyDescent="0.3">
      <c r="A1" s="549" t="s">
        <v>0</v>
      </c>
      <c r="B1" s="549"/>
      <c r="C1" s="549"/>
      <c r="D1" s="549"/>
      <c r="E1" s="549"/>
      <c r="F1" s="549"/>
      <c r="G1" s="549"/>
      <c r="H1" s="549"/>
      <c r="I1" s="557"/>
      <c r="J1" s="1"/>
      <c r="K1" s="2"/>
    </row>
    <row r="2" spans="1:11" s="3" customFormat="1" ht="21.75" customHeight="1" thickTop="1" thickBot="1" x14ac:dyDescent="0.3">
      <c r="A2" s="662" t="s">
        <v>1</v>
      </c>
      <c r="B2" s="662"/>
      <c r="C2" s="662"/>
      <c r="D2" s="663" t="str">
        <f>'1 - Servente Sede'!D2:I2</f>
        <v>21036.001025/2019-10</v>
      </c>
      <c r="E2" s="663"/>
      <c r="F2" s="663"/>
      <c r="G2" s="663"/>
      <c r="H2" s="663"/>
      <c r="I2" s="664"/>
      <c r="J2" s="4"/>
      <c r="K2" s="5"/>
    </row>
    <row r="3" spans="1:11" s="3" customFormat="1" ht="21.75" customHeight="1" thickTop="1" thickBot="1" x14ac:dyDescent="0.3">
      <c r="A3" s="662" t="s">
        <v>2</v>
      </c>
      <c r="B3" s="662"/>
      <c r="C3" s="662"/>
      <c r="D3" s="665" t="str">
        <f>'1 - Servente Sede'!D3:I3</f>
        <v>Pregão Eletrônico nº XX/2020</v>
      </c>
      <c r="E3" s="665"/>
      <c r="F3" s="665"/>
      <c r="G3" s="665"/>
      <c r="H3" s="665"/>
      <c r="I3" s="666"/>
      <c r="J3" s="4"/>
      <c r="K3" s="5"/>
    </row>
    <row r="4" spans="1:11" s="3" customFormat="1" ht="21.75" customHeight="1" thickTop="1" thickBot="1" x14ac:dyDescent="0.3">
      <c r="A4" s="662" t="s">
        <v>3</v>
      </c>
      <c r="B4" s="662"/>
      <c r="C4" s="662"/>
      <c r="D4" s="667"/>
      <c r="E4" s="668"/>
      <c r="F4" s="669"/>
      <c r="G4" s="6" t="s">
        <v>4</v>
      </c>
      <c r="H4" s="670"/>
      <c r="I4" s="671"/>
      <c r="J4" s="4"/>
      <c r="K4" s="5"/>
    </row>
    <row r="5" spans="1:11" s="3" customFormat="1" ht="21.75" customHeight="1" thickTop="1" thickBot="1" x14ac:dyDescent="0.3">
      <c r="A5" s="654" t="s">
        <v>5</v>
      </c>
      <c r="B5" s="654"/>
      <c r="C5" s="654"/>
      <c r="D5" s="655" t="s">
        <v>226</v>
      </c>
      <c r="E5" s="655"/>
      <c r="F5" s="655"/>
      <c r="G5" s="655"/>
      <c r="H5" s="655"/>
      <c r="I5" s="655"/>
      <c r="J5" s="331"/>
      <c r="K5" s="5"/>
    </row>
    <row r="6" spans="1:11" s="3" customFormat="1" ht="21.75" customHeight="1" thickTop="1" thickBot="1" x14ac:dyDescent="0.3">
      <c r="A6" s="676"/>
      <c r="B6" s="677"/>
      <c r="C6" s="677"/>
      <c r="D6" s="677"/>
      <c r="E6" s="677"/>
      <c r="F6" s="677"/>
      <c r="G6" s="677"/>
      <c r="H6" s="677"/>
      <c r="I6" s="677"/>
      <c r="J6" s="677"/>
      <c r="K6" s="678"/>
    </row>
    <row r="7" spans="1:11" s="3" customFormat="1" ht="21.75" customHeight="1" thickTop="1" thickBot="1" x14ac:dyDescent="0.3">
      <c r="A7" s="332" t="s">
        <v>7</v>
      </c>
      <c r="B7" s="656" t="s">
        <v>8</v>
      </c>
      <c r="C7" s="656"/>
      <c r="D7" s="656"/>
      <c r="E7" s="656"/>
      <c r="F7" s="657" t="str">
        <f>'1 - Servente Sede'!F7:K7</f>
        <v>Recife/PE</v>
      </c>
      <c r="G7" s="657"/>
      <c r="H7" s="657"/>
      <c r="I7" s="657"/>
      <c r="J7" s="657"/>
      <c r="K7" s="657"/>
    </row>
    <row r="8" spans="1:11" s="3" customFormat="1" ht="21.75" customHeight="1" thickTop="1" thickBot="1" x14ac:dyDescent="0.3">
      <c r="A8" s="8" t="s">
        <v>7</v>
      </c>
      <c r="B8" s="9" t="s">
        <v>9</v>
      </c>
      <c r="C8" s="9"/>
      <c r="D8" s="9"/>
      <c r="E8" s="9"/>
      <c r="F8" s="9"/>
      <c r="G8" s="9"/>
      <c r="H8" s="9"/>
      <c r="I8" s="9"/>
      <c r="J8" s="9"/>
      <c r="K8" s="10">
        <v>12</v>
      </c>
    </row>
    <row r="9" spans="1:11" s="3" customFormat="1" ht="21.75" customHeight="1" thickTop="1" thickBot="1" x14ac:dyDescent="0.3">
      <c r="A9" s="8" t="s">
        <v>7</v>
      </c>
      <c r="B9" s="675" t="s">
        <v>10</v>
      </c>
      <c r="C9" s="626"/>
      <c r="D9" s="626"/>
      <c r="E9" s="626"/>
      <c r="F9" s="626"/>
      <c r="G9" s="626"/>
      <c r="H9" s="626"/>
      <c r="I9" s="672"/>
      <c r="J9" s="673"/>
      <c r="K9" s="674"/>
    </row>
    <row r="10" spans="1:11" s="3" customFormat="1" ht="21.75" customHeight="1" thickTop="1" thickBot="1" x14ac:dyDescent="0.3">
      <c r="A10" s="8" t="s">
        <v>7</v>
      </c>
      <c r="B10" s="11" t="s">
        <v>11</v>
      </c>
      <c r="C10" s="11"/>
      <c r="D10" s="11"/>
      <c r="E10" s="11"/>
      <c r="F10" s="11"/>
      <c r="G10" s="11"/>
      <c r="H10" s="11"/>
      <c r="I10" s="11"/>
      <c r="J10" s="11"/>
      <c r="K10" s="12" t="s">
        <v>12</v>
      </c>
    </row>
    <row r="11" spans="1:11" s="3" customFormat="1" ht="21.75" customHeight="1" thickTop="1" thickBot="1" x14ac:dyDescent="0.3">
      <c r="A11" s="8" t="s">
        <v>7</v>
      </c>
      <c r="B11" s="11" t="s">
        <v>13</v>
      </c>
      <c r="C11" s="11"/>
      <c r="D11" s="11"/>
      <c r="E11" s="11"/>
      <c r="F11" s="11"/>
      <c r="G11" s="11"/>
      <c r="H11" s="11"/>
      <c r="I11" s="11"/>
      <c r="J11" s="11"/>
      <c r="K11" s="13">
        <f>'Quantitativo de pessoal'!G14</f>
        <v>1</v>
      </c>
    </row>
    <row r="12" spans="1:11" s="3" customFormat="1" ht="21.75" customHeight="1" thickTop="1" thickBot="1" x14ac:dyDescent="0.3">
      <c r="A12" s="658" t="s">
        <v>14</v>
      </c>
      <c r="B12" s="659"/>
      <c r="C12" s="659"/>
      <c r="D12" s="659"/>
      <c r="E12" s="659"/>
      <c r="F12" s="659"/>
      <c r="G12" s="659"/>
      <c r="H12" s="659"/>
      <c r="I12" s="659"/>
      <c r="J12" s="659"/>
      <c r="K12" s="660"/>
    </row>
    <row r="13" spans="1:11" s="3" customFormat="1" ht="21.75" customHeight="1" thickTop="1" thickBot="1" x14ac:dyDescent="0.3">
      <c r="A13" s="661"/>
      <c r="B13" s="659"/>
      <c r="C13" s="659"/>
      <c r="D13" s="659"/>
      <c r="E13" s="659"/>
      <c r="F13" s="659"/>
      <c r="G13" s="659"/>
      <c r="H13" s="659"/>
      <c r="I13" s="659"/>
      <c r="J13" s="659"/>
      <c r="K13" s="660"/>
    </row>
    <row r="14" spans="1:11" s="3" customFormat="1" ht="21.75" customHeight="1" thickTop="1" thickBot="1" x14ac:dyDescent="0.3">
      <c r="A14" s="661"/>
      <c r="B14" s="659"/>
      <c r="C14" s="659"/>
      <c r="D14" s="659"/>
      <c r="E14" s="659"/>
      <c r="F14" s="659"/>
      <c r="G14" s="659"/>
      <c r="H14" s="659"/>
      <c r="I14" s="659"/>
      <c r="J14" s="659"/>
      <c r="K14" s="660"/>
    </row>
    <row r="15" spans="1:11" s="3" customFormat="1" ht="21.75" customHeight="1" thickTop="1" thickBot="1" x14ac:dyDescent="0.3">
      <c r="A15" s="557" t="s">
        <v>15</v>
      </c>
      <c r="B15" s="557"/>
      <c r="C15" s="557"/>
      <c r="D15" s="557"/>
      <c r="E15" s="557"/>
      <c r="F15" s="557"/>
      <c r="G15" s="557"/>
      <c r="H15" s="557"/>
      <c r="I15" s="557"/>
      <c r="J15" s="557"/>
      <c r="K15" s="557"/>
    </row>
    <row r="16" spans="1:11" s="3" customFormat="1" ht="21.75" customHeight="1" thickTop="1" thickBot="1" x14ac:dyDescent="0.3">
      <c r="A16" s="14">
        <v>1</v>
      </c>
      <c r="B16" s="11" t="s">
        <v>16</v>
      </c>
      <c r="C16" s="11"/>
      <c r="D16" s="11"/>
      <c r="E16" s="11"/>
      <c r="F16" s="11"/>
      <c r="G16" s="11"/>
      <c r="H16" s="11"/>
      <c r="I16" s="11"/>
      <c r="J16" s="11"/>
      <c r="K16" s="15"/>
    </row>
    <row r="17" spans="1:18" s="3" customFormat="1" ht="21.75" customHeight="1" thickTop="1" thickBot="1" x14ac:dyDescent="0.3">
      <c r="A17" s="14">
        <v>2</v>
      </c>
      <c r="B17" s="11" t="s">
        <v>17</v>
      </c>
      <c r="C17" s="11"/>
      <c r="D17" s="11"/>
      <c r="E17" s="11"/>
      <c r="F17" s="11"/>
      <c r="G17" s="11"/>
      <c r="H17" s="11"/>
      <c r="I17" s="11"/>
      <c r="J17" s="11"/>
      <c r="K17" s="16" t="s">
        <v>12</v>
      </c>
    </row>
    <row r="18" spans="1:18" s="3" customFormat="1" ht="21.75" customHeight="1" thickTop="1" thickBot="1" x14ac:dyDescent="0.3">
      <c r="A18" s="14">
        <v>3</v>
      </c>
      <c r="B18" s="11" t="s">
        <v>18</v>
      </c>
      <c r="C18" s="11"/>
      <c r="D18" s="11"/>
      <c r="E18" s="11"/>
      <c r="F18" s="11"/>
      <c r="G18" s="11"/>
      <c r="H18" s="11"/>
      <c r="I18" s="11"/>
      <c r="J18" s="11"/>
      <c r="K18" s="17">
        <v>43101</v>
      </c>
    </row>
    <row r="19" spans="1:18" s="3" customFormat="1" ht="21.75" customHeight="1" thickTop="1" thickBot="1" x14ac:dyDescent="0.3">
      <c r="A19" s="18">
        <v>4</v>
      </c>
      <c r="B19" s="633" t="s">
        <v>19</v>
      </c>
      <c r="C19" s="634"/>
      <c r="D19" s="634"/>
      <c r="E19" s="634"/>
      <c r="F19" s="634"/>
      <c r="G19" s="634"/>
      <c r="H19" s="634"/>
      <c r="I19" s="634"/>
      <c r="J19" s="634"/>
      <c r="K19" s="19" t="s">
        <v>331</v>
      </c>
    </row>
    <row r="20" spans="1:18" s="3" customFormat="1" ht="21.75" customHeight="1" thickTop="1" x14ac:dyDescent="0.25">
      <c r="A20" s="635" t="s">
        <v>20</v>
      </c>
      <c r="B20" s="636"/>
      <c r="C20" s="636"/>
      <c r="D20" s="636"/>
      <c r="E20" s="636"/>
      <c r="F20" s="636"/>
      <c r="G20" s="636"/>
      <c r="H20" s="636"/>
      <c r="I20" s="636"/>
      <c r="J20" s="636"/>
      <c r="K20" s="637"/>
    </row>
    <row r="21" spans="1:18" s="3" customFormat="1" ht="19.149999999999999" customHeight="1" thickBot="1" x14ac:dyDescent="0.3">
      <c r="A21" s="638"/>
      <c r="B21" s="639"/>
      <c r="C21" s="639"/>
      <c r="D21" s="639"/>
      <c r="E21" s="639"/>
      <c r="F21" s="639"/>
      <c r="G21" s="639"/>
      <c r="H21" s="639"/>
      <c r="I21" s="639"/>
      <c r="J21" s="639"/>
      <c r="K21" s="640"/>
    </row>
    <row r="22" spans="1:18" s="3" customFormat="1" ht="21.6" hidden="1" customHeight="1" x14ac:dyDescent="0.25">
      <c r="A22" s="641"/>
      <c r="B22" s="642"/>
      <c r="C22" s="642"/>
      <c r="D22" s="642"/>
      <c r="E22" s="642"/>
      <c r="F22" s="642"/>
      <c r="G22" s="642"/>
      <c r="H22" s="642"/>
      <c r="I22" s="642"/>
      <c r="J22" s="642"/>
      <c r="K22" s="643"/>
    </row>
    <row r="23" spans="1:18" s="3" customFormat="1" ht="21.75" customHeight="1" thickTop="1" thickBot="1" x14ac:dyDescent="0.3">
      <c r="A23" s="557" t="s">
        <v>21</v>
      </c>
      <c r="B23" s="557"/>
      <c r="C23" s="557"/>
      <c r="D23" s="557"/>
      <c r="E23" s="557"/>
      <c r="F23" s="557"/>
      <c r="G23" s="557"/>
      <c r="H23" s="557"/>
      <c r="I23" s="557"/>
      <c r="J23" s="557"/>
      <c r="K23" s="20" t="s">
        <v>22</v>
      </c>
      <c r="L23" s="21"/>
    </row>
    <row r="24" spans="1:18" s="3" customFormat="1" ht="21.75" customHeight="1" thickTop="1" thickBot="1" x14ac:dyDescent="0.3">
      <c r="A24" s="8" t="s">
        <v>23</v>
      </c>
      <c r="B24" s="11" t="s">
        <v>24</v>
      </c>
      <c r="C24" s="11"/>
      <c r="D24" s="11"/>
      <c r="E24" s="11"/>
      <c r="F24" s="11"/>
      <c r="G24" s="11"/>
      <c r="H24" s="11"/>
      <c r="I24" s="11"/>
      <c r="J24" s="22"/>
      <c r="K24" s="23">
        <f>K16</f>
        <v>0</v>
      </c>
    </row>
    <row r="25" spans="1:18" s="3" customFormat="1" ht="21.75" customHeight="1" thickTop="1" thickBot="1" x14ac:dyDescent="0.3">
      <c r="A25" s="8" t="s">
        <v>25</v>
      </c>
      <c r="B25" s="11" t="s">
        <v>26</v>
      </c>
      <c r="C25" s="11"/>
      <c r="D25" s="11"/>
      <c r="E25" s="11" t="s">
        <v>27</v>
      </c>
      <c r="F25" s="11"/>
      <c r="G25" s="11"/>
      <c r="H25" s="644">
        <v>0</v>
      </c>
      <c r="I25" s="645"/>
      <c r="J25" s="646"/>
      <c r="K25" s="23">
        <f>L27*H25</f>
        <v>0</v>
      </c>
    </row>
    <row r="26" spans="1:18" s="3" customFormat="1" ht="21.75" customHeight="1" thickTop="1" thickBot="1" x14ac:dyDescent="0.3">
      <c r="A26" s="549" t="s">
        <v>28</v>
      </c>
      <c r="B26" s="647" t="s">
        <v>29</v>
      </c>
      <c r="C26" s="648"/>
      <c r="D26" s="649"/>
      <c r="E26" s="11" t="s">
        <v>30</v>
      </c>
      <c r="F26" s="11"/>
      <c r="G26" s="11"/>
      <c r="H26" s="11"/>
      <c r="I26" s="11"/>
      <c r="J26" s="22"/>
      <c r="K26" s="653">
        <v>0</v>
      </c>
      <c r="L26"/>
      <c r="M26"/>
      <c r="N26"/>
      <c r="O26"/>
      <c r="P26"/>
      <c r="Q26"/>
      <c r="R26"/>
    </row>
    <row r="27" spans="1:18" s="3" customFormat="1" ht="21.75" customHeight="1" thickTop="1" thickBot="1" x14ac:dyDescent="0.3">
      <c r="A27" s="549"/>
      <c r="B27" s="650"/>
      <c r="C27" s="651"/>
      <c r="D27" s="652"/>
      <c r="E27" s="11" t="s">
        <v>31</v>
      </c>
      <c r="F27" s="11"/>
      <c r="G27" s="11"/>
      <c r="H27" s="11" t="s">
        <v>332</v>
      </c>
      <c r="I27" s="11"/>
      <c r="J27" s="22"/>
      <c r="K27" s="653"/>
      <c r="L27"/>
      <c r="M27"/>
      <c r="N27"/>
      <c r="O27"/>
      <c r="P27"/>
      <c r="Q27"/>
      <c r="R27"/>
    </row>
    <row r="28" spans="1:18" s="3" customFormat="1" ht="21.75" customHeight="1" thickTop="1" thickBot="1" x14ac:dyDescent="0.3">
      <c r="A28" s="8" t="s">
        <v>33</v>
      </c>
      <c r="B28" s="631" t="s">
        <v>34</v>
      </c>
      <c r="C28" s="631"/>
      <c r="D28" s="631"/>
      <c r="E28" s="631"/>
      <c r="F28" s="631"/>
      <c r="G28" s="631"/>
      <c r="H28" s="631"/>
      <c r="I28" s="631"/>
      <c r="J28" s="632"/>
      <c r="K28" s="23">
        <v>0</v>
      </c>
      <c r="L28"/>
      <c r="M28"/>
      <c r="N28"/>
      <c r="O28"/>
      <c r="P28"/>
      <c r="Q28"/>
      <c r="R28"/>
    </row>
    <row r="29" spans="1:18" s="3" customFormat="1" ht="21.75" customHeight="1" thickTop="1" thickBot="1" x14ac:dyDescent="0.3">
      <c r="A29" s="8" t="s">
        <v>35</v>
      </c>
      <c r="B29" s="626" t="s">
        <v>36</v>
      </c>
      <c r="C29" s="626"/>
      <c r="D29" s="626"/>
      <c r="E29" s="626"/>
      <c r="F29" s="626"/>
      <c r="G29" s="626"/>
      <c r="H29" s="626"/>
      <c r="I29" s="626"/>
      <c r="J29" s="627"/>
      <c r="K29" s="23">
        <v>0</v>
      </c>
      <c r="L29" s="24"/>
    </row>
    <row r="30" spans="1:18" s="3" customFormat="1" ht="21.75" customHeight="1" thickTop="1" thickBot="1" x14ac:dyDescent="0.3">
      <c r="A30" s="8" t="s">
        <v>37</v>
      </c>
      <c r="B30" s="626" t="s">
        <v>38</v>
      </c>
      <c r="C30" s="626"/>
      <c r="D30" s="626"/>
      <c r="E30" s="626"/>
      <c r="F30" s="626"/>
      <c r="G30" s="626"/>
      <c r="H30" s="626"/>
      <c r="I30" s="626"/>
      <c r="J30" s="627"/>
      <c r="K30" s="23">
        <v>0</v>
      </c>
    </row>
    <row r="31" spans="1:18" s="3" customFormat="1" ht="21.75" customHeight="1" thickTop="1" thickBot="1" x14ac:dyDescent="0.3">
      <c r="A31" s="8" t="s">
        <v>39</v>
      </c>
      <c r="B31" s="626" t="s">
        <v>40</v>
      </c>
      <c r="C31" s="626"/>
      <c r="D31" s="626"/>
      <c r="E31" s="626"/>
      <c r="F31" s="626"/>
      <c r="G31" s="626"/>
      <c r="H31" s="626"/>
      <c r="I31" s="626"/>
      <c r="J31" s="627"/>
      <c r="K31" s="23">
        <v>0</v>
      </c>
      <c r="O31" s="25"/>
    </row>
    <row r="32" spans="1:18" s="3" customFormat="1" ht="21.6" hidden="1" customHeight="1" x14ac:dyDescent="0.25">
      <c r="A32" s="628"/>
      <c r="B32" s="629"/>
      <c r="C32" s="629"/>
      <c r="D32" s="629"/>
      <c r="E32" s="629"/>
      <c r="F32" s="629"/>
      <c r="G32" s="629"/>
      <c r="H32" s="629"/>
      <c r="I32" s="629"/>
      <c r="J32" s="629"/>
      <c r="K32" s="630"/>
    </row>
    <row r="33" spans="1:13" s="3" customFormat="1" ht="21.75" customHeight="1" thickTop="1" thickBot="1" x14ac:dyDescent="0.3">
      <c r="A33" s="549" t="s">
        <v>41</v>
      </c>
      <c r="B33" s="550"/>
      <c r="C33" s="550"/>
      <c r="D33" s="550"/>
      <c r="E33" s="550"/>
      <c r="F33" s="550"/>
      <c r="G33" s="550"/>
      <c r="H33" s="550"/>
      <c r="I33" s="550"/>
      <c r="J33" s="560"/>
      <c r="K33" s="26">
        <f>SUM(K24:K31)</f>
        <v>0</v>
      </c>
      <c r="M33" s="24"/>
    </row>
    <row r="34" spans="1:13" s="3" customFormat="1" ht="21.75" customHeight="1" thickTop="1" x14ac:dyDescent="0.25">
      <c r="A34" s="565" t="s">
        <v>42</v>
      </c>
      <c r="B34" s="621"/>
      <c r="C34" s="621"/>
      <c r="D34" s="621"/>
      <c r="E34" s="621"/>
      <c r="F34" s="621"/>
      <c r="G34" s="621"/>
      <c r="H34" s="621"/>
      <c r="I34" s="621"/>
      <c r="J34" s="621"/>
      <c r="K34" s="622"/>
    </row>
    <row r="35" spans="1:13" s="3" customFormat="1" ht="32.450000000000003" customHeight="1" thickBot="1" x14ac:dyDescent="0.3">
      <c r="A35" s="623"/>
      <c r="B35" s="624"/>
      <c r="C35" s="624"/>
      <c r="D35" s="624"/>
      <c r="E35" s="624"/>
      <c r="F35" s="624"/>
      <c r="G35" s="624"/>
      <c r="H35" s="624"/>
      <c r="I35" s="624"/>
      <c r="J35" s="624"/>
      <c r="K35" s="625"/>
    </row>
    <row r="36" spans="1:13" s="3" customFormat="1" ht="21.75" customHeight="1" thickTop="1" thickBot="1" x14ac:dyDescent="0.3">
      <c r="A36" s="549" t="s">
        <v>43</v>
      </c>
      <c r="B36" s="549"/>
      <c r="C36" s="549"/>
      <c r="D36" s="549"/>
      <c r="E36" s="549"/>
      <c r="F36" s="549"/>
      <c r="G36" s="549"/>
      <c r="H36" s="549"/>
      <c r="I36" s="549"/>
      <c r="J36" s="549"/>
      <c r="K36" s="557"/>
    </row>
    <row r="37" spans="1:13" s="3" customFormat="1" ht="21.75" customHeight="1" thickTop="1" thickBot="1" x14ac:dyDescent="0.3">
      <c r="A37" s="549" t="s">
        <v>44</v>
      </c>
      <c r="B37" s="549"/>
      <c r="C37" s="549"/>
      <c r="D37" s="549"/>
      <c r="E37" s="549"/>
      <c r="F37" s="549"/>
      <c r="G37" s="549"/>
      <c r="H37" s="549"/>
      <c r="I37" s="549"/>
      <c r="J37" s="549"/>
      <c r="K37" s="557"/>
    </row>
    <row r="38" spans="1:13" s="3" customFormat="1" ht="21.75" customHeight="1" thickTop="1" thickBot="1" x14ac:dyDescent="0.3">
      <c r="A38" s="27" t="s">
        <v>23</v>
      </c>
      <c r="B38" s="619" t="s">
        <v>45</v>
      </c>
      <c r="C38" s="619"/>
      <c r="D38" s="619"/>
      <c r="E38" s="619"/>
      <c r="F38" s="619"/>
      <c r="G38" s="619"/>
      <c r="H38" s="619"/>
      <c r="I38" s="619"/>
      <c r="J38" s="28">
        <v>8.3299999999999999E-2</v>
      </c>
      <c r="K38" s="109">
        <f>K33*(1/12)</f>
        <v>0</v>
      </c>
      <c r="L38" s="29"/>
    </row>
    <row r="39" spans="1:13" s="3" customFormat="1" ht="21.75" customHeight="1" thickTop="1" thickBot="1" x14ac:dyDescent="0.3">
      <c r="A39" s="27" t="s">
        <v>25</v>
      </c>
      <c r="B39" s="619" t="s">
        <v>46</v>
      </c>
      <c r="C39" s="619"/>
      <c r="D39" s="619"/>
      <c r="E39" s="619"/>
      <c r="F39" s="619"/>
      <c r="G39" s="619"/>
      <c r="H39" s="619"/>
      <c r="I39" s="619"/>
      <c r="J39" s="28">
        <v>0.1111</v>
      </c>
      <c r="K39" s="109">
        <f>(K33*(1/12))+(K33*1/12*1/3)</f>
        <v>0</v>
      </c>
    </row>
    <row r="40" spans="1:13" s="3" customFormat="1" ht="21.75" customHeight="1" thickTop="1" thickBot="1" x14ac:dyDescent="0.3">
      <c r="A40" s="30"/>
      <c r="B40" s="620" t="s">
        <v>47</v>
      </c>
      <c r="C40" s="620"/>
      <c r="D40" s="620"/>
      <c r="E40" s="620"/>
      <c r="F40" s="620"/>
      <c r="G40" s="620"/>
      <c r="H40" s="620"/>
      <c r="I40" s="620"/>
      <c r="J40" s="31">
        <f>J38+J39</f>
        <v>0.19440000000000002</v>
      </c>
      <c r="K40" s="105">
        <f>ROUND(SUM(K38+K39),2)</f>
        <v>0</v>
      </c>
    </row>
    <row r="41" spans="1:13" s="3" customFormat="1" ht="21.75" customHeight="1" thickTop="1" x14ac:dyDescent="0.25">
      <c r="A41" s="565" t="s">
        <v>48</v>
      </c>
      <c r="B41" s="621"/>
      <c r="C41" s="621"/>
      <c r="D41" s="621"/>
      <c r="E41" s="621"/>
      <c r="F41" s="621"/>
      <c r="G41" s="621"/>
      <c r="H41" s="621"/>
      <c r="I41" s="621"/>
      <c r="J41" s="621"/>
      <c r="K41" s="622"/>
    </row>
    <row r="42" spans="1:13" s="3" customFormat="1" ht="63" customHeight="1" thickBot="1" x14ac:dyDescent="0.3">
      <c r="A42" s="623"/>
      <c r="B42" s="624"/>
      <c r="C42" s="624"/>
      <c r="D42" s="624"/>
      <c r="E42" s="624"/>
      <c r="F42" s="624"/>
      <c r="G42" s="624"/>
      <c r="H42" s="624"/>
      <c r="I42" s="624"/>
      <c r="J42" s="624"/>
      <c r="K42" s="625"/>
    </row>
    <row r="43" spans="1:13" s="3" customFormat="1" ht="21.75" customHeight="1" thickTop="1" thickBot="1" x14ac:dyDescent="0.3">
      <c r="A43" s="549" t="s">
        <v>49</v>
      </c>
      <c r="B43" s="549"/>
      <c r="C43" s="549"/>
      <c r="D43" s="549"/>
      <c r="E43" s="549"/>
      <c r="F43" s="549"/>
      <c r="G43" s="549"/>
      <c r="H43" s="549"/>
      <c r="I43" s="549"/>
      <c r="J43" s="549"/>
      <c r="K43" s="589"/>
    </row>
    <row r="44" spans="1:13" s="3" customFormat="1" ht="27" customHeight="1" thickTop="1" thickBot="1" x14ac:dyDescent="0.3">
      <c r="A44" s="100" t="s">
        <v>23</v>
      </c>
      <c r="B44" s="495" t="s">
        <v>50</v>
      </c>
      <c r="C44" s="495"/>
      <c r="D44" s="495"/>
      <c r="E44" s="495"/>
      <c r="F44" s="495"/>
      <c r="G44" s="495"/>
      <c r="H44" s="495"/>
      <c r="I44" s="495"/>
      <c r="J44" s="115">
        <v>0.2</v>
      </c>
      <c r="K44" s="102">
        <f>J44*(K33+K40)</f>
        <v>0</v>
      </c>
    </row>
    <row r="45" spans="1:13" s="3" customFormat="1" ht="21.75" customHeight="1" thickTop="1" thickBot="1" x14ac:dyDescent="0.3">
      <c r="A45" s="100" t="s">
        <v>25</v>
      </c>
      <c r="B45" s="496" t="s">
        <v>54</v>
      </c>
      <c r="C45" s="428"/>
      <c r="D45" s="428"/>
      <c r="E45" s="428"/>
      <c r="F45" s="428"/>
      <c r="G45" s="428"/>
      <c r="H45" s="428"/>
      <c r="I45" s="497"/>
      <c r="J45" s="115">
        <v>2.5000000000000001E-2</v>
      </c>
      <c r="K45" s="102">
        <f>J45*(K33+K40)</f>
        <v>0</v>
      </c>
    </row>
    <row r="46" spans="1:13" s="3" customFormat="1" ht="21.75" customHeight="1" thickTop="1" thickBot="1" x14ac:dyDescent="0.3">
      <c r="A46" s="100" t="s">
        <v>28</v>
      </c>
      <c r="B46" s="496" t="s">
        <v>243</v>
      </c>
      <c r="C46" s="428"/>
      <c r="D46" s="428"/>
      <c r="E46" s="498"/>
      <c r="F46" s="280">
        <v>0.03</v>
      </c>
      <c r="G46" s="281" t="s">
        <v>57</v>
      </c>
      <c r="H46" s="617">
        <v>1</v>
      </c>
      <c r="I46" s="618"/>
      <c r="J46" s="115">
        <f>F46*H46</f>
        <v>0.03</v>
      </c>
      <c r="K46" s="102">
        <f>J46*(K33+K40)</f>
        <v>0</v>
      </c>
    </row>
    <row r="47" spans="1:13" s="3" customFormat="1" ht="21.75" customHeight="1" thickTop="1" thickBot="1" x14ac:dyDescent="0.3">
      <c r="A47" s="100" t="s">
        <v>33</v>
      </c>
      <c r="B47" s="496" t="s">
        <v>51</v>
      </c>
      <c r="C47" s="428"/>
      <c r="D47" s="428"/>
      <c r="E47" s="428"/>
      <c r="F47" s="428"/>
      <c r="G47" s="428"/>
      <c r="H47" s="428"/>
      <c r="I47" s="497"/>
      <c r="J47" s="115">
        <v>1.4999999999999999E-2</v>
      </c>
      <c r="K47" s="102">
        <f>J47*(K33+K40)</f>
        <v>0</v>
      </c>
    </row>
    <row r="48" spans="1:13" s="3" customFormat="1" ht="21.75" customHeight="1" thickTop="1" thickBot="1" x14ac:dyDescent="0.3">
      <c r="A48" s="100" t="s">
        <v>35</v>
      </c>
      <c r="B48" s="496" t="s">
        <v>52</v>
      </c>
      <c r="C48" s="428"/>
      <c r="D48" s="428"/>
      <c r="E48" s="428"/>
      <c r="F48" s="428"/>
      <c r="G48" s="428"/>
      <c r="H48" s="428"/>
      <c r="I48" s="497"/>
      <c r="J48" s="115">
        <v>0.01</v>
      </c>
      <c r="K48" s="102">
        <f>J48*(K33+K40)</f>
        <v>0</v>
      </c>
    </row>
    <row r="49" spans="1:15" s="3" customFormat="1" ht="21.75" customHeight="1" thickTop="1" thickBot="1" x14ac:dyDescent="0.3">
      <c r="A49" s="100" t="s">
        <v>37</v>
      </c>
      <c r="B49" s="86" t="s">
        <v>59</v>
      </c>
      <c r="C49" s="86"/>
      <c r="D49" s="86"/>
      <c r="E49" s="86"/>
      <c r="F49" s="86"/>
      <c r="G49" s="86"/>
      <c r="H49" s="86"/>
      <c r="I49" s="86"/>
      <c r="J49" s="115">
        <v>6.0000000000000001E-3</v>
      </c>
      <c r="K49" s="102">
        <f>J49*(K33+K40)</f>
        <v>0</v>
      </c>
    </row>
    <row r="50" spans="1:15" s="3" customFormat="1" ht="21.75" customHeight="1" thickTop="1" thickBot="1" x14ac:dyDescent="0.3">
      <c r="A50" s="100" t="s">
        <v>39</v>
      </c>
      <c r="B50" s="496" t="s">
        <v>53</v>
      </c>
      <c r="C50" s="428"/>
      <c r="D50" s="428"/>
      <c r="E50" s="428"/>
      <c r="F50" s="428"/>
      <c r="G50" s="428"/>
      <c r="H50" s="428"/>
      <c r="I50" s="497"/>
      <c r="J50" s="116">
        <v>2E-3</v>
      </c>
      <c r="K50" s="102">
        <f>J50*(K33+K40)</f>
        <v>0</v>
      </c>
    </row>
    <row r="51" spans="1:15" s="3" customFormat="1" ht="21.75" customHeight="1" thickTop="1" thickBot="1" x14ac:dyDescent="0.3">
      <c r="A51" s="100" t="s">
        <v>58</v>
      </c>
      <c r="B51" s="496" t="s">
        <v>55</v>
      </c>
      <c r="C51" s="428"/>
      <c r="D51" s="428"/>
      <c r="E51" s="428"/>
      <c r="F51" s="428"/>
      <c r="G51" s="428"/>
      <c r="H51" s="428"/>
      <c r="I51" s="497"/>
      <c r="J51" s="116">
        <v>0.08</v>
      </c>
      <c r="K51" s="408">
        <f>J51*(K33+K40)</f>
        <v>0</v>
      </c>
    </row>
    <row r="52" spans="1:15" s="3" customFormat="1" ht="21.75" customHeight="1" thickTop="1" thickBot="1" x14ac:dyDescent="0.3">
      <c r="A52" s="154"/>
      <c r="B52" s="423" t="s">
        <v>47</v>
      </c>
      <c r="C52" s="424"/>
      <c r="D52" s="424"/>
      <c r="E52" s="424"/>
      <c r="F52" s="424"/>
      <c r="G52" s="424"/>
      <c r="H52" s="424"/>
      <c r="I52" s="426"/>
      <c r="J52" s="114">
        <f>SUM(J44:J51)</f>
        <v>0.36800000000000005</v>
      </c>
      <c r="K52" s="282">
        <f>SUM(K44:K51)</f>
        <v>0</v>
      </c>
    </row>
    <row r="53" spans="1:15" s="3" customFormat="1" ht="21.75" customHeight="1" thickTop="1" x14ac:dyDescent="0.25">
      <c r="A53" s="608" t="s">
        <v>60</v>
      </c>
      <c r="B53" s="609"/>
      <c r="C53" s="609"/>
      <c r="D53" s="609"/>
      <c r="E53" s="609"/>
      <c r="F53" s="609"/>
      <c r="G53" s="609"/>
      <c r="H53" s="609"/>
      <c r="I53" s="609"/>
      <c r="J53" s="609"/>
      <c r="K53" s="610"/>
    </row>
    <row r="54" spans="1:15" s="3" customFormat="1" ht="21.75" customHeight="1" x14ac:dyDescent="0.25">
      <c r="A54" s="611"/>
      <c r="B54" s="612"/>
      <c r="C54" s="612"/>
      <c r="D54" s="612"/>
      <c r="E54" s="612"/>
      <c r="F54" s="612"/>
      <c r="G54" s="612"/>
      <c r="H54" s="612"/>
      <c r="I54" s="612"/>
      <c r="J54" s="612"/>
      <c r="K54" s="613"/>
    </row>
    <row r="55" spans="1:15" s="3" customFormat="1" ht="12.6" customHeight="1" thickBot="1" x14ac:dyDescent="0.3">
      <c r="A55" s="614"/>
      <c r="B55" s="615"/>
      <c r="C55" s="615"/>
      <c r="D55" s="615"/>
      <c r="E55" s="615"/>
      <c r="F55" s="615"/>
      <c r="G55" s="615"/>
      <c r="H55" s="615"/>
      <c r="I55" s="615"/>
      <c r="J55" s="615"/>
      <c r="K55" s="616"/>
    </row>
    <row r="56" spans="1:15" s="3" customFormat="1" ht="21.75" customHeight="1" thickTop="1" thickBot="1" x14ac:dyDescent="0.3">
      <c r="A56" s="549" t="s">
        <v>61</v>
      </c>
      <c r="B56" s="549"/>
      <c r="C56" s="549"/>
      <c r="D56" s="549"/>
      <c r="E56" s="549"/>
      <c r="F56" s="549"/>
      <c r="G56" s="549"/>
      <c r="H56" s="549"/>
      <c r="I56" s="549"/>
      <c r="J56" s="549"/>
      <c r="K56" s="557"/>
    </row>
    <row r="57" spans="1:15" s="3" customFormat="1" ht="21.75" customHeight="1" thickTop="1" thickBot="1" x14ac:dyDescent="0.3">
      <c r="A57" s="20" t="s">
        <v>23</v>
      </c>
      <c r="B57" s="459" t="s">
        <v>401</v>
      </c>
      <c r="C57" s="459"/>
      <c r="D57" s="459"/>
      <c r="E57" s="459"/>
      <c r="F57" s="459"/>
      <c r="G57" s="459"/>
      <c r="H57" s="459"/>
      <c r="I57" s="459"/>
      <c r="J57" s="459"/>
      <c r="K57" s="117">
        <v>0</v>
      </c>
    </row>
    <row r="58" spans="1:15" s="3" customFormat="1" ht="21.75" customHeight="1" thickTop="1" thickBot="1" x14ac:dyDescent="0.3">
      <c r="A58" s="20" t="s">
        <v>25</v>
      </c>
      <c r="B58" s="459" t="s">
        <v>423</v>
      </c>
      <c r="C58" s="459"/>
      <c r="D58" s="459"/>
      <c r="E58" s="459"/>
      <c r="F58" s="459"/>
      <c r="G58" s="459"/>
      <c r="H58" s="459"/>
      <c r="I58" s="459"/>
      <c r="J58" s="459"/>
      <c r="K58" s="109">
        <v>0</v>
      </c>
      <c r="L58" s="606"/>
      <c r="M58" s="607"/>
      <c r="N58" s="607"/>
      <c r="O58" s="607"/>
    </row>
    <row r="59" spans="1:15" s="3" customFormat="1" ht="21.75" customHeight="1" thickTop="1" thickBot="1" x14ac:dyDescent="0.3">
      <c r="A59" s="20" t="s">
        <v>37</v>
      </c>
      <c r="B59" s="459" t="s">
        <v>421</v>
      </c>
      <c r="C59" s="459"/>
      <c r="D59" s="459"/>
      <c r="E59" s="459"/>
      <c r="F59" s="459"/>
      <c r="G59" s="459"/>
      <c r="H59" s="459"/>
      <c r="I59" s="459"/>
      <c r="J59" s="459"/>
      <c r="K59" s="109">
        <v>0</v>
      </c>
      <c r="L59" s="606"/>
      <c r="M59" s="607"/>
      <c r="N59" s="607"/>
      <c r="O59" s="607"/>
    </row>
    <row r="60" spans="1:15" s="3" customFormat="1" ht="21.75" customHeight="1" thickTop="1" thickBot="1" x14ac:dyDescent="0.3">
      <c r="A60" s="20" t="s">
        <v>39</v>
      </c>
      <c r="B60" s="459" t="s">
        <v>420</v>
      </c>
      <c r="C60" s="459"/>
      <c r="D60" s="459"/>
      <c r="E60" s="459"/>
      <c r="F60" s="459"/>
      <c r="G60" s="459"/>
      <c r="H60" s="459"/>
      <c r="I60" s="459"/>
      <c r="J60" s="459"/>
      <c r="K60" s="109">
        <v>0</v>
      </c>
      <c r="L60" s="606"/>
      <c r="M60" s="607"/>
      <c r="N60" s="607"/>
      <c r="O60" s="607"/>
    </row>
    <row r="61" spans="1:15" s="3" customFormat="1" ht="21.75" customHeight="1" thickTop="1" thickBot="1" x14ac:dyDescent="0.3">
      <c r="A61" s="20" t="s">
        <v>62</v>
      </c>
      <c r="B61" s="459" t="s">
        <v>87</v>
      </c>
      <c r="C61" s="459"/>
      <c r="D61" s="459"/>
      <c r="E61" s="459"/>
      <c r="F61" s="459"/>
      <c r="G61" s="459"/>
      <c r="H61" s="459"/>
      <c r="I61" s="459"/>
      <c r="J61" s="459"/>
      <c r="K61" s="109">
        <v>0</v>
      </c>
      <c r="L61" s="606"/>
      <c r="M61" s="607"/>
      <c r="N61" s="607"/>
      <c r="O61" s="607"/>
    </row>
    <row r="62" spans="1:15" s="3" customFormat="1" ht="21.75" customHeight="1" thickTop="1" thickBot="1" x14ac:dyDescent="0.3">
      <c r="A62" s="20"/>
      <c r="B62" s="442" t="s">
        <v>47</v>
      </c>
      <c r="C62" s="442"/>
      <c r="D62" s="442"/>
      <c r="E62" s="442"/>
      <c r="F62" s="442"/>
      <c r="G62" s="442"/>
      <c r="H62" s="442"/>
      <c r="I62" s="442"/>
      <c r="J62" s="442"/>
      <c r="K62" s="105">
        <f>SUM(K57:K61)</f>
        <v>0</v>
      </c>
    </row>
    <row r="63" spans="1:15" s="3" customFormat="1" ht="21.75" customHeight="1" thickTop="1" x14ac:dyDescent="0.25">
      <c r="A63" s="565" t="s">
        <v>63</v>
      </c>
      <c r="B63" s="566"/>
      <c r="C63" s="566"/>
      <c r="D63" s="566"/>
      <c r="E63" s="566"/>
      <c r="F63" s="566"/>
      <c r="G63" s="566"/>
      <c r="H63" s="566"/>
      <c r="I63" s="566"/>
      <c r="J63" s="566"/>
      <c r="K63" s="567"/>
    </row>
    <row r="64" spans="1:15" s="3" customFormat="1" ht="37.15" customHeight="1" thickBot="1" x14ac:dyDescent="0.3">
      <c r="A64" s="598"/>
      <c r="B64" s="599"/>
      <c r="C64" s="599"/>
      <c r="D64" s="599"/>
      <c r="E64" s="599"/>
      <c r="F64" s="599"/>
      <c r="G64" s="599"/>
      <c r="H64" s="599"/>
      <c r="I64" s="599"/>
      <c r="J64" s="599"/>
      <c r="K64" s="600"/>
    </row>
    <row r="65" spans="1:15" s="3" customFormat="1" ht="21.75" customHeight="1" thickTop="1" thickBot="1" x14ac:dyDescent="0.3">
      <c r="A65" s="557" t="s">
        <v>64</v>
      </c>
      <c r="B65" s="557"/>
      <c r="C65" s="557"/>
      <c r="D65" s="557"/>
      <c r="E65" s="557"/>
      <c r="F65" s="557"/>
      <c r="G65" s="557"/>
      <c r="H65" s="557"/>
      <c r="I65" s="557"/>
      <c r="J65" s="557"/>
      <c r="K65" s="557"/>
    </row>
    <row r="66" spans="1:15" s="3" customFormat="1" ht="21.75" customHeight="1" thickTop="1" thickBot="1" x14ac:dyDescent="0.3">
      <c r="A66" s="32" t="s">
        <v>65</v>
      </c>
      <c r="B66" s="584" t="s">
        <v>66</v>
      </c>
      <c r="C66" s="584"/>
      <c r="D66" s="584"/>
      <c r="E66" s="584"/>
      <c r="F66" s="584"/>
      <c r="G66" s="584"/>
      <c r="H66" s="584"/>
      <c r="I66" s="584"/>
      <c r="J66" s="33">
        <f>J40</f>
        <v>0.19440000000000002</v>
      </c>
      <c r="K66" s="120">
        <f>K40</f>
        <v>0</v>
      </c>
    </row>
    <row r="67" spans="1:15" s="3" customFormat="1" ht="21.75" customHeight="1" thickTop="1" thickBot="1" x14ac:dyDescent="0.3">
      <c r="A67" s="32" t="s">
        <v>67</v>
      </c>
      <c r="B67" s="584" t="s">
        <v>68</v>
      </c>
      <c r="C67" s="584"/>
      <c r="D67" s="584"/>
      <c r="E67" s="584"/>
      <c r="F67" s="584"/>
      <c r="G67" s="584"/>
      <c r="H67" s="584"/>
      <c r="I67" s="584"/>
      <c r="J67" s="33">
        <f>J44</f>
        <v>0.2</v>
      </c>
      <c r="K67" s="120">
        <f>K52</f>
        <v>0</v>
      </c>
    </row>
    <row r="68" spans="1:15" s="3" customFormat="1" ht="21.75" customHeight="1" thickTop="1" thickBot="1" x14ac:dyDescent="0.3">
      <c r="A68" s="32" t="s">
        <v>69</v>
      </c>
      <c r="B68" s="580" t="s">
        <v>70</v>
      </c>
      <c r="C68" s="580"/>
      <c r="D68" s="580"/>
      <c r="E68" s="580"/>
      <c r="F68" s="580"/>
      <c r="G68" s="580"/>
      <c r="H68" s="580"/>
      <c r="I68" s="580"/>
      <c r="J68" s="580"/>
      <c r="K68" s="120">
        <f>K62</f>
        <v>0</v>
      </c>
    </row>
    <row r="69" spans="1:15" s="3" customFormat="1" ht="21.75" customHeight="1" thickTop="1" thickBot="1" x14ac:dyDescent="0.3">
      <c r="A69" s="20"/>
      <c r="B69" s="557" t="s">
        <v>47</v>
      </c>
      <c r="C69" s="557"/>
      <c r="D69" s="557"/>
      <c r="E69" s="557"/>
      <c r="F69" s="557"/>
      <c r="G69" s="557"/>
      <c r="H69" s="557"/>
      <c r="I69" s="557"/>
      <c r="J69" s="557"/>
      <c r="K69" s="105">
        <f>ROUND((K66+K67+K68),2)</f>
        <v>0</v>
      </c>
    </row>
    <row r="70" spans="1:15" s="34" customFormat="1" ht="21.75" customHeight="1" thickTop="1" thickBot="1" x14ac:dyDescent="0.3">
      <c r="A70" s="605"/>
      <c r="B70" s="605"/>
      <c r="C70" s="605"/>
      <c r="D70" s="605"/>
      <c r="E70" s="605"/>
      <c r="F70" s="605"/>
      <c r="G70" s="605"/>
      <c r="H70" s="605"/>
      <c r="I70" s="605"/>
      <c r="J70" s="605"/>
      <c r="K70" s="605"/>
    </row>
    <row r="71" spans="1:15" s="34" customFormat="1" ht="21.75" customHeight="1" thickTop="1" thickBot="1" x14ac:dyDescent="0.3">
      <c r="A71" s="549" t="s">
        <v>71</v>
      </c>
      <c r="B71" s="550"/>
      <c r="C71" s="550"/>
      <c r="D71" s="550"/>
      <c r="E71" s="550"/>
      <c r="F71" s="550"/>
      <c r="G71" s="550"/>
      <c r="H71" s="550"/>
      <c r="I71" s="550"/>
      <c r="J71" s="550"/>
      <c r="K71" s="560"/>
    </row>
    <row r="72" spans="1:15" s="34" customFormat="1" ht="21.75" customHeight="1" thickTop="1" thickBot="1" x14ac:dyDescent="0.3">
      <c r="A72" s="20" t="s">
        <v>23</v>
      </c>
      <c r="B72" s="584" t="s">
        <v>72</v>
      </c>
      <c r="C72" s="584"/>
      <c r="D72" s="584"/>
      <c r="E72" s="584"/>
      <c r="F72" s="584"/>
      <c r="G72" s="584"/>
      <c r="H72" s="584"/>
      <c r="I72" s="584"/>
      <c r="J72" s="35">
        <f>L72</f>
        <v>4.1666666666666666E-3</v>
      </c>
      <c r="K72" s="36">
        <f>J72*$K$33</f>
        <v>0</v>
      </c>
      <c r="L72" s="601">
        <f>0.05*(1/12)</f>
        <v>4.1666666666666666E-3</v>
      </c>
      <c r="M72" s="602"/>
      <c r="N72" s="34" t="s">
        <v>73</v>
      </c>
    </row>
    <row r="73" spans="1:15" s="34" customFormat="1" ht="21.75" customHeight="1" thickTop="1" thickBot="1" x14ac:dyDescent="0.3">
      <c r="A73" s="20" t="s">
        <v>25</v>
      </c>
      <c r="B73" s="584" t="s">
        <v>74</v>
      </c>
      <c r="C73" s="584"/>
      <c r="D73" s="584"/>
      <c r="E73" s="584"/>
      <c r="F73" s="584"/>
      <c r="G73" s="584"/>
      <c r="H73" s="584"/>
      <c r="I73" s="584"/>
      <c r="J73" s="35">
        <f>L73</f>
        <v>3.3333333333333332E-4</v>
      </c>
      <c r="K73" s="36">
        <f t="shared" ref="K73:K75" si="0">J73*$K$33</f>
        <v>0</v>
      </c>
      <c r="L73" s="603">
        <f>0.08*J72</f>
        <v>3.3333333333333332E-4</v>
      </c>
      <c r="M73" s="604"/>
    </row>
    <row r="74" spans="1:15" s="34" customFormat="1" ht="28.15" customHeight="1" thickTop="1" thickBot="1" x14ac:dyDescent="0.3">
      <c r="A74" s="20" t="s">
        <v>28</v>
      </c>
      <c r="B74" s="595" t="s">
        <v>75</v>
      </c>
      <c r="C74" s="595"/>
      <c r="D74" s="595"/>
      <c r="E74" s="595"/>
      <c r="F74" s="595"/>
      <c r="G74" s="595"/>
      <c r="H74" s="595"/>
      <c r="I74" s="595"/>
      <c r="J74" s="37">
        <f>L74</f>
        <v>3.4799999999999998E-2</v>
      </c>
      <c r="K74" s="36">
        <f t="shared" si="0"/>
        <v>0</v>
      </c>
      <c r="L74" s="596">
        <f>(0.08*(0.4)*0.9)*((1+5/56+5/56)+(1/3*5/56))</f>
        <v>3.4799999999999998E-2</v>
      </c>
      <c r="M74" s="597"/>
      <c r="N74" s="38"/>
    </row>
    <row r="75" spans="1:15" s="34" customFormat="1" ht="21.75" customHeight="1" thickTop="1" thickBot="1" x14ac:dyDescent="0.3">
      <c r="A75" s="20" t="s">
        <v>33</v>
      </c>
      <c r="B75" s="584" t="s">
        <v>76</v>
      </c>
      <c r="C75" s="584"/>
      <c r="D75" s="584"/>
      <c r="E75" s="584"/>
      <c r="F75" s="584"/>
      <c r="G75" s="584"/>
      <c r="H75" s="584"/>
      <c r="I75" s="584"/>
      <c r="J75" s="37">
        <f>L75</f>
        <v>1.9444444444444445E-2</v>
      </c>
      <c r="K75" s="36">
        <f t="shared" si="0"/>
        <v>0</v>
      </c>
      <c r="L75" s="596">
        <f>(7/30)/12</f>
        <v>1.9444444444444445E-2</v>
      </c>
      <c r="M75" s="597"/>
    </row>
    <row r="76" spans="1:15" s="34" customFormat="1" ht="30" customHeight="1" thickTop="1" thickBot="1" x14ac:dyDescent="0.3">
      <c r="A76" s="20" t="s">
        <v>35</v>
      </c>
      <c r="B76" s="584" t="s">
        <v>77</v>
      </c>
      <c r="C76" s="584"/>
      <c r="D76" s="584"/>
      <c r="E76" s="584"/>
      <c r="F76" s="584"/>
      <c r="G76" s="584"/>
      <c r="H76" s="584"/>
      <c r="I76" s="584"/>
      <c r="J76" s="35">
        <f>J52*J75</f>
        <v>7.1555555555555565E-3</v>
      </c>
      <c r="K76" s="36">
        <f>K33*J76</f>
        <v>0</v>
      </c>
      <c r="L76" s="593">
        <f>J75*J52</f>
        <v>7.1555555555555565E-3</v>
      </c>
      <c r="M76" s="594"/>
      <c r="N76" s="39"/>
    </row>
    <row r="77" spans="1:15" s="34" customFormat="1" ht="30" customHeight="1" thickTop="1" thickBot="1" x14ac:dyDescent="0.3">
      <c r="A77" s="20" t="s">
        <v>37</v>
      </c>
      <c r="B77" s="595" t="s">
        <v>78</v>
      </c>
      <c r="C77" s="595"/>
      <c r="D77" s="595"/>
      <c r="E77" s="595"/>
      <c r="F77" s="595"/>
      <c r="G77" s="595"/>
      <c r="H77" s="595"/>
      <c r="I77" s="595"/>
      <c r="J77" s="35">
        <f>L77</f>
        <v>6.2222222222222225E-4</v>
      </c>
      <c r="K77" s="36">
        <f>J77*(K33+K40)</f>
        <v>0</v>
      </c>
      <c r="L77" s="596">
        <f>0.08*(0.4)*J75</f>
        <v>6.2222222222222225E-4</v>
      </c>
      <c r="M77" s="597"/>
      <c r="O77" s="40"/>
    </row>
    <row r="78" spans="1:15" s="34" customFormat="1" ht="21.75" customHeight="1" thickTop="1" thickBot="1" x14ac:dyDescent="0.3">
      <c r="A78" s="549" t="s">
        <v>47</v>
      </c>
      <c r="B78" s="549"/>
      <c r="C78" s="549"/>
      <c r="D78" s="549"/>
      <c r="E78" s="549"/>
      <c r="F78" s="549"/>
      <c r="G78" s="549"/>
      <c r="H78" s="549"/>
      <c r="I78" s="549"/>
      <c r="J78" s="41"/>
      <c r="K78" s="131">
        <f>ROUND(K72+K73+K74+K75+K76+K77,2)</f>
        <v>0</v>
      </c>
    </row>
    <row r="79" spans="1:15" s="34" customFormat="1" ht="21.75" customHeight="1" thickTop="1" x14ac:dyDescent="0.25">
      <c r="A79" s="565" t="s">
        <v>79</v>
      </c>
      <c r="B79" s="566"/>
      <c r="C79" s="566"/>
      <c r="D79" s="566"/>
      <c r="E79" s="566"/>
      <c r="F79" s="566"/>
      <c r="G79" s="566"/>
      <c r="H79" s="566"/>
      <c r="I79" s="566"/>
      <c r="J79" s="566"/>
      <c r="K79" s="567"/>
    </row>
    <row r="80" spans="1:15" s="34" customFormat="1" ht="21.75" customHeight="1" x14ac:dyDescent="0.25">
      <c r="A80" s="590"/>
      <c r="B80" s="591"/>
      <c r="C80" s="591"/>
      <c r="D80" s="591"/>
      <c r="E80" s="591"/>
      <c r="F80" s="591"/>
      <c r="G80" s="591"/>
      <c r="H80" s="591"/>
      <c r="I80" s="591"/>
      <c r="J80" s="591"/>
      <c r="K80" s="592"/>
    </row>
    <row r="81" spans="1:18" s="34" customFormat="1" ht="12.6" customHeight="1" thickBot="1" x14ac:dyDescent="0.3">
      <c r="A81" s="598"/>
      <c r="B81" s="599"/>
      <c r="C81" s="599"/>
      <c r="D81" s="599"/>
      <c r="E81" s="599"/>
      <c r="F81" s="599"/>
      <c r="G81" s="599"/>
      <c r="H81" s="599"/>
      <c r="I81" s="599"/>
      <c r="J81" s="599"/>
      <c r="K81" s="600"/>
    </row>
    <row r="82" spans="1:18" s="34" customFormat="1" ht="21.75" customHeight="1" thickTop="1" thickBot="1" x14ac:dyDescent="0.3">
      <c r="A82" s="549" t="s">
        <v>80</v>
      </c>
      <c r="B82" s="550"/>
      <c r="C82" s="550"/>
      <c r="D82" s="550"/>
      <c r="E82" s="550"/>
      <c r="F82" s="550"/>
      <c r="G82" s="550"/>
      <c r="H82" s="550"/>
      <c r="I82" s="550"/>
      <c r="J82" s="550"/>
      <c r="K82" s="560"/>
    </row>
    <row r="83" spans="1:18" s="34" customFormat="1" ht="21.75" customHeight="1" thickTop="1" thickBot="1" x14ac:dyDescent="0.3">
      <c r="A83" s="557" t="s">
        <v>81</v>
      </c>
      <c r="B83" s="557"/>
      <c r="C83" s="557"/>
      <c r="D83" s="557"/>
      <c r="E83" s="557"/>
      <c r="F83" s="557"/>
      <c r="G83" s="557"/>
      <c r="H83" s="557"/>
      <c r="I83" s="557"/>
      <c r="J83" s="557"/>
      <c r="K83" s="557"/>
    </row>
    <row r="84" spans="1:18" s="34" customFormat="1" ht="21.75" customHeight="1" thickTop="1" thickBot="1" x14ac:dyDescent="0.3">
      <c r="A84" s="20" t="s">
        <v>23</v>
      </c>
      <c r="B84" s="580" t="s">
        <v>82</v>
      </c>
      <c r="C84" s="580"/>
      <c r="D84" s="580"/>
      <c r="E84" s="580"/>
      <c r="F84" s="580"/>
      <c r="G84" s="580"/>
      <c r="H84" s="580"/>
      <c r="I84" s="580"/>
      <c r="J84" s="35">
        <f>L84</f>
        <v>9.0909090909090912E-2</v>
      </c>
      <c r="K84" s="124">
        <f>J84*$K$33</f>
        <v>0</v>
      </c>
      <c r="L84" s="43">
        <f>(5/55)</f>
        <v>9.0909090909090912E-2</v>
      </c>
      <c r="M84" s="44" t="s">
        <v>336</v>
      </c>
    </row>
    <row r="85" spans="1:18" s="34" customFormat="1" ht="21.75" customHeight="1" thickTop="1" thickBot="1" x14ac:dyDescent="0.3">
      <c r="A85" s="20" t="s">
        <v>25</v>
      </c>
      <c r="B85" s="580" t="s">
        <v>83</v>
      </c>
      <c r="C85" s="580"/>
      <c r="D85" s="580"/>
      <c r="E85" s="580"/>
      <c r="F85" s="580"/>
      <c r="G85" s="580"/>
      <c r="H85" s="580"/>
      <c r="I85" s="580"/>
      <c r="J85" s="35">
        <f>L85</f>
        <v>1.3698630136986301E-2</v>
      </c>
      <c r="K85" s="124">
        <f t="shared" ref="K85:K89" si="1">J85*$K$33</f>
        <v>0</v>
      </c>
      <c r="L85" s="43">
        <f>5/365</f>
        <v>1.3698630136986301E-2</v>
      </c>
      <c r="M85" s="44"/>
      <c r="N85" s="38"/>
      <c r="O85" s="38"/>
      <c r="P85" s="38"/>
      <c r="Q85" s="38"/>
    </row>
    <row r="86" spans="1:18" s="34" customFormat="1" ht="21.75" customHeight="1" thickTop="1" thickBot="1" x14ac:dyDescent="0.3">
      <c r="A86" s="20" t="s">
        <v>28</v>
      </c>
      <c r="B86" s="580" t="s">
        <v>84</v>
      </c>
      <c r="C86" s="580"/>
      <c r="D86" s="580"/>
      <c r="E86" s="580"/>
      <c r="F86" s="580"/>
      <c r="G86" s="580"/>
      <c r="H86" s="580"/>
      <c r="I86" s="580"/>
      <c r="J86" s="35">
        <f>L86</f>
        <v>2.0547945205479451E-4</v>
      </c>
      <c r="K86" s="124">
        <f t="shared" si="1"/>
        <v>0</v>
      </c>
      <c r="L86" s="43">
        <f>5/365*0.015</f>
        <v>2.0547945205479451E-4</v>
      </c>
      <c r="M86" s="44"/>
      <c r="N86" s="38"/>
      <c r="O86" s="38"/>
      <c r="P86" s="38"/>
      <c r="Q86" s="38"/>
    </row>
    <row r="87" spans="1:18" s="34" customFormat="1" ht="21.75" customHeight="1" thickTop="1" thickBot="1" x14ac:dyDescent="0.3">
      <c r="A87" s="20" t="s">
        <v>33</v>
      </c>
      <c r="B87" s="580" t="s">
        <v>85</v>
      </c>
      <c r="C87" s="580"/>
      <c r="D87" s="580"/>
      <c r="E87" s="580"/>
      <c r="F87" s="580"/>
      <c r="G87" s="580"/>
      <c r="H87" s="580"/>
      <c r="I87" s="580"/>
      <c r="J87" s="35">
        <f>L87</f>
        <v>3.2876712328767121E-3</v>
      </c>
      <c r="K87" s="124">
        <f t="shared" si="1"/>
        <v>0</v>
      </c>
      <c r="L87" s="43">
        <f>15/365*0.08</f>
        <v>3.2876712328767121E-3</v>
      </c>
      <c r="M87" s="45"/>
    </row>
    <row r="88" spans="1:18" s="34" customFormat="1" ht="21.75" customHeight="1" thickTop="1" thickBot="1" x14ac:dyDescent="0.3">
      <c r="A88" s="20" t="s">
        <v>35</v>
      </c>
      <c r="B88" s="580" t="s">
        <v>86</v>
      </c>
      <c r="C88" s="580"/>
      <c r="D88" s="580"/>
      <c r="E88" s="580"/>
      <c r="F88" s="580"/>
      <c r="G88" s="580"/>
      <c r="H88" s="580"/>
      <c r="I88" s="580"/>
      <c r="J88" s="35">
        <f>M88</f>
        <v>1.3444444444444444E-4</v>
      </c>
      <c r="K88" s="124">
        <f t="shared" si="1"/>
        <v>0</v>
      </c>
      <c r="L88" s="43"/>
      <c r="M88" s="46">
        <f>((0.121)*4/12*0.04)/12</f>
        <v>1.3444444444444444E-4</v>
      </c>
      <c r="N88" s="47"/>
      <c r="Q88" s="48"/>
      <c r="R88" s="49"/>
    </row>
    <row r="89" spans="1:18" s="34" customFormat="1" ht="21.75" customHeight="1" thickTop="1" thickBot="1" x14ac:dyDescent="0.3">
      <c r="A89" s="20" t="s">
        <v>37</v>
      </c>
      <c r="B89" s="580" t="s">
        <v>87</v>
      </c>
      <c r="C89" s="580"/>
      <c r="D89" s="580"/>
      <c r="E89" s="580"/>
      <c r="F89" s="580"/>
      <c r="G89" s="580"/>
      <c r="H89" s="580"/>
      <c r="I89" s="580"/>
      <c r="J89" s="35">
        <v>0</v>
      </c>
      <c r="K89" s="124">
        <f t="shared" si="1"/>
        <v>0</v>
      </c>
      <c r="L89" s="50"/>
      <c r="M89" s="45"/>
    </row>
    <row r="90" spans="1:18" s="34" customFormat="1" ht="21.75" customHeight="1" thickTop="1" thickBot="1" x14ac:dyDescent="0.3">
      <c r="A90" s="20" t="s">
        <v>39</v>
      </c>
      <c r="B90" s="580" t="s">
        <v>88</v>
      </c>
      <c r="C90" s="580"/>
      <c r="D90" s="580"/>
      <c r="E90" s="580"/>
      <c r="F90" s="580"/>
      <c r="G90" s="580"/>
      <c r="H90" s="580"/>
      <c r="I90" s="580"/>
      <c r="J90" s="35">
        <f>(J84+J85+J86+J87+J88+J89)*J52</f>
        <v>3.983059635256677E-2</v>
      </c>
      <c r="K90" s="124">
        <f>K33*J90</f>
        <v>0</v>
      </c>
      <c r="L90" s="45"/>
      <c r="M90" s="45"/>
      <c r="Q90" s="51"/>
    </row>
    <row r="91" spans="1:18" s="34" customFormat="1" ht="21.75" customHeight="1" thickTop="1" thickBot="1" x14ac:dyDescent="0.3">
      <c r="A91" s="589" t="s">
        <v>47</v>
      </c>
      <c r="B91" s="589"/>
      <c r="C91" s="589"/>
      <c r="D91" s="589"/>
      <c r="E91" s="589"/>
      <c r="F91" s="589"/>
      <c r="G91" s="589"/>
      <c r="H91" s="589"/>
      <c r="I91" s="589"/>
      <c r="J91" s="52">
        <f>SUM(J84:J90)</f>
        <v>0.14806591252801993</v>
      </c>
      <c r="K91" s="131">
        <f>ROUND(K84+K85+K86+K87+K88+K90,2)</f>
        <v>0</v>
      </c>
    </row>
    <row r="92" spans="1:18" s="34" customFormat="1" ht="21.75" customHeight="1" thickTop="1" x14ac:dyDescent="0.25">
      <c r="A92" s="565" t="s">
        <v>89</v>
      </c>
      <c r="B92" s="566"/>
      <c r="C92" s="566"/>
      <c r="D92" s="566"/>
      <c r="E92" s="566"/>
      <c r="F92" s="566"/>
      <c r="G92" s="566"/>
      <c r="H92" s="566"/>
      <c r="I92" s="566"/>
      <c r="J92" s="566"/>
      <c r="K92" s="567"/>
    </row>
    <row r="93" spans="1:18" s="34" customFormat="1" ht="37.5" customHeight="1" thickBot="1" x14ac:dyDescent="0.3">
      <c r="A93" s="590"/>
      <c r="B93" s="591"/>
      <c r="C93" s="591"/>
      <c r="D93" s="591"/>
      <c r="E93" s="591"/>
      <c r="F93" s="591"/>
      <c r="G93" s="591"/>
      <c r="H93" s="591"/>
      <c r="I93" s="591"/>
      <c r="J93" s="591"/>
      <c r="K93" s="592"/>
    </row>
    <row r="94" spans="1:18" s="34" customFormat="1" ht="21.75" customHeight="1" thickTop="1" thickBot="1" x14ac:dyDescent="0.3">
      <c r="A94" s="549" t="s">
        <v>90</v>
      </c>
      <c r="B94" s="550"/>
      <c r="C94" s="550"/>
      <c r="D94" s="550"/>
      <c r="E94" s="550"/>
      <c r="F94" s="550"/>
      <c r="G94" s="550"/>
      <c r="H94" s="550"/>
      <c r="I94" s="550"/>
      <c r="J94" s="550"/>
      <c r="K94" s="560"/>
    </row>
    <row r="95" spans="1:18" s="34" customFormat="1" ht="21.75" customHeight="1" thickTop="1" thickBot="1" x14ac:dyDescent="0.25">
      <c r="A95" s="20" t="s">
        <v>23</v>
      </c>
      <c r="B95" s="584" t="s">
        <v>91</v>
      </c>
      <c r="C95" s="584"/>
      <c r="D95" s="584"/>
      <c r="E95" s="584"/>
      <c r="F95" s="584"/>
      <c r="G95" s="584"/>
      <c r="H95" s="584"/>
      <c r="I95" s="584"/>
      <c r="J95" s="53">
        <v>0</v>
      </c>
      <c r="K95" s="23">
        <f>L95*J95</f>
        <v>0</v>
      </c>
      <c r="L95" s="38"/>
      <c r="R95" s="54"/>
    </row>
    <row r="96" spans="1:18" s="34" customFormat="1" ht="21.75" customHeight="1" thickTop="1" thickBot="1" x14ac:dyDescent="0.3">
      <c r="A96" s="20"/>
      <c r="B96" s="585" t="s">
        <v>47</v>
      </c>
      <c r="C96" s="585"/>
      <c r="D96" s="585"/>
      <c r="E96" s="585"/>
      <c r="F96" s="585"/>
      <c r="G96" s="585"/>
      <c r="H96" s="585"/>
      <c r="I96" s="585"/>
      <c r="J96" s="55"/>
      <c r="K96" s="23">
        <f>K95</f>
        <v>0</v>
      </c>
      <c r="L96" s="38"/>
    </row>
    <row r="97" spans="1:12" s="34" customFormat="1" ht="35.450000000000003" customHeight="1" thickTop="1" thickBot="1" x14ac:dyDescent="0.3">
      <c r="A97" s="565" t="s">
        <v>92</v>
      </c>
      <c r="B97" s="566"/>
      <c r="C97" s="566"/>
      <c r="D97" s="566"/>
      <c r="E97" s="566"/>
      <c r="F97" s="566"/>
      <c r="G97" s="566"/>
      <c r="H97" s="566"/>
      <c r="I97" s="566"/>
      <c r="J97" s="566"/>
      <c r="K97" s="567"/>
    </row>
    <row r="98" spans="1:12" s="34" customFormat="1" ht="21.75" customHeight="1" thickTop="1" thickBot="1" x14ac:dyDescent="0.3">
      <c r="A98" s="557" t="s">
        <v>93</v>
      </c>
      <c r="B98" s="557"/>
      <c r="C98" s="557"/>
      <c r="D98" s="557"/>
      <c r="E98" s="557"/>
      <c r="F98" s="557"/>
      <c r="G98" s="557"/>
      <c r="H98" s="557"/>
      <c r="I98" s="557"/>
      <c r="J98" s="557"/>
      <c r="K98" s="557"/>
    </row>
    <row r="99" spans="1:12" s="34" customFormat="1" ht="21.75" customHeight="1" thickTop="1" thickBot="1" x14ac:dyDescent="0.3">
      <c r="A99" s="20" t="s">
        <v>94</v>
      </c>
      <c r="B99" s="586" t="s">
        <v>95</v>
      </c>
      <c r="C99" s="587"/>
      <c r="D99" s="587"/>
      <c r="E99" s="587"/>
      <c r="F99" s="587"/>
      <c r="G99" s="587"/>
      <c r="H99" s="587"/>
      <c r="I99" s="587"/>
      <c r="J99" s="588"/>
      <c r="K99" s="56">
        <f>K91</f>
        <v>0</v>
      </c>
    </row>
    <row r="100" spans="1:12" s="34" customFormat="1" ht="21.75" customHeight="1" thickTop="1" thickBot="1" x14ac:dyDescent="0.3">
      <c r="A100" s="20" t="s">
        <v>96</v>
      </c>
      <c r="B100" s="586" t="s">
        <v>97</v>
      </c>
      <c r="C100" s="587"/>
      <c r="D100" s="587"/>
      <c r="E100" s="587"/>
      <c r="F100" s="587"/>
      <c r="G100" s="587"/>
      <c r="H100" s="587"/>
      <c r="I100" s="587"/>
      <c r="J100" s="588"/>
      <c r="K100" s="56">
        <f>K96</f>
        <v>0</v>
      </c>
    </row>
    <row r="101" spans="1:12" s="34" customFormat="1" ht="21.75" customHeight="1" thickTop="1" thickBot="1" x14ac:dyDescent="0.3">
      <c r="A101" s="20"/>
      <c r="B101" s="557" t="s">
        <v>47</v>
      </c>
      <c r="C101" s="557"/>
      <c r="D101" s="557"/>
      <c r="E101" s="557"/>
      <c r="F101" s="557"/>
      <c r="G101" s="557"/>
      <c r="H101" s="557"/>
      <c r="I101" s="557"/>
      <c r="J101" s="557"/>
      <c r="K101" s="42">
        <f>K99+K100</f>
        <v>0</v>
      </c>
    </row>
    <row r="102" spans="1:12" s="34" customFormat="1" ht="21.75" customHeight="1" thickTop="1" thickBot="1" x14ac:dyDescent="0.3">
      <c r="A102" s="565"/>
      <c r="B102" s="566"/>
      <c r="C102" s="566"/>
      <c r="D102" s="566"/>
      <c r="E102" s="566"/>
      <c r="F102" s="566"/>
      <c r="G102" s="566"/>
      <c r="H102" s="566"/>
      <c r="I102" s="566"/>
      <c r="J102" s="566"/>
      <c r="K102" s="567"/>
    </row>
    <row r="103" spans="1:12" s="3" customFormat="1" ht="21.75" customHeight="1" thickTop="1" thickBot="1" x14ac:dyDescent="0.3">
      <c r="A103" s="549" t="s">
        <v>98</v>
      </c>
      <c r="B103" s="550"/>
      <c r="C103" s="550"/>
      <c r="D103" s="550"/>
      <c r="E103" s="550"/>
      <c r="F103" s="550"/>
      <c r="G103" s="550"/>
      <c r="H103" s="550"/>
      <c r="I103" s="550"/>
      <c r="J103" s="560"/>
      <c r="K103" s="20" t="s">
        <v>99</v>
      </c>
    </row>
    <row r="104" spans="1:12" s="3" customFormat="1" ht="21.75" customHeight="1" thickTop="1" thickBot="1" x14ac:dyDescent="0.3">
      <c r="A104" s="20" t="s">
        <v>23</v>
      </c>
      <c r="B104" s="580" t="s">
        <v>100</v>
      </c>
      <c r="C104" s="580"/>
      <c r="D104" s="580"/>
      <c r="E104" s="580"/>
      <c r="F104" s="580"/>
      <c r="G104" s="580"/>
      <c r="H104" s="580"/>
      <c r="I104" s="580"/>
      <c r="J104" s="580"/>
      <c r="K104" s="344">
        <f>'Insumos Sede'!G101</f>
        <v>0</v>
      </c>
    </row>
    <row r="105" spans="1:12" s="3" customFormat="1" ht="21.75" customHeight="1" thickTop="1" thickBot="1" x14ac:dyDescent="0.3">
      <c r="A105" s="20" t="s">
        <v>25</v>
      </c>
      <c r="B105" s="580" t="s">
        <v>101</v>
      </c>
      <c r="C105" s="580"/>
      <c r="D105" s="580"/>
      <c r="E105" s="581" t="s">
        <v>102</v>
      </c>
      <c r="F105" s="581"/>
      <c r="G105" s="581"/>
      <c r="H105" s="581"/>
      <c r="I105" s="581"/>
      <c r="J105" s="581"/>
      <c r="K105" s="344">
        <v>0</v>
      </c>
    </row>
    <row r="106" spans="1:12" s="3" customFormat="1" ht="21.75" customHeight="1" thickTop="1" thickBot="1" x14ac:dyDescent="0.3">
      <c r="A106" s="20" t="s">
        <v>28</v>
      </c>
      <c r="B106" s="580" t="s">
        <v>103</v>
      </c>
      <c r="C106" s="580"/>
      <c r="D106" s="580"/>
      <c r="E106" s="581" t="s">
        <v>102</v>
      </c>
      <c r="F106" s="581"/>
      <c r="G106" s="581"/>
      <c r="H106" s="581"/>
      <c r="I106" s="581"/>
      <c r="J106" s="581"/>
      <c r="K106" s="344">
        <v>0</v>
      </c>
    </row>
    <row r="107" spans="1:12" s="3" customFormat="1" ht="21.75" customHeight="1" thickTop="1" thickBot="1" x14ac:dyDescent="0.3">
      <c r="A107" s="557" t="s">
        <v>33</v>
      </c>
      <c r="B107" s="582" t="s">
        <v>87</v>
      </c>
      <c r="C107" s="582"/>
      <c r="D107" s="583" t="s">
        <v>104</v>
      </c>
      <c r="E107" s="583"/>
      <c r="F107" s="583"/>
      <c r="G107" s="583"/>
      <c r="H107" s="583"/>
      <c r="I107" s="583"/>
      <c r="J107" s="583"/>
      <c r="K107" s="344">
        <v>0</v>
      </c>
    </row>
    <row r="108" spans="1:12" s="3" customFormat="1" ht="21.75" customHeight="1" thickTop="1" thickBot="1" x14ac:dyDescent="0.3">
      <c r="A108" s="557"/>
      <c r="B108" s="582"/>
      <c r="C108" s="582"/>
      <c r="D108" s="583" t="s">
        <v>104</v>
      </c>
      <c r="E108" s="583"/>
      <c r="F108" s="583"/>
      <c r="G108" s="583"/>
      <c r="H108" s="583"/>
      <c r="I108" s="583"/>
      <c r="J108" s="583"/>
      <c r="K108" s="344">
        <v>0</v>
      </c>
    </row>
    <row r="109" spans="1:12" s="34" customFormat="1" ht="21.75" customHeight="1" thickTop="1" thickBot="1" x14ac:dyDescent="0.3">
      <c r="A109" s="549" t="s">
        <v>105</v>
      </c>
      <c r="B109" s="550"/>
      <c r="C109" s="550"/>
      <c r="D109" s="550"/>
      <c r="E109" s="550"/>
      <c r="F109" s="550"/>
      <c r="G109" s="550"/>
      <c r="H109" s="550"/>
      <c r="I109" s="550"/>
      <c r="J109" s="560"/>
      <c r="K109" s="131">
        <f>SUM(K104:K108)</f>
        <v>0</v>
      </c>
    </row>
    <row r="110" spans="1:12" s="34" customFormat="1" ht="21.75" customHeight="1" thickTop="1" thickBot="1" x14ac:dyDescent="0.3">
      <c r="A110" s="565" t="s">
        <v>106</v>
      </c>
      <c r="B110" s="566"/>
      <c r="C110" s="566"/>
      <c r="D110" s="566"/>
      <c r="E110" s="566"/>
      <c r="F110" s="566"/>
      <c r="G110" s="566"/>
      <c r="H110" s="566"/>
      <c r="I110" s="566"/>
      <c r="J110" s="566"/>
      <c r="K110" s="567"/>
    </row>
    <row r="111" spans="1:12" s="34" customFormat="1" ht="21.75" customHeight="1" thickTop="1" thickBot="1" x14ac:dyDescent="0.3">
      <c r="A111" s="549" t="s">
        <v>107</v>
      </c>
      <c r="B111" s="550"/>
      <c r="C111" s="550"/>
      <c r="D111" s="550"/>
      <c r="E111" s="550"/>
      <c r="F111" s="550"/>
      <c r="G111" s="550"/>
      <c r="H111" s="550"/>
      <c r="I111" s="550"/>
      <c r="J111" s="560"/>
      <c r="K111" s="20" t="s">
        <v>22</v>
      </c>
    </row>
    <row r="112" spans="1:12" s="34" customFormat="1" ht="21.75" customHeight="1" thickTop="1" thickBot="1" x14ac:dyDescent="0.3">
      <c r="A112" s="20" t="s">
        <v>23</v>
      </c>
      <c r="B112" s="57" t="s">
        <v>108</v>
      </c>
      <c r="C112" s="57"/>
      <c r="D112" s="57"/>
      <c r="E112" s="57"/>
      <c r="F112" s="57"/>
      <c r="G112" s="57"/>
      <c r="H112" s="57"/>
      <c r="I112" s="11"/>
      <c r="J112" s="343">
        <v>0.03</v>
      </c>
      <c r="K112" s="36">
        <f>J112*K132</f>
        <v>0</v>
      </c>
      <c r="L112" s="34" t="s">
        <v>109</v>
      </c>
    </row>
    <row r="113" spans="1:11" s="34" customFormat="1" ht="21.75" customHeight="1" thickTop="1" thickBot="1" x14ac:dyDescent="0.3">
      <c r="A113" s="20" t="s">
        <v>25</v>
      </c>
      <c r="B113" s="57" t="s">
        <v>110</v>
      </c>
      <c r="C113" s="57"/>
      <c r="D113" s="57"/>
      <c r="E113" s="57"/>
      <c r="F113" s="57"/>
      <c r="G113" s="57"/>
      <c r="H113" s="57"/>
      <c r="I113" s="11"/>
      <c r="J113" s="343">
        <v>6.7900000000000002E-2</v>
      </c>
      <c r="K113" s="36">
        <f>(K132+K112)*J113</f>
        <v>0</v>
      </c>
    </row>
    <row r="114" spans="1:11" s="34" customFormat="1" ht="21.75" customHeight="1" thickTop="1" thickBot="1" x14ac:dyDescent="0.3">
      <c r="A114" s="557" t="s">
        <v>28</v>
      </c>
      <c r="B114" s="57" t="s">
        <v>111</v>
      </c>
      <c r="C114" s="57"/>
      <c r="D114" s="57"/>
      <c r="E114" s="57"/>
      <c r="F114" s="57"/>
      <c r="G114" s="57"/>
      <c r="H114" s="57"/>
      <c r="I114" s="58" t="s">
        <v>112</v>
      </c>
      <c r="K114" s="59"/>
    </row>
    <row r="115" spans="1:11" s="34" customFormat="1" ht="21.75" customHeight="1" thickTop="1" thickBot="1" x14ac:dyDescent="0.3">
      <c r="A115" s="557"/>
      <c r="B115" s="57"/>
      <c r="C115" s="60" t="s">
        <v>113</v>
      </c>
      <c r="D115" s="60"/>
      <c r="E115" s="60"/>
      <c r="F115" s="57" t="s">
        <v>114</v>
      </c>
      <c r="G115" s="61"/>
      <c r="H115" s="61"/>
      <c r="I115" s="568">
        <f>SUM(J115:J117)</f>
        <v>0.14250000000000002</v>
      </c>
      <c r="J115" s="62">
        <v>1.6500000000000001E-2</v>
      </c>
      <c r="K115" s="63">
        <f>((K132+K112+K113)/(1-I115))*J115</f>
        <v>0</v>
      </c>
    </row>
    <row r="116" spans="1:11" s="34" customFormat="1" ht="21.75" customHeight="1" thickTop="1" thickBot="1" x14ac:dyDescent="0.3">
      <c r="A116" s="557"/>
      <c r="B116" s="57"/>
      <c r="C116" s="57"/>
      <c r="D116" s="57"/>
      <c r="E116" s="57"/>
      <c r="F116" s="57" t="s">
        <v>115</v>
      </c>
      <c r="G116" s="61"/>
      <c r="H116" s="61"/>
      <c r="I116" s="569"/>
      <c r="J116" s="62">
        <v>7.5999999999999998E-2</v>
      </c>
      <c r="K116" s="63">
        <f>((K132+K112+K113)/(1-I115))*J116</f>
        <v>0</v>
      </c>
    </row>
    <row r="117" spans="1:11" s="34" customFormat="1" ht="21.75" customHeight="1" thickTop="1" thickBot="1" x14ac:dyDescent="0.3">
      <c r="A117" s="557"/>
      <c r="B117" s="60"/>
      <c r="C117" s="60" t="s">
        <v>116</v>
      </c>
      <c r="D117" s="60"/>
      <c r="E117" s="57"/>
      <c r="F117" s="57" t="s">
        <v>117</v>
      </c>
      <c r="G117" s="61"/>
      <c r="H117" s="61"/>
      <c r="I117" s="570"/>
      <c r="J117" s="62">
        <v>0.05</v>
      </c>
      <c r="K117" s="63">
        <f>((K132+K112+K113)/(1-I115))*J117</f>
        <v>0</v>
      </c>
    </row>
    <row r="118" spans="1:11" s="34" customFormat="1" ht="21.75" customHeight="1" thickTop="1" thickBot="1" x14ac:dyDescent="0.3">
      <c r="A118" s="64" t="s">
        <v>118</v>
      </c>
      <c r="B118" s="41"/>
      <c r="C118" s="41"/>
      <c r="D118" s="41"/>
      <c r="E118" s="41"/>
      <c r="F118" s="41"/>
      <c r="G118" s="41"/>
      <c r="H118" s="41"/>
      <c r="I118" s="41"/>
      <c r="J118" s="41"/>
      <c r="K118" s="42">
        <f>K112+K113+K115+K116+K117</f>
        <v>0</v>
      </c>
    </row>
    <row r="119" spans="1:11" s="34" customFormat="1" ht="37.15" customHeight="1" thickTop="1" thickBot="1" x14ac:dyDescent="0.3">
      <c r="A119" s="571" t="s">
        <v>119</v>
      </c>
      <c r="B119" s="572"/>
      <c r="C119" s="572"/>
      <c r="D119" s="572"/>
      <c r="E119" s="572"/>
      <c r="F119" s="572"/>
      <c r="G119" s="572"/>
      <c r="H119" s="572"/>
      <c r="I119" s="572"/>
      <c r="J119" s="572"/>
      <c r="K119" s="573"/>
    </row>
    <row r="120" spans="1:11" s="34" customFormat="1" ht="21.6" hidden="1" customHeight="1" x14ac:dyDescent="0.25">
      <c r="A120" s="574"/>
      <c r="B120" s="575"/>
      <c r="C120" s="575"/>
      <c r="D120" s="575"/>
      <c r="E120" s="575"/>
      <c r="F120" s="575"/>
      <c r="G120" s="575"/>
      <c r="H120" s="575"/>
      <c r="I120" s="575"/>
      <c r="J120" s="575"/>
      <c r="K120" s="576"/>
    </row>
    <row r="121" spans="1:11" s="34" customFormat="1" ht="21.6" hidden="1" customHeight="1" x14ac:dyDescent="0.25">
      <c r="A121" s="574"/>
      <c r="B121" s="575"/>
      <c r="C121" s="575"/>
      <c r="D121" s="575"/>
      <c r="E121" s="575"/>
      <c r="F121" s="575"/>
      <c r="G121" s="575"/>
      <c r="H121" s="575"/>
      <c r="I121" s="575"/>
      <c r="J121" s="575"/>
      <c r="K121" s="576"/>
    </row>
    <row r="122" spans="1:11" s="34" customFormat="1" ht="21.6" hidden="1" customHeight="1" x14ac:dyDescent="0.25">
      <c r="A122" s="574"/>
      <c r="B122" s="575"/>
      <c r="C122" s="575"/>
      <c r="D122" s="575"/>
      <c r="E122" s="575"/>
      <c r="F122" s="575"/>
      <c r="G122" s="575"/>
      <c r="H122" s="575"/>
      <c r="I122" s="575"/>
      <c r="J122" s="575"/>
      <c r="K122" s="576"/>
    </row>
    <row r="123" spans="1:11" s="34" customFormat="1" ht="21.6" hidden="1" customHeight="1" x14ac:dyDescent="0.25">
      <c r="A123" s="574"/>
      <c r="B123" s="575"/>
      <c r="C123" s="575"/>
      <c r="D123" s="575"/>
      <c r="E123" s="575"/>
      <c r="F123" s="575"/>
      <c r="G123" s="575"/>
      <c r="H123" s="575"/>
      <c r="I123" s="575"/>
      <c r="J123" s="575"/>
      <c r="K123" s="576"/>
    </row>
    <row r="124" spans="1:11" s="3" customFormat="1" ht="21.6" hidden="1" customHeight="1" x14ac:dyDescent="0.25">
      <c r="A124" s="577"/>
      <c r="B124" s="578"/>
      <c r="C124" s="578"/>
      <c r="D124" s="578"/>
      <c r="E124" s="578"/>
      <c r="F124" s="578"/>
      <c r="G124" s="578"/>
      <c r="H124" s="578"/>
      <c r="I124" s="578"/>
      <c r="J124" s="578"/>
      <c r="K124" s="579"/>
    </row>
    <row r="125" spans="1:11" s="3" customFormat="1" ht="21.75" customHeight="1" thickTop="1" thickBot="1" x14ac:dyDescent="0.3">
      <c r="A125" s="549" t="s">
        <v>120</v>
      </c>
      <c r="B125" s="550"/>
      <c r="C125" s="550"/>
      <c r="D125" s="550"/>
      <c r="E125" s="550"/>
      <c r="F125" s="550"/>
      <c r="G125" s="550"/>
      <c r="H125" s="550"/>
      <c r="I125" s="550"/>
      <c r="J125" s="550"/>
      <c r="K125" s="560"/>
    </row>
    <row r="126" spans="1:11" s="3" customFormat="1" ht="21.75" customHeight="1" thickTop="1" thickBot="1" x14ac:dyDescent="0.3">
      <c r="A126" s="561" t="s">
        <v>121</v>
      </c>
      <c r="B126" s="562"/>
      <c r="C126" s="562"/>
      <c r="D126" s="562"/>
      <c r="E126" s="562"/>
      <c r="F126" s="562"/>
      <c r="G126" s="562"/>
      <c r="H126" s="562"/>
      <c r="I126" s="562"/>
      <c r="J126" s="563"/>
      <c r="K126" s="20" t="s">
        <v>99</v>
      </c>
    </row>
    <row r="127" spans="1:11" s="3" customFormat="1" ht="21.75" customHeight="1" thickTop="1" thickBot="1" x14ac:dyDescent="0.3">
      <c r="A127" s="20" t="s">
        <v>23</v>
      </c>
      <c r="B127" s="551" t="s">
        <v>122</v>
      </c>
      <c r="C127" s="552"/>
      <c r="D127" s="552"/>
      <c r="E127" s="552"/>
      <c r="F127" s="552"/>
      <c r="G127" s="552"/>
      <c r="H127" s="552"/>
      <c r="I127" s="552"/>
      <c r="J127" s="553"/>
      <c r="K127" s="56">
        <f>K33</f>
        <v>0</v>
      </c>
    </row>
    <row r="128" spans="1:11" s="3" customFormat="1" ht="21.75" customHeight="1" thickTop="1" thickBot="1" x14ac:dyDescent="0.3">
      <c r="A128" s="20" t="s">
        <v>25</v>
      </c>
      <c r="B128" s="564" t="s">
        <v>123</v>
      </c>
      <c r="C128" s="564"/>
      <c r="D128" s="564"/>
      <c r="E128" s="564"/>
      <c r="F128" s="564"/>
      <c r="G128" s="564"/>
      <c r="H128" s="564"/>
      <c r="I128" s="564"/>
      <c r="J128" s="564"/>
      <c r="K128" s="56">
        <f>K69</f>
        <v>0</v>
      </c>
    </row>
    <row r="129" spans="1:12" s="3" customFormat="1" ht="21.75" customHeight="1" thickTop="1" thickBot="1" x14ac:dyDescent="0.3">
      <c r="A129" s="20" t="s">
        <v>28</v>
      </c>
      <c r="B129" s="551" t="s">
        <v>124</v>
      </c>
      <c r="C129" s="552"/>
      <c r="D129" s="552"/>
      <c r="E129" s="552"/>
      <c r="F129" s="552"/>
      <c r="G129" s="552"/>
      <c r="H129" s="552"/>
      <c r="I129" s="552"/>
      <c r="J129" s="553"/>
      <c r="K129" s="56">
        <f>K78</f>
        <v>0</v>
      </c>
    </row>
    <row r="130" spans="1:12" s="3" customFormat="1" ht="21.75" customHeight="1" thickTop="1" thickBot="1" x14ac:dyDescent="0.3">
      <c r="A130" s="20" t="s">
        <v>33</v>
      </c>
      <c r="B130" s="551" t="s">
        <v>125</v>
      </c>
      <c r="C130" s="552"/>
      <c r="D130" s="552"/>
      <c r="E130" s="552"/>
      <c r="F130" s="552"/>
      <c r="G130" s="552"/>
      <c r="H130" s="552"/>
      <c r="I130" s="552"/>
      <c r="J130" s="553"/>
      <c r="K130" s="56">
        <f>K101</f>
        <v>0</v>
      </c>
    </row>
    <row r="131" spans="1:12" s="3" customFormat="1" ht="21.75" customHeight="1" thickTop="1" thickBot="1" x14ac:dyDescent="0.3">
      <c r="A131" s="20" t="s">
        <v>35</v>
      </c>
      <c r="B131" s="551" t="s">
        <v>126</v>
      </c>
      <c r="C131" s="552"/>
      <c r="D131" s="552"/>
      <c r="E131" s="552"/>
      <c r="F131" s="552"/>
      <c r="G131" s="552"/>
      <c r="H131" s="552"/>
      <c r="I131" s="552"/>
      <c r="J131" s="553"/>
      <c r="K131" s="56">
        <f>K109</f>
        <v>0</v>
      </c>
    </row>
    <row r="132" spans="1:12" s="3" customFormat="1" ht="21.75" customHeight="1" thickTop="1" thickBot="1" x14ac:dyDescent="0.3">
      <c r="A132" s="549" t="s">
        <v>127</v>
      </c>
      <c r="B132" s="549"/>
      <c r="C132" s="549"/>
      <c r="D132" s="549"/>
      <c r="E132" s="549"/>
      <c r="F132" s="549"/>
      <c r="G132" s="549"/>
      <c r="H132" s="549"/>
      <c r="I132" s="549"/>
      <c r="J132" s="549"/>
      <c r="K132" s="42">
        <f>SUM(K127:K131)</f>
        <v>0</v>
      </c>
      <c r="L132" s="25"/>
    </row>
    <row r="133" spans="1:12" s="34" customFormat="1" ht="21.75" customHeight="1" thickTop="1" thickBot="1" x14ac:dyDescent="0.3">
      <c r="A133" s="20" t="s">
        <v>37</v>
      </c>
      <c r="B133" s="551" t="s">
        <v>128</v>
      </c>
      <c r="C133" s="552"/>
      <c r="D133" s="552"/>
      <c r="E133" s="552"/>
      <c r="F133" s="552"/>
      <c r="G133" s="552"/>
      <c r="H133" s="552"/>
      <c r="I133" s="552"/>
      <c r="J133" s="553"/>
      <c r="K133" s="56">
        <f>K118</f>
        <v>0</v>
      </c>
    </row>
    <row r="134" spans="1:12" s="3" customFormat="1" ht="34.15" customHeight="1" thickTop="1" thickBot="1" x14ac:dyDescent="0.3">
      <c r="A134" s="554" t="s">
        <v>129</v>
      </c>
      <c r="B134" s="555"/>
      <c r="C134" s="555"/>
      <c r="D134" s="555"/>
      <c r="E134" s="555"/>
      <c r="F134" s="555"/>
      <c r="G134" s="555"/>
      <c r="H134" s="555"/>
      <c r="I134" s="555"/>
      <c r="J134" s="556"/>
      <c r="K134" s="65">
        <f>SUM(K132+K133)</f>
        <v>0</v>
      </c>
    </row>
    <row r="135" spans="1:12" s="3" customFormat="1" ht="21.75" customHeight="1" thickTop="1" thickBot="1" x14ac:dyDescent="0.3">
      <c r="A135" s="7"/>
      <c r="B135" s="4"/>
      <c r="C135" s="4"/>
      <c r="D135" s="4"/>
      <c r="E135" s="4"/>
      <c r="F135" s="4"/>
      <c r="G135" s="4"/>
      <c r="H135" s="4"/>
      <c r="I135" s="4"/>
      <c r="J135" s="4"/>
      <c r="K135" s="5"/>
    </row>
    <row r="136" spans="1:12" s="3" customFormat="1" ht="21.75" customHeight="1" thickTop="1" thickBot="1" x14ac:dyDescent="0.3">
      <c r="A136" s="557" t="s">
        <v>130</v>
      </c>
      <c r="B136" s="557"/>
      <c r="C136" s="557"/>
      <c r="D136" s="557"/>
      <c r="E136" s="557"/>
      <c r="F136" s="557"/>
      <c r="G136" s="557"/>
      <c r="H136" s="557"/>
      <c r="I136" s="557"/>
      <c r="J136" s="557"/>
      <c r="K136" s="557"/>
    </row>
    <row r="137" spans="1:12" s="3" customFormat="1" ht="45" customHeight="1" thickTop="1" thickBot="1" x14ac:dyDescent="0.3">
      <c r="A137" s="558" t="s">
        <v>131</v>
      </c>
      <c r="B137" s="558"/>
      <c r="C137" s="558"/>
      <c r="D137" s="559" t="s">
        <v>132</v>
      </c>
      <c r="E137" s="559"/>
      <c r="F137" s="559" t="s">
        <v>133</v>
      </c>
      <c r="G137" s="559"/>
      <c r="H137" s="559" t="s">
        <v>134</v>
      </c>
      <c r="I137" s="559"/>
      <c r="J137" s="66" t="s">
        <v>135</v>
      </c>
      <c r="K137" s="67" t="s">
        <v>136</v>
      </c>
    </row>
    <row r="138" spans="1:12" s="3" customFormat="1" ht="21.75" customHeight="1" thickTop="1" thickBot="1" x14ac:dyDescent="0.3">
      <c r="A138" s="545" t="s">
        <v>226</v>
      </c>
      <c r="B138" s="545"/>
      <c r="C138" s="545"/>
      <c r="D138" s="546">
        <f>K134</f>
        <v>0</v>
      </c>
      <c r="E138" s="546"/>
      <c r="F138" s="547">
        <v>1</v>
      </c>
      <c r="G138" s="547"/>
      <c r="H138" s="546">
        <f>F138*D138</f>
        <v>0</v>
      </c>
      <c r="I138" s="546"/>
      <c r="J138" s="68">
        <f>K11</f>
        <v>1</v>
      </c>
      <c r="K138" s="69">
        <f>ROUND(J138*H138,2)</f>
        <v>0</v>
      </c>
    </row>
    <row r="139" spans="1:12" s="3" customFormat="1" ht="36.75" customHeight="1" thickTop="1" thickBot="1" x14ac:dyDescent="0.3">
      <c r="A139" s="548" t="s">
        <v>137</v>
      </c>
      <c r="B139" s="548"/>
      <c r="C139" s="548"/>
      <c r="D139" s="548"/>
      <c r="E139" s="548"/>
      <c r="F139" s="548"/>
      <c r="G139" s="548"/>
      <c r="H139" s="548"/>
      <c r="I139" s="548"/>
      <c r="J139" s="548"/>
      <c r="K139" s="70">
        <f>K138</f>
        <v>0</v>
      </c>
    </row>
    <row r="140" spans="1:12" s="3" customFormat="1" ht="36.75" customHeight="1" thickTop="1" thickBot="1" x14ac:dyDescent="0.3">
      <c r="A140" s="549" t="s">
        <v>138</v>
      </c>
      <c r="B140" s="550"/>
      <c r="C140" s="550"/>
      <c r="D140" s="550"/>
      <c r="E140" s="550"/>
      <c r="F140" s="550"/>
      <c r="G140" s="550"/>
      <c r="H140" s="550"/>
      <c r="I140" s="550"/>
      <c r="J140" s="550"/>
      <c r="K140" s="71">
        <f>K139*12</f>
        <v>0</v>
      </c>
    </row>
    <row r="141" spans="1:12" s="3" customFormat="1" ht="16.5" thickTop="1" x14ac:dyDescent="0.25">
      <c r="K141" s="72" t="s">
        <v>139</v>
      </c>
      <c r="L141" s="73" t="e">
        <f>K134/K33</f>
        <v>#DIV/0!</v>
      </c>
    </row>
    <row r="1048526" s="3" customFormat="1" ht="12.75" customHeight="1" x14ac:dyDescent="0.25"/>
    <row r="1048527" s="3" customFormat="1" ht="12.75" customHeight="1" x14ac:dyDescent="0.25"/>
    <row r="1048528" s="3" customFormat="1" ht="12.75" customHeight="1" x14ac:dyDescent="0.25"/>
    <row r="1048529" s="3" customFormat="1" ht="12.75" customHeight="1" x14ac:dyDescent="0.25"/>
    <row r="1048530" s="3" customFormat="1" ht="12.75" customHeight="1" x14ac:dyDescent="0.25"/>
    <row r="1048531" s="3" customFormat="1" ht="12.75" customHeight="1" x14ac:dyDescent="0.25"/>
    <row r="1048532" s="3" customFormat="1" ht="12.75" customHeight="1" x14ac:dyDescent="0.25"/>
    <row r="1048533" s="3" customFormat="1" ht="12.75" customHeight="1" x14ac:dyDescent="0.25"/>
    <row r="1048534" s="3" customFormat="1" ht="12.75" customHeight="1" x14ac:dyDescent="0.25"/>
    <row r="1048535" s="3" customFormat="1" ht="12.75" customHeight="1" x14ac:dyDescent="0.25"/>
    <row r="1048536" s="3" customFormat="1" ht="12.75" customHeight="1" x14ac:dyDescent="0.25"/>
    <row r="1048537" s="3" customFormat="1" ht="12.75" customHeight="1" x14ac:dyDescent="0.25"/>
    <row r="1048538" s="3" customFormat="1" ht="12.75" customHeight="1" x14ac:dyDescent="0.25"/>
    <row r="1048539" s="3" customFormat="1" ht="12.75" customHeight="1" x14ac:dyDescent="0.25"/>
    <row r="1048540" s="3" customFormat="1" ht="12.75" customHeight="1" x14ac:dyDescent="0.25"/>
    <row r="1048541" s="3" customFormat="1" ht="12.75" customHeight="1" x14ac:dyDescent="0.25"/>
    <row r="1048542" s="3" customFormat="1" ht="12.75" customHeight="1" x14ac:dyDescent="0.25"/>
    <row r="1048543" s="3" customFormat="1" ht="12.75" customHeight="1" x14ac:dyDescent="0.25"/>
    <row r="1048544" s="3" customFormat="1" ht="12.75" customHeight="1" x14ac:dyDescent="0.25"/>
    <row r="1048545" s="3" customFormat="1" ht="12.75" customHeight="1" x14ac:dyDescent="0.25"/>
    <row r="1048546" s="3" customFormat="1" ht="12.75" customHeight="1" x14ac:dyDescent="0.25"/>
    <row r="1048547" s="3" customFormat="1" ht="12.75" customHeight="1" x14ac:dyDescent="0.25"/>
    <row r="1048548" s="3" customFormat="1" ht="12.75" customHeight="1" x14ac:dyDescent="0.25"/>
    <row r="1048549" s="3" customFormat="1" ht="12.75" customHeight="1" x14ac:dyDescent="0.25"/>
    <row r="1048550" s="3" customFormat="1" ht="12.75" customHeight="1" x14ac:dyDescent="0.25"/>
    <row r="1048551" s="3" customFormat="1" ht="12.75" customHeight="1" x14ac:dyDescent="0.25"/>
    <row r="1048552" s="3" customFormat="1" ht="12.75" customHeight="1" x14ac:dyDescent="0.25"/>
    <row r="1048553" s="3" customFormat="1" ht="12.75" customHeight="1" x14ac:dyDescent="0.25"/>
    <row r="1048554" s="3" customFormat="1" ht="12.75" customHeight="1" x14ac:dyDescent="0.25"/>
    <row r="1048555" s="3" customFormat="1" ht="12.75" customHeight="1" x14ac:dyDescent="0.25"/>
    <row r="1048556" s="3" customFormat="1" ht="12.75" customHeight="1" x14ac:dyDescent="0.25"/>
  </sheetData>
  <mergeCells count="138">
    <mergeCell ref="A5:C5"/>
    <mergeCell ref="D5:I5"/>
    <mergeCell ref="B7:E7"/>
    <mergeCell ref="F7:K7"/>
    <mergeCell ref="A12:K14"/>
    <mergeCell ref="A15:K15"/>
    <mergeCell ref="A1:I1"/>
    <mergeCell ref="A2:C2"/>
    <mergeCell ref="D2:I2"/>
    <mergeCell ref="A3:C3"/>
    <mergeCell ref="D3:I3"/>
    <mergeCell ref="A4:C4"/>
    <mergeCell ref="D4:F4"/>
    <mergeCell ref="H4:I4"/>
    <mergeCell ref="I9:K9"/>
    <mergeCell ref="B9:H9"/>
    <mergeCell ref="A6:K6"/>
    <mergeCell ref="B28:J28"/>
    <mergeCell ref="B29:J29"/>
    <mergeCell ref="B19:J19"/>
    <mergeCell ref="A20:K22"/>
    <mergeCell ref="A23:J23"/>
    <mergeCell ref="H25:J25"/>
    <mergeCell ref="A26:A27"/>
    <mergeCell ref="B26:D27"/>
    <mergeCell ref="K26:K27"/>
    <mergeCell ref="A37:K37"/>
    <mergeCell ref="B38:I38"/>
    <mergeCell ref="B39:I39"/>
    <mergeCell ref="B40:I40"/>
    <mergeCell ref="A41:K42"/>
    <mergeCell ref="A43:K43"/>
    <mergeCell ref="B30:J30"/>
    <mergeCell ref="B31:J31"/>
    <mergeCell ref="A32:K32"/>
    <mergeCell ref="A33:J33"/>
    <mergeCell ref="A34:K35"/>
    <mergeCell ref="A36:K36"/>
    <mergeCell ref="B50:I50"/>
    <mergeCell ref="A53:K55"/>
    <mergeCell ref="A56:K56"/>
    <mergeCell ref="B57:J57"/>
    <mergeCell ref="B45:I45"/>
    <mergeCell ref="B47:I47"/>
    <mergeCell ref="B48:I48"/>
    <mergeCell ref="B44:I44"/>
    <mergeCell ref="B46:E46"/>
    <mergeCell ref="H46:I46"/>
    <mergeCell ref="B51:I51"/>
    <mergeCell ref="B52:I52"/>
    <mergeCell ref="B61:J61"/>
    <mergeCell ref="L61:O61"/>
    <mergeCell ref="B62:J62"/>
    <mergeCell ref="A63:K64"/>
    <mergeCell ref="A65:K65"/>
    <mergeCell ref="B66:I66"/>
    <mergeCell ref="B58:J58"/>
    <mergeCell ref="L58:O58"/>
    <mergeCell ref="B59:J59"/>
    <mergeCell ref="L59:O59"/>
    <mergeCell ref="B60:J60"/>
    <mergeCell ref="L60:O60"/>
    <mergeCell ref="L72:M72"/>
    <mergeCell ref="B73:I73"/>
    <mergeCell ref="L73:M73"/>
    <mergeCell ref="B74:I74"/>
    <mergeCell ref="L74:M74"/>
    <mergeCell ref="B75:I75"/>
    <mergeCell ref="L75:M75"/>
    <mergeCell ref="B67:I67"/>
    <mergeCell ref="B68:J68"/>
    <mergeCell ref="B69:J69"/>
    <mergeCell ref="A70:K70"/>
    <mergeCell ref="A71:K71"/>
    <mergeCell ref="B72:I72"/>
    <mergeCell ref="A82:K82"/>
    <mergeCell ref="A83:K83"/>
    <mergeCell ref="B84:I84"/>
    <mergeCell ref="B85:I85"/>
    <mergeCell ref="B86:I86"/>
    <mergeCell ref="B87:I87"/>
    <mergeCell ref="B76:I76"/>
    <mergeCell ref="L76:M76"/>
    <mergeCell ref="B77:I77"/>
    <mergeCell ref="L77:M77"/>
    <mergeCell ref="A78:I78"/>
    <mergeCell ref="A79:K81"/>
    <mergeCell ref="B95:I95"/>
    <mergeCell ref="B96:I96"/>
    <mergeCell ref="A97:K97"/>
    <mergeCell ref="A98:K98"/>
    <mergeCell ref="B99:J99"/>
    <mergeCell ref="B100:J100"/>
    <mergeCell ref="B88:I88"/>
    <mergeCell ref="B89:I89"/>
    <mergeCell ref="B90:I90"/>
    <mergeCell ref="A91:I91"/>
    <mergeCell ref="A92:K93"/>
    <mergeCell ref="A94:K94"/>
    <mergeCell ref="B106:D106"/>
    <mergeCell ref="E106:J106"/>
    <mergeCell ref="A107:A108"/>
    <mergeCell ref="B107:C108"/>
    <mergeCell ref="D107:J107"/>
    <mergeCell ref="D108:J108"/>
    <mergeCell ref="B101:J101"/>
    <mergeCell ref="A102:K102"/>
    <mergeCell ref="A103:J103"/>
    <mergeCell ref="B104:J104"/>
    <mergeCell ref="B105:D105"/>
    <mergeCell ref="E105:J105"/>
    <mergeCell ref="A125:K125"/>
    <mergeCell ref="A126:J126"/>
    <mergeCell ref="B127:J127"/>
    <mergeCell ref="B128:J128"/>
    <mergeCell ref="B129:J129"/>
    <mergeCell ref="B130:J130"/>
    <mergeCell ref="A109:J109"/>
    <mergeCell ref="A110:K110"/>
    <mergeCell ref="A111:J111"/>
    <mergeCell ref="A114:A117"/>
    <mergeCell ref="I115:I117"/>
    <mergeCell ref="A119:K124"/>
    <mergeCell ref="A138:C138"/>
    <mergeCell ref="D138:E138"/>
    <mergeCell ref="F138:G138"/>
    <mergeCell ref="H138:I138"/>
    <mergeCell ref="A139:J139"/>
    <mergeCell ref="A140:J140"/>
    <mergeCell ref="B131:J131"/>
    <mergeCell ref="A132:J132"/>
    <mergeCell ref="B133:J133"/>
    <mergeCell ref="A134:J134"/>
    <mergeCell ref="A136:K136"/>
    <mergeCell ref="A137:C137"/>
    <mergeCell ref="D137:E137"/>
    <mergeCell ref="F137:G137"/>
    <mergeCell ref="H137:I137"/>
  </mergeCells>
  <pageMargins left="0.511811024" right="0.511811024" top="0.78740157499999996" bottom="0.78740157499999996" header="0.31496062000000002" footer="0.31496062000000002"/>
  <pageSetup paperSize="9" scale="41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F12FD-F58B-4A70-8AFB-0B74AF792B9C}">
  <sheetPr>
    <pageSetUpPr fitToPage="1"/>
  </sheetPr>
  <dimension ref="A1:IV1048556"/>
  <sheetViews>
    <sheetView topLeftCell="A71" workbookViewId="0">
      <selection activeCell="K77" sqref="K77"/>
    </sheetView>
  </sheetViews>
  <sheetFormatPr defaultRowHeight="15.75" x14ac:dyDescent="0.2"/>
  <cols>
    <col min="1" max="10" width="12.42578125" style="76" customWidth="1"/>
    <col min="11" max="11" width="18.140625" style="76" bestFit="1" customWidth="1"/>
    <col min="12" max="12" width="18.28515625" style="76" customWidth="1"/>
    <col min="13" max="256" width="12.42578125" style="76" customWidth="1"/>
    <col min="257" max="1024" width="12.42578125" style="77" customWidth="1"/>
    <col min="1025" max="16384" width="9.140625" style="77"/>
  </cols>
  <sheetData>
    <row r="1" spans="1:11" ht="21.75" customHeight="1" thickTop="1" thickBot="1" x14ac:dyDescent="0.25">
      <c r="A1" s="423" t="s">
        <v>0</v>
      </c>
      <c r="B1" s="423"/>
      <c r="C1" s="423"/>
      <c r="D1" s="423"/>
      <c r="E1" s="423"/>
      <c r="F1" s="423"/>
      <c r="G1" s="423"/>
      <c r="H1" s="423"/>
      <c r="I1" s="442"/>
      <c r="J1" s="74"/>
      <c r="K1" s="75"/>
    </row>
    <row r="2" spans="1:11" ht="21.75" customHeight="1" thickTop="1" thickBot="1" x14ac:dyDescent="0.25">
      <c r="A2" s="534" t="s">
        <v>1</v>
      </c>
      <c r="B2" s="534"/>
      <c r="C2" s="534"/>
      <c r="D2" s="535" t="s">
        <v>330</v>
      </c>
      <c r="E2" s="535"/>
      <c r="F2" s="535"/>
      <c r="G2" s="535"/>
      <c r="H2" s="535"/>
      <c r="I2" s="536"/>
      <c r="J2" s="78"/>
      <c r="K2" s="79"/>
    </row>
    <row r="3" spans="1:11" ht="21.75" customHeight="1" thickTop="1" thickBot="1" x14ac:dyDescent="0.25">
      <c r="A3" s="534" t="s">
        <v>2</v>
      </c>
      <c r="B3" s="534"/>
      <c r="C3" s="534"/>
      <c r="D3" s="537" t="str">
        <f>'1 - Servente Sede'!D3</f>
        <v>Pregão Eletrônico nº XX/2020</v>
      </c>
      <c r="E3" s="537"/>
      <c r="F3" s="537"/>
      <c r="G3" s="537"/>
      <c r="H3" s="537"/>
      <c r="I3" s="538"/>
      <c r="J3" s="78"/>
      <c r="K3" s="79"/>
    </row>
    <row r="4" spans="1:11" ht="21.75" customHeight="1" thickTop="1" thickBot="1" x14ac:dyDescent="0.25">
      <c r="A4" s="534" t="s">
        <v>3</v>
      </c>
      <c r="B4" s="534"/>
      <c r="C4" s="534"/>
      <c r="D4" s="539"/>
      <c r="E4" s="540"/>
      <c r="F4" s="541"/>
      <c r="G4" s="80" t="s">
        <v>4</v>
      </c>
      <c r="H4" s="542"/>
      <c r="I4" s="536"/>
      <c r="J4" s="78"/>
      <c r="K4" s="79"/>
    </row>
    <row r="5" spans="1:11" ht="21.75" customHeight="1" thickTop="1" thickBot="1" x14ac:dyDescent="0.25">
      <c r="A5" s="526" t="s">
        <v>5</v>
      </c>
      <c r="B5" s="526"/>
      <c r="C5" s="526"/>
      <c r="D5" s="527" t="s">
        <v>334</v>
      </c>
      <c r="E5" s="527"/>
      <c r="F5" s="527"/>
      <c r="G5" s="527"/>
      <c r="H5" s="527"/>
      <c r="I5" s="527"/>
      <c r="J5" s="277"/>
      <c r="K5" s="79"/>
    </row>
    <row r="6" spans="1:11" ht="21.75" customHeight="1" thickTop="1" thickBot="1" x14ac:dyDescent="0.25">
      <c r="A6" s="81"/>
      <c r="B6" s="82"/>
      <c r="C6" s="82"/>
      <c r="D6" s="82"/>
      <c r="E6" s="82"/>
      <c r="F6" s="82"/>
      <c r="G6" s="82"/>
      <c r="H6" s="82"/>
      <c r="I6" s="279"/>
      <c r="J6" s="279"/>
      <c r="K6" s="278"/>
    </row>
    <row r="7" spans="1:11" ht="21.75" customHeight="1" thickTop="1" thickBot="1" x14ac:dyDescent="0.25">
      <c r="A7" s="274" t="s">
        <v>7</v>
      </c>
      <c r="B7" s="528" t="s">
        <v>8</v>
      </c>
      <c r="C7" s="528"/>
      <c r="D7" s="528"/>
      <c r="E7" s="528"/>
      <c r="F7" s="529" t="s">
        <v>140</v>
      </c>
      <c r="G7" s="529"/>
      <c r="H7" s="529"/>
      <c r="I7" s="529"/>
      <c r="J7" s="529"/>
      <c r="K7" s="529"/>
    </row>
    <row r="8" spans="1:11" ht="21.75" customHeight="1" thickTop="1" thickBot="1" x14ac:dyDescent="0.25">
      <c r="A8" s="274" t="s">
        <v>7</v>
      </c>
      <c r="B8" s="275" t="s">
        <v>9</v>
      </c>
      <c r="C8" s="84"/>
      <c r="D8" s="84"/>
      <c r="E8" s="84"/>
      <c r="F8" s="84"/>
      <c r="G8" s="84"/>
      <c r="H8" s="84"/>
      <c r="I8" s="84"/>
      <c r="J8" s="276"/>
      <c r="K8" s="85">
        <v>12</v>
      </c>
    </row>
    <row r="9" spans="1:11" ht="21.75" customHeight="1" thickTop="1" thickBot="1" x14ac:dyDescent="0.25">
      <c r="A9" s="83" t="s">
        <v>7</v>
      </c>
      <c r="B9" s="86" t="s">
        <v>10</v>
      </c>
      <c r="C9" s="86"/>
      <c r="D9" s="86"/>
      <c r="E9" s="86"/>
      <c r="F9" s="86"/>
      <c r="G9" s="86"/>
      <c r="H9" s="86"/>
      <c r="I9" s="679">
        <f>'1 - Servente Sede'!I9</f>
        <v>0</v>
      </c>
      <c r="J9" s="679"/>
      <c r="K9" s="680"/>
    </row>
    <row r="10" spans="1:11" ht="21.75" customHeight="1" thickTop="1" thickBot="1" x14ac:dyDescent="0.25">
      <c r="A10" s="83" t="s">
        <v>7</v>
      </c>
      <c r="B10" s="86" t="s">
        <v>11</v>
      </c>
      <c r="C10" s="86"/>
      <c r="D10" s="86"/>
      <c r="E10" s="86"/>
      <c r="F10" s="86"/>
      <c r="G10" s="86"/>
      <c r="H10" s="86"/>
      <c r="I10" s="86"/>
      <c r="J10" s="86"/>
      <c r="K10" s="87" t="s">
        <v>335</v>
      </c>
    </row>
    <row r="11" spans="1:11" ht="21.75" customHeight="1" thickTop="1" thickBot="1" x14ac:dyDescent="0.25">
      <c r="A11" s="83" t="s">
        <v>7</v>
      </c>
      <c r="B11" s="86" t="s">
        <v>142</v>
      </c>
      <c r="C11" s="86"/>
      <c r="D11" s="86"/>
      <c r="E11" s="86"/>
      <c r="F11" s="86"/>
      <c r="G11" s="86"/>
      <c r="H11" s="86"/>
      <c r="I11" s="86"/>
      <c r="J11" s="86"/>
      <c r="K11" s="88">
        <v>1</v>
      </c>
    </row>
    <row r="12" spans="1:11" ht="21.75" customHeight="1" thickTop="1" thickBot="1" x14ac:dyDescent="0.25">
      <c r="A12" s="530" t="s">
        <v>147</v>
      </c>
      <c r="B12" s="531"/>
      <c r="C12" s="531"/>
      <c r="D12" s="531"/>
      <c r="E12" s="531"/>
      <c r="F12" s="531"/>
      <c r="G12" s="531"/>
      <c r="H12" s="531"/>
      <c r="I12" s="531"/>
      <c r="J12" s="531"/>
      <c r="K12" s="532"/>
    </row>
    <row r="13" spans="1:11" ht="21.75" customHeight="1" thickTop="1" thickBot="1" x14ac:dyDescent="0.25">
      <c r="A13" s="533"/>
      <c r="B13" s="531"/>
      <c r="C13" s="531"/>
      <c r="D13" s="531"/>
      <c r="E13" s="531"/>
      <c r="F13" s="531"/>
      <c r="G13" s="531"/>
      <c r="H13" s="531"/>
      <c r="I13" s="531"/>
      <c r="J13" s="531"/>
      <c r="K13" s="532"/>
    </row>
    <row r="14" spans="1:11" ht="21.75" customHeight="1" thickTop="1" thickBot="1" x14ac:dyDescent="0.25">
      <c r="A14" s="533"/>
      <c r="B14" s="531"/>
      <c r="C14" s="531"/>
      <c r="D14" s="531"/>
      <c r="E14" s="531"/>
      <c r="F14" s="531"/>
      <c r="G14" s="531"/>
      <c r="H14" s="531"/>
      <c r="I14" s="531"/>
      <c r="J14" s="531"/>
      <c r="K14" s="532"/>
    </row>
    <row r="15" spans="1:11" ht="21.75" customHeight="1" thickTop="1" thickBot="1" x14ac:dyDescent="0.25">
      <c r="A15" s="442" t="s">
        <v>15</v>
      </c>
      <c r="B15" s="442"/>
      <c r="C15" s="442"/>
      <c r="D15" s="442"/>
      <c r="E15" s="442"/>
      <c r="F15" s="442"/>
      <c r="G15" s="442"/>
      <c r="H15" s="442"/>
      <c r="I15" s="442"/>
      <c r="J15" s="442"/>
      <c r="K15" s="442"/>
    </row>
    <row r="16" spans="1:11" ht="21.75" customHeight="1" thickTop="1" thickBot="1" x14ac:dyDescent="0.25">
      <c r="A16" s="100">
        <v>1</v>
      </c>
      <c r="B16" s="86" t="s">
        <v>16</v>
      </c>
      <c r="C16" s="86"/>
      <c r="D16" s="86"/>
      <c r="E16" s="86"/>
      <c r="F16" s="86"/>
      <c r="G16" s="86"/>
      <c r="H16" s="86"/>
      <c r="I16" s="86"/>
      <c r="J16" s="86"/>
      <c r="K16" s="345"/>
    </row>
    <row r="17" spans="1:18" ht="21.75" customHeight="1" thickTop="1" thickBot="1" x14ac:dyDescent="0.25">
      <c r="A17" s="100">
        <v>2</v>
      </c>
      <c r="B17" s="86" t="s">
        <v>17</v>
      </c>
      <c r="C17" s="86"/>
      <c r="D17" s="86"/>
      <c r="E17" s="86"/>
      <c r="F17" s="86"/>
      <c r="G17" s="86"/>
      <c r="H17" s="86"/>
      <c r="I17" s="86"/>
      <c r="J17" s="86"/>
      <c r="K17" s="91" t="s">
        <v>334</v>
      </c>
    </row>
    <row r="18" spans="1:18" ht="21.75" customHeight="1" thickTop="1" thickBot="1" x14ac:dyDescent="0.25">
      <c r="A18" s="100">
        <v>3</v>
      </c>
      <c r="B18" s="86" t="s">
        <v>18</v>
      </c>
      <c r="C18" s="86"/>
      <c r="D18" s="86"/>
      <c r="E18" s="86"/>
      <c r="F18" s="86"/>
      <c r="G18" s="86"/>
      <c r="H18" s="86"/>
      <c r="I18" s="86"/>
      <c r="J18" s="86"/>
      <c r="K18" s="92">
        <v>43862</v>
      </c>
    </row>
    <row r="19" spans="1:18" ht="21.75" customHeight="1" thickTop="1" thickBot="1" x14ac:dyDescent="0.25">
      <c r="A19" s="93">
        <v>4</v>
      </c>
      <c r="B19" s="509" t="s">
        <v>19</v>
      </c>
      <c r="C19" s="510"/>
      <c r="D19" s="510"/>
      <c r="E19" s="510"/>
      <c r="F19" s="510"/>
      <c r="G19" s="510"/>
      <c r="H19" s="510"/>
      <c r="I19" s="510"/>
      <c r="J19" s="510"/>
      <c r="K19" s="94" t="s">
        <v>143</v>
      </c>
    </row>
    <row r="20" spans="1:18" ht="21.75" customHeight="1" thickTop="1" x14ac:dyDescent="0.2">
      <c r="A20" s="511" t="s">
        <v>148</v>
      </c>
      <c r="B20" s="512"/>
      <c r="C20" s="512"/>
      <c r="D20" s="512"/>
      <c r="E20" s="512"/>
      <c r="F20" s="512"/>
      <c r="G20" s="512"/>
      <c r="H20" s="512"/>
      <c r="I20" s="512"/>
      <c r="J20" s="512"/>
      <c r="K20" s="513"/>
    </row>
    <row r="21" spans="1:18" ht="19.149999999999999" customHeight="1" thickBot="1" x14ac:dyDescent="0.25">
      <c r="A21" s="514"/>
      <c r="B21" s="515"/>
      <c r="C21" s="515"/>
      <c r="D21" s="515"/>
      <c r="E21" s="515"/>
      <c r="F21" s="515"/>
      <c r="G21" s="515"/>
      <c r="H21" s="515"/>
      <c r="I21" s="515"/>
      <c r="J21" s="515"/>
      <c r="K21" s="516"/>
    </row>
    <row r="22" spans="1:18" ht="21.6" hidden="1" customHeight="1" x14ac:dyDescent="0.2">
      <c r="A22" s="517"/>
      <c r="B22" s="518"/>
      <c r="C22" s="518"/>
      <c r="D22" s="518"/>
      <c r="E22" s="518"/>
      <c r="F22" s="518"/>
      <c r="G22" s="518"/>
      <c r="H22" s="518"/>
      <c r="I22" s="518"/>
      <c r="J22" s="518"/>
      <c r="K22" s="519"/>
    </row>
    <row r="23" spans="1:18" ht="21.75" customHeight="1" thickTop="1" thickBot="1" x14ac:dyDescent="0.25">
      <c r="A23" s="442" t="s">
        <v>21</v>
      </c>
      <c r="B23" s="442"/>
      <c r="C23" s="442"/>
      <c r="D23" s="442"/>
      <c r="E23" s="442"/>
      <c r="F23" s="442"/>
      <c r="G23" s="442"/>
      <c r="H23" s="442"/>
      <c r="I23" s="442"/>
      <c r="J23" s="442"/>
      <c r="K23" s="95" t="s">
        <v>22</v>
      </c>
    </row>
    <row r="24" spans="1:18" ht="21.75" customHeight="1" thickTop="1" thickBot="1" x14ac:dyDescent="0.25">
      <c r="A24" s="100" t="s">
        <v>23</v>
      </c>
      <c r="B24" s="86" t="s">
        <v>24</v>
      </c>
      <c r="C24" s="86"/>
      <c r="D24" s="86"/>
      <c r="E24" s="86"/>
      <c r="F24" s="86"/>
      <c r="G24" s="86"/>
      <c r="H24" s="86"/>
      <c r="I24" s="86"/>
      <c r="J24" s="96"/>
      <c r="K24" s="102">
        <f>K16</f>
        <v>0</v>
      </c>
    </row>
    <row r="25" spans="1:18" ht="21.75" customHeight="1" thickTop="1" thickBot="1" x14ac:dyDescent="0.25">
      <c r="A25" s="100" t="s">
        <v>25</v>
      </c>
      <c r="B25" s="98" t="s">
        <v>26</v>
      </c>
      <c r="C25" s="98"/>
      <c r="D25" s="98"/>
      <c r="E25" s="99" t="s">
        <v>27</v>
      </c>
      <c r="F25" s="99"/>
      <c r="G25" s="86"/>
      <c r="H25" s="520">
        <v>0</v>
      </c>
      <c r="I25" s="521"/>
      <c r="J25" s="522"/>
      <c r="K25" s="102">
        <f>K24*H25</f>
        <v>0</v>
      </c>
    </row>
    <row r="26" spans="1:18" ht="21.75" customHeight="1" thickTop="1" thickBot="1" x14ac:dyDescent="0.3">
      <c r="A26" s="523" t="s">
        <v>28</v>
      </c>
      <c r="B26" s="524" t="s">
        <v>29</v>
      </c>
      <c r="C26" s="524"/>
      <c r="D26" s="524"/>
      <c r="E26" s="99" t="s">
        <v>30</v>
      </c>
      <c r="F26" s="99"/>
      <c r="G26" s="86"/>
      <c r="H26" s="86"/>
      <c r="I26" s="86"/>
      <c r="J26" s="101"/>
      <c r="K26" s="525">
        <f>L27*0.4</f>
        <v>0</v>
      </c>
      <c r="L26"/>
      <c r="M26"/>
      <c r="N26"/>
      <c r="O26"/>
      <c r="P26"/>
      <c r="Q26"/>
      <c r="R26"/>
    </row>
    <row r="27" spans="1:18" ht="21.75" customHeight="1" thickTop="1" thickBot="1" x14ac:dyDescent="0.3">
      <c r="A27" s="523"/>
      <c r="B27" s="524"/>
      <c r="C27" s="524"/>
      <c r="D27" s="524"/>
      <c r="E27" s="99" t="s">
        <v>31</v>
      </c>
      <c r="F27" s="99"/>
      <c r="G27" s="86"/>
      <c r="H27" s="99" t="s">
        <v>32</v>
      </c>
      <c r="I27" s="86"/>
      <c r="J27" s="96"/>
      <c r="K27" s="525"/>
      <c r="L27"/>
      <c r="M27"/>
      <c r="N27"/>
      <c r="O27"/>
      <c r="P27"/>
      <c r="Q27"/>
      <c r="R27"/>
    </row>
    <row r="28" spans="1:18" ht="21.75" customHeight="1" thickTop="1" thickBot="1" x14ac:dyDescent="0.3">
      <c r="A28" s="100" t="s">
        <v>33</v>
      </c>
      <c r="B28" s="506" t="s">
        <v>34</v>
      </c>
      <c r="C28" s="506"/>
      <c r="D28" s="506"/>
      <c r="E28" s="507"/>
      <c r="F28" s="507"/>
      <c r="G28" s="507"/>
      <c r="H28" s="507"/>
      <c r="I28" s="507"/>
      <c r="J28" s="508"/>
      <c r="K28" s="102">
        <v>0</v>
      </c>
      <c r="L28"/>
      <c r="M28"/>
      <c r="N28"/>
      <c r="O28"/>
      <c r="P28"/>
      <c r="Q28"/>
      <c r="R28"/>
    </row>
    <row r="29" spans="1:18" ht="21.75" customHeight="1" thickTop="1" thickBot="1" x14ac:dyDescent="0.25">
      <c r="A29" s="100" t="s">
        <v>35</v>
      </c>
      <c r="B29" s="428" t="s">
        <v>36</v>
      </c>
      <c r="C29" s="428"/>
      <c r="D29" s="428"/>
      <c r="E29" s="428"/>
      <c r="F29" s="428"/>
      <c r="G29" s="428"/>
      <c r="H29" s="428"/>
      <c r="I29" s="428"/>
      <c r="J29" s="429"/>
      <c r="K29" s="102">
        <v>0</v>
      </c>
      <c r="L29" s="103"/>
    </row>
    <row r="30" spans="1:18" ht="21.75" customHeight="1" thickTop="1" thickBot="1" x14ac:dyDescent="0.25">
      <c r="A30" s="100" t="s">
        <v>37</v>
      </c>
      <c r="B30" s="428" t="s">
        <v>38</v>
      </c>
      <c r="C30" s="428"/>
      <c r="D30" s="428"/>
      <c r="E30" s="428"/>
      <c r="F30" s="428"/>
      <c r="G30" s="428"/>
      <c r="H30" s="428"/>
      <c r="I30" s="428"/>
      <c r="J30" s="429"/>
      <c r="K30" s="102">
        <v>0</v>
      </c>
    </row>
    <row r="31" spans="1:18" ht="21.75" customHeight="1" thickTop="1" thickBot="1" x14ac:dyDescent="0.25">
      <c r="A31" s="100" t="s">
        <v>39</v>
      </c>
      <c r="B31" s="428" t="s">
        <v>87</v>
      </c>
      <c r="C31" s="428"/>
      <c r="D31" s="428"/>
      <c r="E31" s="428"/>
      <c r="F31" s="428"/>
      <c r="G31" s="428"/>
      <c r="H31" s="428"/>
      <c r="I31" s="428"/>
      <c r="J31" s="429"/>
      <c r="K31" s="104">
        <v>0</v>
      </c>
    </row>
    <row r="32" spans="1:18" ht="21.6" hidden="1" customHeight="1" x14ac:dyDescent="0.2">
      <c r="A32" s="503"/>
      <c r="B32" s="504"/>
      <c r="C32" s="504"/>
      <c r="D32" s="504"/>
      <c r="E32" s="504"/>
      <c r="F32" s="504"/>
      <c r="G32" s="504"/>
      <c r="H32" s="504"/>
      <c r="I32" s="504"/>
      <c r="J32" s="504"/>
      <c r="K32" s="505"/>
    </row>
    <row r="33" spans="1:13" ht="21.75" customHeight="1" thickTop="1" thickBot="1" x14ac:dyDescent="0.25">
      <c r="A33" s="423" t="s">
        <v>41</v>
      </c>
      <c r="B33" s="424"/>
      <c r="C33" s="424"/>
      <c r="D33" s="424"/>
      <c r="E33" s="424"/>
      <c r="F33" s="424"/>
      <c r="G33" s="424"/>
      <c r="H33" s="424"/>
      <c r="I33" s="424"/>
      <c r="J33" s="426"/>
      <c r="K33" s="105">
        <f>SUM(K24:K31)</f>
        <v>0</v>
      </c>
      <c r="M33" s="106"/>
    </row>
    <row r="34" spans="1:13" ht="21.75" customHeight="1" thickTop="1" x14ac:dyDescent="0.2">
      <c r="A34" s="464" t="s">
        <v>149</v>
      </c>
      <c r="B34" s="465"/>
      <c r="C34" s="465"/>
      <c r="D34" s="465"/>
      <c r="E34" s="465"/>
      <c r="F34" s="465"/>
      <c r="G34" s="465"/>
      <c r="H34" s="465"/>
      <c r="I34" s="465"/>
      <c r="J34" s="465"/>
      <c r="K34" s="466"/>
    </row>
    <row r="35" spans="1:13" ht="55.5" customHeight="1" thickBot="1" x14ac:dyDescent="0.25">
      <c r="A35" s="467"/>
      <c r="B35" s="468"/>
      <c r="C35" s="468"/>
      <c r="D35" s="468"/>
      <c r="E35" s="468"/>
      <c r="F35" s="468"/>
      <c r="G35" s="468"/>
      <c r="H35" s="468"/>
      <c r="I35" s="468"/>
      <c r="J35" s="468"/>
      <c r="K35" s="469"/>
    </row>
    <row r="36" spans="1:13" ht="21.75" customHeight="1" thickTop="1" thickBot="1" x14ac:dyDescent="0.25">
      <c r="A36" s="423" t="s">
        <v>43</v>
      </c>
      <c r="B36" s="423"/>
      <c r="C36" s="423"/>
      <c r="D36" s="423"/>
      <c r="E36" s="423"/>
      <c r="F36" s="423"/>
      <c r="G36" s="423"/>
      <c r="H36" s="423"/>
      <c r="I36" s="423"/>
      <c r="J36" s="423"/>
      <c r="K36" s="442"/>
    </row>
    <row r="37" spans="1:13" ht="21.75" customHeight="1" thickTop="1" thickBot="1" x14ac:dyDescent="0.25">
      <c r="A37" s="423" t="s">
        <v>150</v>
      </c>
      <c r="B37" s="423"/>
      <c r="C37" s="423"/>
      <c r="D37" s="423"/>
      <c r="E37" s="423"/>
      <c r="F37" s="423"/>
      <c r="G37" s="423"/>
      <c r="H37" s="423"/>
      <c r="I37" s="423"/>
      <c r="J37" s="423"/>
      <c r="K37" s="442"/>
    </row>
    <row r="38" spans="1:13" ht="21.75" customHeight="1" thickTop="1" thickBot="1" x14ac:dyDescent="0.25">
      <c r="A38" s="107" t="s">
        <v>23</v>
      </c>
      <c r="B38" s="501" t="s">
        <v>45</v>
      </c>
      <c r="C38" s="501"/>
      <c r="D38" s="501"/>
      <c r="E38" s="501"/>
      <c r="F38" s="501"/>
      <c r="G38" s="501"/>
      <c r="H38" s="501"/>
      <c r="I38" s="501"/>
      <c r="J38" s="108">
        <v>8.3299999999999999E-2</v>
      </c>
      <c r="K38" s="109">
        <f>K33*(1/12)</f>
        <v>0</v>
      </c>
      <c r="L38" s="110"/>
    </row>
    <row r="39" spans="1:13" ht="21.75" customHeight="1" thickTop="1" thickBot="1" x14ac:dyDescent="0.25">
      <c r="A39" s="107" t="s">
        <v>25</v>
      </c>
      <c r="B39" s="501" t="s">
        <v>46</v>
      </c>
      <c r="C39" s="501"/>
      <c r="D39" s="501"/>
      <c r="E39" s="501"/>
      <c r="F39" s="501"/>
      <c r="G39" s="501"/>
      <c r="H39" s="501"/>
      <c r="I39" s="501"/>
      <c r="J39" s="108">
        <v>0.1111</v>
      </c>
      <c r="K39" s="109">
        <f>(K33*(1/12))+(K33*1/12*1/3)</f>
        <v>0</v>
      </c>
      <c r="L39" s="111"/>
    </row>
    <row r="40" spans="1:13" ht="21.75" customHeight="1" thickTop="1" thickBot="1" x14ac:dyDescent="0.25">
      <c r="A40" s="155"/>
      <c r="B40" s="502" t="s">
        <v>47</v>
      </c>
      <c r="C40" s="502"/>
      <c r="D40" s="502"/>
      <c r="E40" s="502"/>
      <c r="F40" s="502"/>
      <c r="G40" s="502"/>
      <c r="H40" s="502"/>
      <c r="I40" s="502"/>
      <c r="J40" s="113">
        <f>J38+J39</f>
        <v>0.19440000000000002</v>
      </c>
      <c r="K40" s="105">
        <f>ROUND(SUM(K38+K39),2)</f>
        <v>0</v>
      </c>
    </row>
    <row r="41" spans="1:13" ht="21.75" customHeight="1" thickTop="1" x14ac:dyDescent="0.2">
      <c r="A41" s="464" t="s">
        <v>151</v>
      </c>
      <c r="B41" s="465"/>
      <c r="C41" s="465"/>
      <c r="D41" s="465"/>
      <c r="E41" s="465"/>
      <c r="F41" s="465"/>
      <c r="G41" s="465"/>
      <c r="H41" s="465"/>
      <c r="I41" s="465"/>
      <c r="J41" s="465"/>
      <c r="K41" s="466"/>
    </row>
    <row r="42" spans="1:13" ht="55.15" customHeight="1" thickBot="1" x14ac:dyDescent="0.25">
      <c r="A42" s="467"/>
      <c r="B42" s="468"/>
      <c r="C42" s="468"/>
      <c r="D42" s="468"/>
      <c r="E42" s="468"/>
      <c r="F42" s="468"/>
      <c r="G42" s="468"/>
      <c r="H42" s="468"/>
      <c r="I42" s="468"/>
      <c r="J42" s="468"/>
      <c r="K42" s="469"/>
    </row>
    <row r="43" spans="1:13" ht="21.75" customHeight="1" thickTop="1" thickBot="1" x14ac:dyDescent="0.25">
      <c r="A43" s="423" t="s">
        <v>49</v>
      </c>
      <c r="B43" s="424"/>
      <c r="C43" s="424"/>
      <c r="D43" s="424"/>
      <c r="E43" s="424"/>
      <c r="F43" s="424"/>
      <c r="G43" s="424"/>
      <c r="H43" s="424"/>
      <c r="I43" s="424"/>
      <c r="J43" s="424"/>
      <c r="K43" s="426"/>
    </row>
    <row r="44" spans="1:13" ht="21.75" customHeight="1" thickTop="1" thickBot="1" x14ac:dyDescent="0.25">
      <c r="A44" s="100" t="s">
        <v>23</v>
      </c>
      <c r="B44" s="495" t="s">
        <v>50</v>
      </c>
      <c r="C44" s="495"/>
      <c r="D44" s="495"/>
      <c r="E44" s="495"/>
      <c r="F44" s="495"/>
      <c r="G44" s="495"/>
      <c r="H44" s="495"/>
      <c r="I44" s="495"/>
      <c r="J44" s="115">
        <v>0.2</v>
      </c>
      <c r="K44" s="102">
        <f>J44*(K33+K40)</f>
        <v>0</v>
      </c>
    </row>
    <row r="45" spans="1:13" ht="21.75" customHeight="1" thickTop="1" thickBot="1" x14ac:dyDescent="0.25">
      <c r="A45" s="100" t="s">
        <v>25</v>
      </c>
      <c r="B45" s="496" t="s">
        <v>54</v>
      </c>
      <c r="C45" s="428"/>
      <c r="D45" s="428"/>
      <c r="E45" s="428"/>
      <c r="F45" s="428"/>
      <c r="G45" s="428"/>
      <c r="H45" s="428"/>
      <c r="I45" s="497"/>
      <c r="J45" s="115">
        <v>2.5000000000000001E-2</v>
      </c>
      <c r="K45" s="102">
        <f>J45*(K33+K40)</f>
        <v>0</v>
      </c>
    </row>
    <row r="46" spans="1:13" ht="21.75" customHeight="1" thickTop="1" thickBot="1" x14ac:dyDescent="0.25">
      <c r="A46" s="100" t="s">
        <v>28</v>
      </c>
      <c r="B46" s="496" t="s">
        <v>243</v>
      </c>
      <c r="C46" s="428"/>
      <c r="D46" s="428"/>
      <c r="E46" s="498"/>
      <c r="F46" s="280">
        <v>0.03</v>
      </c>
      <c r="G46" s="281" t="s">
        <v>57</v>
      </c>
      <c r="H46" s="617">
        <v>1</v>
      </c>
      <c r="I46" s="618"/>
      <c r="J46" s="115">
        <f>F46*H46</f>
        <v>0.03</v>
      </c>
      <c r="K46" s="102">
        <f>J46*(K33+K40)</f>
        <v>0</v>
      </c>
    </row>
    <row r="47" spans="1:13" ht="21.75" customHeight="1" thickTop="1" thickBot="1" x14ac:dyDescent="0.25">
      <c r="A47" s="100" t="s">
        <v>33</v>
      </c>
      <c r="B47" s="496" t="s">
        <v>51</v>
      </c>
      <c r="C47" s="428"/>
      <c r="D47" s="428"/>
      <c r="E47" s="428"/>
      <c r="F47" s="428"/>
      <c r="G47" s="428"/>
      <c r="H47" s="428"/>
      <c r="I47" s="497"/>
      <c r="J47" s="115">
        <v>1.4999999999999999E-2</v>
      </c>
      <c r="K47" s="102">
        <f>J47*(K33+K40)</f>
        <v>0</v>
      </c>
    </row>
    <row r="48" spans="1:13" ht="21.75" customHeight="1" thickTop="1" thickBot="1" x14ac:dyDescent="0.25">
      <c r="A48" s="100" t="s">
        <v>35</v>
      </c>
      <c r="B48" s="496" t="s">
        <v>52</v>
      </c>
      <c r="C48" s="428"/>
      <c r="D48" s="428"/>
      <c r="E48" s="428"/>
      <c r="F48" s="428"/>
      <c r="G48" s="428"/>
      <c r="H48" s="428"/>
      <c r="I48" s="497"/>
      <c r="J48" s="115">
        <v>0.01</v>
      </c>
      <c r="K48" s="102">
        <f>J48*(K33+K40)</f>
        <v>0</v>
      </c>
    </row>
    <row r="49" spans="1:16" ht="21.75" customHeight="1" thickTop="1" thickBot="1" x14ac:dyDescent="0.25">
      <c r="A49" s="100" t="s">
        <v>37</v>
      </c>
      <c r="B49" s="86" t="s">
        <v>59</v>
      </c>
      <c r="C49" s="86"/>
      <c r="D49" s="86"/>
      <c r="E49" s="86"/>
      <c r="F49" s="86"/>
      <c r="G49" s="86"/>
      <c r="H49" s="86"/>
      <c r="I49" s="86"/>
      <c r="J49" s="115">
        <v>6.0000000000000001E-3</v>
      </c>
      <c r="K49" s="102">
        <f>J49*(K33+K40)</f>
        <v>0</v>
      </c>
    </row>
    <row r="50" spans="1:16" ht="21.75" customHeight="1" thickTop="1" thickBot="1" x14ac:dyDescent="0.25">
      <c r="A50" s="100" t="s">
        <v>39</v>
      </c>
      <c r="B50" s="496" t="s">
        <v>53</v>
      </c>
      <c r="C50" s="428"/>
      <c r="D50" s="428"/>
      <c r="E50" s="428"/>
      <c r="F50" s="428"/>
      <c r="G50" s="428"/>
      <c r="H50" s="428"/>
      <c r="I50" s="497"/>
      <c r="J50" s="116">
        <v>2E-3</v>
      </c>
      <c r="K50" s="102">
        <f>J50*(K33+K40)</f>
        <v>0</v>
      </c>
    </row>
    <row r="51" spans="1:16" ht="21.75" customHeight="1" thickTop="1" thickBot="1" x14ac:dyDescent="0.25">
      <c r="A51" s="100" t="s">
        <v>58</v>
      </c>
      <c r="B51" s="496" t="s">
        <v>55</v>
      </c>
      <c r="C51" s="428"/>
      <c r="D51" s="428"/>
      <c r="E51" s="428"/>
      <c r="F51" s="428"/>
      <c r="G51" s="428"/>
      <c r="H51" s="428"/>
      <c r="I51" s="497"/>
      <c r="J51" s="116">
        <v>0.08</v>
      </c>
      <c r="K51" s="408">
        <f>J51*(K33+K40)</f>
        <v>0</v>
      </c>
    </row>
    <row r="52" spans="1:16" ht="21.75" customHeight="1" thickTop="1" thickBot="1" x14ac:dyDescent="0.25">
      <c r="A52" s="154"/>
      <c r="B52" s="423" t="s">
        <v>47</v>
      </c>
      <c r="C52" s="424"/>
      <c r="D52" s="424"/>
      <c r="E52" s="424"/>
      <c r="F52" s="424"/>
      <c r="G52" s="424"/>
      <c r="H52" s="424"/>
      <c r="I52" s="426"/>
      <c r="J52" s="114">
        <f>SUM(J44:J51)</f>
        <v>0.36800000000000005</v>
      </c>
      <c r="K52" s="282">
        <f>SUM(K44:K51)</f>
        <v>0</v>
      </c>
    </row>
    <row r="53" spans="1:16" ht="21.75" customHeight="1" thickTop="1" x14ac:dyDescent="0.2">
      <c r="A53" s="486" t="s">
        <v>152</v>
      </c>
      <c r="B53" s="487"/>
      <c r="C53" s="487"/>
      <c r="D53" s="487"/>
      <c r="E53" s="487"/>
      <c r="F53" s="487"/>
      <c r="G53" s="487"/>
      <c r="H53" s="487"/>
      <c r="I53" s="487"/>
      <c r="J53" s="487"/>
      <c r="K53" s="488"/>
    </row>
    <row r="54" spans="1:16" ht="21.75" customHeight="1" x14ac:dyDescent="0.2">
      <c r="A54" s="489"/>
      <c r="B54" s="490"/>
      <c r="C54" s="490"/>
      <c r="D54" s="490"/>
      <c r="E54" s="490"/>
      <c r="F54" s="490"/>
      <c r="G54" s="490"/>
      <c r="H54" s="490"/>
      <c r="I54" s="490"/>
      <c r="J54" s="490"/>
      <c r="K54" s="491"/>
    </row>
    <row r="55" spans="1:16" ht="12.6" customHeight="1" thickBot="1" x14ac:dyDescent="0.25">
      <c r="A55" s="492"/>
      <c r="B55" s="493"/>
      <c r="C55" s="493"/>
      <c r="D55" s="493"/>
      <c r="E55" s="493"/>
      <c r="F55" s="493"/>
      <c r="G55" s="493"/>
      <c r="H55" s="493"/>
      <c r="I55" s="493"/>
      <c r="J55" s="493"/>
      <c r="K55" s="494"/>
    </row>
    <row r="56" spans="1:16" ht="21.75" customHeight="1" thickTop="1" thickBot="1" x14ac:dyDescent="0.25">
      <c r="A56" s="423" t="s">
        <v>61</v>
      </c>
      <c r="B56" s="424"/>
      <c r="C56" s="424"/>
      <c r="D56" s="424"/>
      <c r="E56" s="424"/>
      <c r="F56" s="424"/>
      <c r="G56" s="424"/>
      <c r="H56" s="424"/>
      <c r="I56" s="424"/>
      <c r="J56" s="424"/>
      <c r="K56" s="426"/>
    </row>
    <row r="57" spans="1:16" ht="21.75" customHeight="1" thickTop="1" thickBot="1" x14ac:dyDescent="0.25">
      <c r="A57" s="95" t="s">
        <v>23</v>
      </c>
      <c r="B57" s="459" t="s">
        <v>424</v>
      </c>
      <c r="C57" s="459"/>
      <c r="D57" s="459"/>
      <c r="E57" s="459"/>
      <c r="F57" s="459"/>
      <c r="G57" s="459"/>
      <c r="H57" s="459"/>
      <c r="I57" s="459"/>
      <c r="J57" s="459"/>
      <c r="K57" s="117">
        <v>0</v>
      </c>
      <c r="L57" s="111"/>
    </row>
    <row r="58" spans="1:16" ht="21.75" customHeight="1" thickTop="1" thickBot="1" x14ac:dyDescent="0.25">
      <c r="A58" s="95" t="s">
        <v>25</v>
      </c>
      <c r="B58" s="459" t="s">
        <v>423</v>
      </c>
      <c r="C58" s="459"/>
      <c r="D58" s="459"/>
      <c r="E58" s="459"/>
      <c r="F58" s="459"/>
      <c r="G58" s="459"/>
      <c r="H58" s="459"/>
      <c r="I58" s="459"/>
      <c r="J58" s="459"/>
      <c r="K58" s="109">
        <v>0</v>
      </c>
      <c r="L58" s="484"/>
      <c r="M58" s="485"/>
      <c r="N58" s="485"/>
      <c r="O58" s="485"/>
    </row>
    <row r="59" spans="1:16" ht="21.75" customHeight="1" thickTop="1" thickBot="1" x14ac:dyDescent="0.25">
      <c r="A59" s="95" t="s">
        <v>28</v>
      </c>
      <c r="B59" s="459" t="s">
        <v>421</v>
      </c>
      <c r="C59" s="459"/>
      <c r="D59" s="459"/>
      <c r="E59" s="459"/>
      <c r="F59" s="459"/>
      <c r="G59" s="459"/>
      <c r="H59" s="459"/>
      <c r="I59" s="459"/>
      <c r="J59" s="459"/>
      <c r="K59" s="109">
        <v>0</v>
      </c>
      <c r="L59" s="484"/>
      <c r="M59" s="485"/>
      <c r="N59" s="485"/>
      <c r="O59" s="485"/>
      <c r="P59" s="111"/>
    </row>
    <row r="60" spans="1:16" ht="21.75" customHeight="1" thickTop="1" thickBot="1" x14ac:dyDescent="0.25">
      <c r="A60" s="95" t="s">
        <v>33</v>
      </c>
      <c r="B60" s="459" t="s">
        <v>420</v>
      </c>
      <c r="C60" s="459"/>
      <c r="D60" s="459"/>
      <c r="E60" s="459"/>
      <c r="F60" s="459"/>
      <c r="G60" s="459"/>
      <c r="H60" s="459"/>
      <c r="I60" s="459"/>
      <c r="J60" s="459"/>
      <c r="K60" s="109">
        <v>0</v>
      </c>
      <c r="L60" s="484"/>
      <c r="M60" s="485"/>
      <c r="N60" s="485"/>
      <c r="O60" s="485"/>
    </row>
    <row r="61" spans="1:16" ht="21.75" customHeight="1" thickTop="1" thickBot="1" x14ac:dyDescent="0.25">
      <c r="A61" s="95" t="s">
        <v>35</v>
      </c>
      <c r="B61" s="459" t="s">
        <v>87</v>
      </c>
      <c r="C61" s="459"/>
      <c r="D61" s="459"/>
      <c r="E61" s="459"/>
      <c r="F61" s="459"/>
      <c r="G61" s="459"/>
      <c r="H61" s="459"/>
      <c r="I61" s="459"/>
      <c r="J61" s="459"/>
      <c r="K61" s="109">
        <v>0</v>
      </c>
      <c r="L61" s="484"/>
      <c r="M61" s="485"/>
      <c r="N61" s="485"/>
      <c r="O61" s="485"/>
    </row>
    <row r="62" spans="1:16" ht="21.75" customHeight="1" thickTop="1" thickBot="1" x14ac:dyDescent="0.25">
      <c r="A62" s="95"/>
      <c r="B62" s="442" t="s">
        <v>47</v>
      </c>
      <c r="C62" s="442"/>
      <c r="D62" s="442"/>
      <c r="E62" s="442"/>
      <c r="F62" s="442"/>
      <c r="G62" s="442"/>
      <c r="H62" s="442"/>
      <c r="I62" s="442"/>
      <c r="J62" s="442"/>
      <c r="K62" s="105">
        <f>SUM(K57:K61)</f>
        <v>0</v>
      </c>
    </row>
    <row r="63" spans="1:16" ht="21.75" customHeight="1" thickTop="1" x14ac:dyDescent="0.2">
      <c r="A63" s="464" t="s">
        <v>153</v>
      </c>
      <c r="B63" s="465"/>
      <c r="C63" s="465"/>
      <c r="D63" s="465"/>
      <c r="E63" s="465"/>
      <c r="F63" s="465"/>
      <c r="G63" s="465"/>
      <c r="H63" s="465"/>
      <c r="I63" s="465"/>
      <c r="J63" s="465"/>
      <c r="K63" s="466"/>
    </row>
    <row r="64" spans="1:16" ht="37.15" customHeight="1" thickBot="1" x14ac:dyDescent="0.25">
      <c r="A64" s="467"/>
      <c r="B64" s="468"/>
      <c r="C64" s="468"/>
      <c r="D64" s="468"/>
      <c r="E64" s="468"/>
      <c r="F64" s="468"/>
      <c r="G64" s="468"/>
      <c r="H64" s="468"/>
      <c r="I64" s="468"/>
      <c r="J64" s="468"/>
      <c r="K64" s="469"/>
    </row>
    <row r="65" spans="1:18" ht="21.75" customHeight="1" thickTop="1" thickBot="1" x14ac:dyDescent="0.25">
      <c r="A65" s="423" t="s">
        <v>64</v>
      </c>
      <c r="B65" s="424"/>
      <c r="C65" s="424"/>
      <c r="D65" s="424"/>
      <c r="E65" s="424"/>
      <c r="F65" s="424"/>
      <c r="G65" s="424"/>
      <c r="H65" s="424"/>
      <c r="I65" s="424"/>
      <c r="J65" s="424"/>
      <c r="K65" s="426"/>
    </row>
    <row r="66" spans="1:18" ht="21.75" customHeight="1" thickTop="1" thickBot="1" x14ac:dyDescent="0.25">
      <c r="A66" s="118" t="s">
        <v>65</v>
      </c>
      <c r="B66" s="455" t="s">
        <v>154</v>
      </c>
      <c r="C66" s="455"/>
      <c r="D66" s="455"/>
      <c r="E66" s="455"/>
      <c r="F66" s="455"/>
      <c r="G66" s="455"/>
      <c r="H66" s="455"/>
      <c r="I66" s="455"/>
      <c r="J66" s="119">
        <f>J40</f>
        <v>0.19440000000000002</v>
      </c>
      <c r="K66" s="120">
        <f>K40</f>
        <v>0</v>
      </c>
    </row>
    <row r="67" spans="1:18" ht="21.75" customHeight="1" thickTop="1" thickBot="1" x14ac:dyDescent="0.25">
      <c r="A67" s="118" t="s">
        <v>67</v>
      </c>
      <c r="B67" s="455" t="s">
        <v>68</v>
      </c>
      <c r="C67" s="455"/>
      <c r="D67" s="455"/>
      <c r="E67" s="455"/>
      <c r="F67" s="455"/>
      <c r="G67" s="455"/>
      <c r="H67" s="455"/>
      <c r="I67" s="455"/>
      <c r="J67" s="119">
        <f>J52</f>
        <v>0.36800000000000005</v>
      </c>
      <c r="K67" s="120">
        <f>K52</f>
        <v>0</v>
      </c>
    </row>
    <row r="68" spans="1:18" ht="21.75" customHeight="1" thickTop="1" thickBot="1" x14ac:dyDescent="0.25">
      <c r="A68" s="118" t="s">
        <v>69</v>
      </c>
      <c r="B68" s="455" t="s">
        <v>70</v>
      </c>
      <c r="C68" s="455"/>
      <c r="D68" s="455"/>
      <c r="E68" s="455"/>
      <c r="F68" s="455"/>
      <c r="G68" s="455"/>
      <c r="H68" s="455"/>
      <c r="I68" s="455"/>
      <c r="J68" s="455"/>
      <c r="K68" s="120">
        <f>K62</f>
        <v>0</v>
      </c>
    </row>
    <row r="69" spans="1:18" ht="21.75" customHeight="1" thickTop="1" thickBot="1" x14ac:dyDescent="0.25">
      <c r="A69" s="95"/>
      <c r="B69" s="442" t="s">
        <v>47</v>
      </c>
      <c r="C69" s="442"/>
      <c r="D69" s="442"/>
      <c r="E69" s="442"/>
      <c r="F69" s="442"/>
      <c r="G69" s="442"/>
      <c r="H69" s="442"/>
      <c r="I69" s="442"/>
      <c r="J69" s="442"/>
      <c r="K69" s="105">
        <f>ROUND((K66+K67+K68),2)</f>
        <v>0</v>
      </c>
    </row>
    <row r="70" spans="1:18" s="121" customFormat="1" ht="21.75" customHeight="1" thickTop="1" thickBot="1" x14ac:dyDescent="0.3">
      <c r="A70" s="482"/>
      <c r="B70" s="483"/>
      <c r="C70" s="483"/>
      <c r="D70" s="483"/>
      <c r="E70" s="483"/>
      <c r="F70" s="483"/>
      <c r="G70" s="483"/>
      <c r="H70" s="483"/>
      <c r="I70" s="483"/>
      <c r="J70" s="483"/>
      <c r="K70" s="483"/>
    </row>
    <row r="71" spans="1:18" s="121" customFormat="1" ht="21.75" customHeight="1" thickTop="1" thickBot="1" x14ac:dyDescent="0.3">
      <c r="A71" s="423" t="s">
        <v>71</v>
      </c>
      <c r="B71" s="424"/>
      <c r="C71" s="424"/>
      <c r="D71" s="424"/>
      <c r="E71" s="424"/>
      <c r="F71" s="424"/>
      <c r="G71" s="424"/>
      <c r="H71" s="424"/>
      <c r="I71" s="424"/>
      <c r="J71" s="424"/>
      <c r="K71" s="426"/>
    </row>
    <row r="72" spans="1:18" s="121" customFormat="1" ht="21.75" customHeight="1" thickTop="1" thickBot="1" x14ac:dyDescent="0.3">
      <c r="A72" s="122" t="s">
        <v>23</v>
      </c>
      <c r="B72" s="459" t="s">
        <v>72</v>
      </c>
      <c r="C72" s="459"/>
      <c r="D72" s="459"/>
      <c r="E72" s="459"/>
      <c r="F72" s="459"/>
      <c r="G72" s="459"/>
      <c r="H72" s="459"/>
      <c r="I72" s="459"/>
      <c r="J72" s="123">
        <f>L72</f>
        <v>4.1666666666666666E-3</v>
      </c>
      <c r="K72" s="124">
        <f>J72*$K$33</f>
        <v>0</v>
      </c>
      <c r="L72" s="478">
        <f>0.05*(1/12)</f>
        <v>4.1666666666666666E-3</v>
      </c>
      <c r="M72" s="479"/>
      <c r="N72" s="121" t="s">
        <v>73</v>
      </c>
    </row>
    <row r="73" spans="1:18" s="121" customFormat="1" ht="21.75" customHeight="1" thickTop="1" thickBot="1" x14ac:dyDescent="0.3">
      <c r="A73" s="122" t="s">
        <v>25</v>
      </c>
      <c r="B73" s="459" t="s">
        <v>74</v>
      </c>
      <c r="C73" s="459"/>
      <c r="D73" s="459"/>
      <c r="E73" s="459"/>
      <c r="F73" s="459"/>
      <c r="G73" s="459"/>
      <c r="H73" s="459"/>
      <c r="I73" s="459"/>
      <c r="J73" s="123">
        <f>L73</f>
        <v>3.3333333333333332E-4</v>
      </c>
      <c r="K73" s="124">
        <f t="shared" ref="K73:K75" si="0">J73*$K$33</f>
        <v>0</v>
      </c>
      <c r="L73" s="480">
        <f>0.08*J72</f>
        <v>3.3333333333333332E-4</v>
      </c>
      <c r="M73" s="481"/>
    </row>
    <row r="74" spans="1:18" s="121" customFormat="1" ht="28.15" customHeight="1" thickTop="1" thickBot="1" x14ac:dyDescent="0.3">
      <c r="A74" s="122" t="s">
        <v>28</v>
      </c>
      <c r="B74" s="472" t="s">
        <v>75</v>
      </c>
      <c r="C74" s="472"/>
      <c r="D74" s="472"/>
      <c r="E74" s="472"/>
      <c r="F74" s="472"/>
      <c r="G74" s="472"/>
      <c r="H74" s="472"/>
      <c r="I74" s="472"/>
      <c r="J74" s="125">
        <f>L74</f>
        <v>3.4799999999999998E-2</v>
      </c>
      <c r="K74" s="124">
        <f t="shared" si="0"/>
        <v>0</v>
      </c>
      <c r="L74" s="473">
        <f>(0.08*(0.4)*0.9)*((1+5/56+5/56)+(1/3*5/56))</f>
        <v>3.4799999999999998E-2</v>
      </c>
      <c r="M74" s="474"/>
      <c r="N74" s="126"/>
      <c r="O74" s="127"/>
      <c r="P74" s="127"/>
      <c r="Q74" s="127"/>
      <c r="R74" s="127"/>
    </row>
    <row r="75" spans="1:18" s="121" customFormat="1" ht="21.75" customHeight="1" thickTop="1" thickBot="1" x14ac:dyDescent="0.3">
      <c r="A75" s="122" t="s">
        <v>33</v>
      </c>
      <c r="B75" s="459" t="s">
        <v>76</v>
      </c>
      <c r="C75" s="459"/>
      <c r="D75" s="459"/>
      <c r="E75" s="459"/>
      <c r="F75" s="459"/>
      <c r="G75" s="459"/>
      <c r="H75" s="459"/>
      <c r="I75" s="459"/>
      <c r="J75" s="125">
        <f>L75</f>
        <v>1.9444444444444445E-2</v>
      </c>
      <c r="K75" s="124">
        <f t="shared" si="0"/>
        <v>0</v>
      </c>
      <c r="L75" s="473">
        <f>(7/30)/12</f>
        <v>1.9444444444444445E-2</v>
      </c>
      <c r="M75" s="474"/>
    </row>
    <row r="76" spans="1:18" s="121" customFormat="1" ht="30" customHeight="1" thickTop="1" thickBot="1" x14ac:dyDescent="0.3">
      <c r="A76" s="122" t="s">
        <v>35</v>
      </c>
      <c r="B76" s="459" t="s">
        <v>77</v>
      </c>
      <c r="C76" s="459"/>
      <c r="D76" s="459"/>
      <c r="E76" s="459"/>
      <c r="F76" s="459"/>
      <c r="G76" s="459"/>
      <c r="H76" s="459"/>
      <c r="I76" s="459"/>
      <c r="J76" s="123">
        <f>J52*J75</f>
        <v>7.1555555555555565E-3</v>
      </c>
      <c r="K76" s="124">
        <f>K33*J76</f>
        <v>0</v>
      </c>
      <c r="L76" s="470">
        <f>J75*J52</f>
        <v>7.1555555555555565E-3</v>
      </c>
      <c r="M76" s="471"/>
      <c r="N76" s="128"/>
    </row>
    <row r="77" spans="1:18" s="121" customFormat="1" ht="30" customHeight="1" thickTop="1" thickBot="1" x14ac:dyDescent="0.3">
      <c r="A77" s="122" t="s">
        <v>37</v>
      </c>
      <c r="B77" s="472" t="s">
        <v>78</v>
      </c>
      <c r="C77" s="472"/>
      <c r="D77" s="472"/>
      <c r="E77" s="472"/>
      <c r="F77" s="472"/>
      <c r="G77" s="472"/>
      <c r="H77" s="472"/>
      <c r="I77" s="472"/>
      <c r="J77" s="123">
        <f>L77</f>
        <v>6.2222222222222225E-4</v>
      </c>
      <c r="K77" s="124">
        <f>J77*(K33+K40)</f>
        <v>0</v>
      </c>
      <c r="L77" s="473">
        <f>0.08*(0.4)*J75</f>
        <v>6.2222222222222225E-4</v>
      </c>
      <c r="M77" s="474"/>
      <c r="O77" s="129"/>
    </row>
    <row r="78" spans="1:18" s="121" customFormat="1" ht="21.75" customHeight="1" thickTop="1" thickBot="1" x14ac:dyDescent="0.3">
      <c r="A78" s="423" t="s">
        <v>47</v>
      </c>
      <c r="B78" s="424"/>
      <c r="C78" s="424"/>
      <c r="D78" s="424"/>
      <c r="E78" s="424"/>
      <c r="F78" s="424"/>
      <c r="G78" s="424"/>
      <c r="H78" s="424"/>
      <c r="I78" s="424"/>
      <c r="J78" s="130"/>
      <c r="K78" s="131">
        <f>ROUND(K72+K73+K74+K75+K76+K77,2)</f>
        <v>0</v>
      </c>
    </row>
    <row r="79" spans="1:18" s="121" customFormat="1" ht="21.75" customHeight="1" thickTop="1" x14ac:dyDescent="0.25">
      <c r="A79" s="464" t="s">
        <v>155</v>
      </c>
      <c r="B79" s="465"/>
      <c r="C79" s="465"/>
      <c r="D79" s="465"/>
      <c r="E79" s="465"/>
      <c r="F79" s="465"/>
      <c r="G79" s="465"/>
      <c r="H79" s="465"/>
      <c r="I79" s="465"/>
      <c r="J79" s="465"/>
      <c r="K79" s="466"/>
    </row>
    <row r="80" spans="1:18" s="121" customFormat="1" ht="21.75" customHeight="1" x14ac:dyDescent="0.25">
      <c r="A80" s="475"/>
      <c r="B80" s="476"/>
      <c r="C80" s="476"/>
      <c r="D80" s="476"/>
      <c r="E80" s="476"/>
      <c r="F80" s="476"/>
      <c r="G80" s="476"/>
      <c r="H80" s="476"/>
      <c r="I80" s="476"/>
      <c r="J80" s="476"/>
      <c r="K80" s="477"/>
    </row>
    <row r="81" spans="1:18" s="121" customFormat="1" ht="12.6" customHeight="1" thickBot="1" x14ac:dyDescent="0.3">
      <c r="A81" s="467"/>
      <c r="B81" s="468"/>
      <c r="C81" s="468"/>
      <c r="D81" s="468"/>
      <c r="E81" s="468"/>
      <c r="F81" s="468"/>
      <c r="G81" s="468"/>
      <c r="H81" s="468"/>
      <c r="I81" s="468"/>
      <c r="J81" s="468"/>
      <c r="K81" s="469"/>
    </row>
    <row r="82" spans="1:18" s="121" customFormat="1" ht="21.75" customHeight="1" thickTop="1" thickBot="1" x14ac:dyDescent="0.3">
      <c r="A82" s="423" t="s">
        <v>80</v>
      </c>
      <c r="B82" s="424"/>
      <c r="C82" s="424"/>
      <c r="D82" s="424"/>
      <c r="E82" s="424"/>
      <c r="F82" s="424"/>
      <c r="G82" s="424"/>
      <c r="H82" s="424"/>
      <c r="I82" s="424"/>
      <c r="J82" s="424"/>
      <c r="K82" s="426"/>
    </row>
    <row r="83" spans="1:18" s="121" customFormat="1" ht="21.75" customHeight="1" thickTop="1" thickBot="1" x14ac:dyDescent="0.3">
      <c r="A83" s="423" t="s">
        <v>144</v>
      </c>
      <c r="B83" s="424"/>
      <c r="C83" s="424"/>
      <c r="D83" s="424"/>
      <c r="E83" s="424"/>
      <c r="F83" s="424"/>
      <c r="G83" s="424"/>
      <c r="H83" s="424"/>
      <c r="I83" s="424"/>
      <c r="J83" s="424"/>
      <c r="K83" s="426"/>
    </row>
    <row r="84" spans="1:18" s="121" customFormat="1" ht="21.75" customHeight="1" thickTop="1" thickBot="1" x14ac:dyDescent="0.3">
      <c r="A84" s="132" t="s">
        <v>23</v>
      </c>
      <c r="B84" s="459" t="s">
        <v>82</v>
      </c>
      <c r="C84" s="459"/>
      <c r="D84" s="459"/>
      <c r="E84" s="459"/>
      <c r="F84" s="459"/>
      <c r="G84" s="459"/>
      <c r="H84" s="459"/>
      <c r="I84" s="459"/>
      <c r="J84" s="125">
        <f>L84</f>
        <v>9.0909090909090912E-2</v>
      </c>
      <c r="K84" s="124">
        <f>J84*$K$33</f>
        <v>0</v>
      </c>
      <c r="L84" s="133">
        <f>(5/55)</f>
        <v>9.0909090909090912E-2</v>
      </c>
      <c r="M84" s="134"/>
    </row>
    <row r="85" spans="1:18" s="121" customFormat="1" ht="21.75" customHeight="1" thickTop="1" thickBot="1" x14ac:dyDescent="0.3">
      <c r="A85" s="132" t="s">
        <v>25</v>
      </c>
      <c r="B85" s="459" t="s">
        <v>83</v>
      </c>
      <c r="C85" s="459"/>
      <c r="D85" s="459"/>
      <c r="E85" s="459"/>
      <c r="F85" s="459"/>
      <c r="G85" s="459"/>
      <c r="H85" s="459"/>
      <c r="I85" s="459"/>
      <c r="J85" s="123">
        <f>L85</f>
        <v>1.3698630136986301E-2</v>
      </c>
      <c r="K85" s="124">
        <f t="shared" ref="K85:K89" si="1">J85*$K$33</f>
        <v>0</v>
      </c>
      <c r="L85" s="133">
        <f>5/365</f>
        <v>1.3698630136986301E-2</v>
      </c>
      <c r="M85" s="135"/>
      <c r="N85" s="136"/>
      <c r="O85" s="136"/>
      <c r="P85" s="136"/>
    </row>
    <row r="86" spans="1:18" s="121" customFormat="1" ht="21.75" customHeight="1" thickTop="1" thickBot="1" x14ac:dyDescent="0.3">
      <c r="A86" s="132" t="s">
        <v>28</v>
      </c>
      <c r="B86" s="459" t="s">
        <v>84</v>
      </c>
      <c r="C86" s="459"/>
      <c r="D86" s="459"/>
      <c r="E86" s="459"/>
      <c r="F86" s="459"/>
      <c r="G86" s="459"/>
      <c r="H86" s="459"/>
      <c r="I86" s="459"/>
      <c r="J86" s="123">
        <f>L86</f>
        <v>2.0547945205479451E-4</v>
      </c>
      <c r="K86" s="124">
        <f t="shared" si="1"/>
        <v>0</v>
      </c>
      <c r="L86" s="133">
        <f>5/365*0.015</f>
        <v>2.0547945205479451E-4</v>
      </c>
      <c r="M86" s="137"/>
    </row>
    <row r="87" spans="1:18" s="121" customFormat="1" ht="21.75" customHeight="1" thickTop="1" thickBot="1" x14ac:dyDescent="0.3">
      <c r="A87" s="132" t="s">
        <v>33</v>
      </c>
      <c r="B87" s="459" t="s">
        <v>85</v>
      </c>
      <c r="C87" s="459"/>
      <c r="D87" s="459"/>
      <c r="E87" s="459"/>
      <c r="F87" s="459"/>
      <c r="G87" s="459"/>
      <c r="H87" s="459"/>
      <c r="I87" s="459"/>
      <c r="J87" s="123">
        <f>L87</f>
        <v>3.2876712328767121E-3</v>
      </c>
      <c r="K87" s="124">
        <f t="shared" si="1"/>
        <v>0</v>
      </c>
      <c r="L87" s="133">
        <f>15/365*0.08</f>
        <v>3.2876712328767121E-3</v>
      </c>
      <c r="M87" s="137"/>
    </row>
    <row r="88" spans="1:18" s="121" customFormat="1" ht="21.75" customHeight="1" thickTop="1" thickBot="1" x14ac:dyDescent="0.3">
      <c r="A88" s="132" t="s">
        <v>35</v>
      </c>
      <c r="B88" s="459" t="s">
        <v>86</v>
      </c>
      <c r="C88" s="459"/>
      <c r="D88" s="459"/>
      <c r="E88" s="459"/>
      <c r="F88" s="459"/>
      <c r="G88" s="459"/>
      <c r="H88" s="459"/>
      <c r="I88" s="459"/>
      <c r="J88" s="123">
        <f>M88</f>
        <v>1.3444444444444444E-4</v>
      </c>
      <c r="K88" s="124">
        <f t="shared" si="1"/>
        <v>0</v>
      </c>
      <c r="L88"/>
      <c r="M88" s="138">
        <f>((0.121)*4/12*0.04)/12</f>
        <v>1.3444444444444444E-4</v>
      </c>
      <c r="N88" s="139"/>
      <c r="Q88" s="140"/>
      <c r="R88" s="141"/>
    </row>
    <row r="89" spans="1:18" s="121" customFormat="1" ht="21.75" customHeight="1" thickTop="1" thickBot="1" x14ac:dyDescent="0.3">
      <c r="A89" s="132" t="s">
        <v>37</v>
      </c>
      <c r="B89" s="459" t="s">
        <v>87</v>
      </c>
      <c r="C89" s="459"/>
      <c r="D89" s="459"/>
      <c r="E89" s="459"/>
      <c r="F89" s="459"/>
      <c r="G89" s="459"/>
      <c r="H89" s="459"/>
      <c r="I89" s="459"/>
      <c r="J89" s="125">
        <v>0</v>
      </c>
      <c r="K89" s="124">
        <f t="shared" si="1"/>
        <v>0</v>
      </c>
      <c r="L89"/>
      <c r="M89" s="137"/>
    </row>
    <row r="90" spans="1:18" s="121" customFormat="1" ht="21.75" customHeight="1" thickTop="1" thickBot="1" x14ac:dyDescent="0.3">
      <c r="A90" s="132" t="s">
        <v>39</v>
      </c>
      <c r="B90" s="459" t="s">
        <v>88</v>
      </c>
      <c r="C90" s="459"/>
      <c r="D90" s="459"/>
      <c r="E90" s="459"/>
      <c r="F90" s="459"/>
      <c r="G90" s="459"/>
      <c r="H90" s="459"/>
      <c r="I90" s="459"/>
      <c r="J90" s="125">
        <f>(J84+J85+J86+J87+J88+J89)*J52</f>
        <v>3.983059635256677E-2</v>
      </c>
      <c r="K90" s="124">
        <f>K33*J90</f>
        <v>0</v>
      </c>
      <c r="L90" s="137"/>
      <c r="M90" s="137"/>
      <c r="Q90" s="142"/>
    </row>
    <row r="91" spans="1:18" s="121" customFormat="1" ht="21.75" customHeight="1" thickTop="1" thickBot="1" x14ac:dyDescent="0.3">
      <c r="A91" s="423" t="s">
        <v>47</v>
      </c>
      <c r="B91" s="424"/>
      <c r="C91" s="424"/>
      <c r="D91" s="424"/>
      <c r="E91" s="424"/>
      <c r="F91" s="424"/>
      <c r="G91" s="424"/>
      <c r="H91" s="424"/>
      <c r="I91" s="426"/>
      <c r="J91" s="143">
        <f>SUM(J84:J90)</f>
        <v>0.14806591252801993</v>
      </c>
      <c r="K91" s="131">
        <f>ROUND(K84+K85+K86+K87+K88+K90,2)</f>
        <v>0</v>
      </c>
    </row>
    <row r="92" spans="1:18" s="121" customFormat="1" ht="21.75" customHeight="1" thickTop="1" x14ac:dyDescent="0.25">
      <c r="A92" s="464" t="s">
        <v>156</v>
      </c>
      <c r="B92" s="465"/>
      <c r="C92" s="465"/>
      <c r="D92" s="465"/>
      <c r="E92" s="465"/>
      <c r="F92" s="465"/>
      <c r="G92" s="465"/>
      <c r="H92" s="465"/>
      <c r="I92" s="465"/>
      <c r="J92" s="465"/>
      <c r="K92" s="466"/>
    </row>
    <row r="93" spans="1:18" s="121" customFormat="1" ht="27" customHeight="1" thickBot="1" x14ac:dyDescent="0.3">
      <c r="A93" s="467"/>
      <c r="B93" s="468"/>
      <c r="C93" s="468"/>
      <c r="D93" s="468"/>
      <c r="E93" s="468"/>
      <c r="F93" s="468"/>
      <c r="G93" s="468"/>
      <c r="H93" s="468"/>
      <c r="I93" s="468"/>
      <c r="J93" s="468"/>
      <c r="K93" s="469"/>
    </row>
    <row r="94" spans="1:18" s="121" customFormat="1" ht="21.75" customHeight="1" thickTop="1" thickBot="1" x14ac:dyDescent="0.3">
      <c r="A94" s="423" t="s">
        <v>90</v>
      </c>
      <c r="B94" s="424"/>
      <c r="C94" s="424"/>
      <c r="D94" s="424"/>
      <c r="E94" s="424"/>
      <c r="F94" s="424"/>
      <c r="G94" s="424"/>
      <c r="H94" s="424"/>
      <c r="I94" s="424"/>
      <c r="J94" s="424"/>
      <c r="K94" s="426"/>
    </row>
    <row r="95" spans="1:18" s="121" customFormat="1" ht="21.75" customHeight="1" thickTop="1" thickBot="1" x14ac:dyDescent="0.25">
      <c r="A95" s="95" t="s">
        <v>23</v>
      </c>
      <c r="B95" s="459" t="s">
        <v>91</v>
      </c>
      <c r="C95" s="459"/>
      <c r="D95" s="459"/>
      <c r="E95" s="459"/>
      <c r="F95" s="459"/>
      <c r="G95" s="459"/>
      <c r="H95" s="459"/>
      <c r="I95" s="459"/>
      <c r="J95" s="144">
        <v>0</v>
      </c>
      <c r="K95" s="102">
        <f>J95*L95</f>
        <v>0</v>
      </c>
      <c r="L95" s="136"/>
      <c r="M95" s="127"/>
      <c r="R95" s="145"/>
    </row>
    <row r="96" spans="1:18" s="121" customFormat="1" ht="21.75" customHeight="1" thickTop="1" thickBot="1" x14ac:dyDescent="0.3">
      <c r="A96" s="95"/>
      <c r="B96" s="460" t="s">
        <v>47</v>
      </c>
      <c r="C96" s="460"/>
      <c r="D96" s="460"/>
      <c r="E96" s="460"/>
      <c r="F96" s="460"/>
      <c r="G96" s="460"/>
      <c r="H96" s="460"/>
      <c r="I96" s="460"/>
      <c r="J96" s="146"/>
      <c r="K96" s="102">
        <f>K95</f>
        <v>0</v>
      </c>
      <c r="L96" s="136"/>
    </row>
    <row r="97" spans="1:13" s="121" customFormat="1" ht="35.450000000000003" customHeight="1" thickTop="1" thickBot="1" x14ac:dyDescent="0.3">
      <c r="A97" s="439" t="s">
        <v>157</v>
      </c>
      <c r="B97" s="440"/>
      <c r="C97" s="440"/>
      <c r="D97" s="440"/>
      <c r="E97" s="440"/>
      <c r="F97" s="440"/>
      <c r="G97" s="440"/>
      <c r="H97" s="440"/>
      <c r="I97" s="440"/>
      <c r="J97" s="440"/>
      <c r="K97" s="441"/>
    </row>
    <row r="98" spans="1:13" s="121" customFormat="1" ht="21.75" customHeight="1" thickTop="1" thickBot="1" x14ac:dyDescent="0.3">
      <c r="A98" s="423" t="s">
        <v>93</v>
      </c>
      <c r="B98" s="424"/>
      <c r="C98" s="424"/>
      <c r="D98" s="424"/>
      <c r="E98" s="424"/>
      <c r="F98" s="424"/>
      <c r="G98" s="424"/>
      <c r="H98" s="424"/>
      <c r="I98" s="424"/>
      <c r="J98" s="424"/>
      <c r="K98" s="426"/>
    </row>
    <row r="99" spans="1:13" s="121" customFormat="1" ht="21.75" customHeight="1" thickTop="1" thickBot="1" x14ac:dyDescent="0.3">
      <c r="A99" s="95" t="s">
        <v>94</v>
      </c>
      <c r="B99" s="461" t="s">
        <v>95</v>
      </c>
      <c r="C99" s="462"/>
      <c r="D99" s="462"/>
      <c r="E99" s="462"/>
      <c r="F99" s="462"/>
      <c r="G99" s="462"/>
      <c r="H99" s="462"/>
      <c r="I99" s="462"/>
      <c r="J99" s="463"/>
      <c r="K99" s="104">
        <f>K91</f>
        <v>0</v>
      </c>
    </row>
    <row r="100" spans="1:13" s="121" customFormat="1" ht="21.75" customHeight="1" thickTop="1" thickBot="1" x14ac:dyDescent="0.3">
      <c r="A100" s="95" t="s">
        <v>96</v>
      </c>
      <c r="B100" s="461" t="s">
        <v>97</v>
      </c>
      <c r="C100" s="462"/>
      <c r="D100" s="462"/>
      <c r="E100" s="462"/>
      <c r="F100" s="462"/>
      <c r="G100" s="462"/>
      <c r="H100" s="462"/>
      <c r="I100" s="462"/>
      <c r="J100" s="463"/>
      <c r="K100" s="104">
        <f>K96</f>
        <v>0</v>
      </c>
    </row>
    <row r="101" spans="1:13" s="121" customFormat="1" ht="21.75" customHeight="1" thickTop="1" thickBot="1" x14ac:dyDescent="0.3">
      <c r="A101" s="95"/>
      <c r="B101" s="442" t="s">
        <v>47</v>
      </c>
      <c r="C101" s="442"/>
      <c r="D101" s="442"/>
      <c r="E101" s="442"/>
      <c r="F101" s="442"/>
      <c r="G101" s="442"/>
      <c r="H101" s="442"/>
      <c r="I101" s="442"/>
      <c r="J101" s="442"/>
      <c r="K101" s="131">
        <f>K99+K100</f>
        <v>0</v>
      </c>
    </row>
    <row r="102" spans="1:13" s="121" customFormat="1" ht="21.75" customHeight="1" thickTop="1" thickBot="1" x14ac:dyDescent="0.3">
      <c r="A102" s="439"/>
      <c r="B102" s="440"/>
      <c r="C102" s="440"/>
      <c r="D102" s="440"/>
      <c r="E102" s="440"/>
      <c r="F102" s="440"/>
      <c r="G102" s="440"/>
      <c r="H102" s="440"/>
      <c r="I102" s="440"/>
      <c r="J102" s="440"/>
      <c r="K102" s="441"/>
    </row>
    <row r="103" spans="1:13" ht="21.75" customHeight="1" thickTop="1" thickBot="1" x14ac:dyDescent="0.25">
      <c r="A103" s="423" t="s">
        <v>98</v>
      </c>
      <c r="B103" s="424"/>
      <c r="C103" s="424"/>
      <c r="D103" s="424"/>
      <c r="E103" s="424"/>
      <c r="F103" s="424"/>
      <c r="G103" s="424"/>
      <c r="H103" s="424"/>
      <c r="I103" s="424"/>
      <c r="J103" s="426"/>
      <c r="K103" s="95" t="s">
        <v>99</v>
      </c>
    </row>
    <row r="104" spans="1:13" ht="21.75" customHeight="1" thickTop="1" thickBot="1" x14ac:dyDescent="0.25">
      <c r="A104" s="95" t="s">
        <v>23</v>
      </c>
      <c r="B104" s="455" t="s">
        <v>100</v>
      </c>
      <c r="C104" s="455"/>
      <c r="D104" s="455"/>
      <c r="E104" s="455"/>
      <c r="F104" s="455"/>
      <c r="G104" s="455"/>
      <c r="H104" s="455"/>
      <c r="I104" s="455"/>
      <c r="J104" s="455"/>
      <c r="K104" s="344">
        <f>'Insumos Sede'!F101</f>
        <v>0</v>
      </c>
    </row>
    <row r="105" spans="1:13" ht="21.75" customHeight="1" thickTop="1" thickBot="1" x14ac:dyDescent="0.25">
      <c r="A105" s="95" t="s">
        <v>25</v>
      </c>
      <c r="B105" s="455" t="s">
        <v>101</v>
      </c>
      <c r="C105" s="455"/>
      <c r="D105" s="455"/>
      <c r="E105" s="456" t="s">
        <v>102</v>
      </c>
      <c r="F105" s="456"/>
      <c r="G105" s="456"/>
      <c r="H105" s="456"/>
      <c r="I105" s="456"/>
      <c r="J105" s="456"/>
      <c r="K105" s="344">
        <v>0</v>
      </c>
    </row>
    <row r="106" spans="1:13" ht="21.75" customHeight="1" thickTop="1" thickBot="1" x14ac:dyDescent="0.25">
      <c r="A106" s="95" t="s">
        <v>28</v>
      </c>
      <c r="B106" s="455" t="s">
        <v>103</v>
      </c>
      <c r="C106" s="455"/>
      <c r="D106" s="455"/>
      <c r="E106" s="456" t="s">
        <v>102</v>
      </c>
      <c r="F106" s="456"/>
      <c r="G106" s="456"/>
      <c r="H106" s="456"/>
      <c r="I106" s="456"/>
      <c r="J106" s="456"/>
      <c r="K106" s="344">
        <v>0</v>
      </c>
    </row>
    <row r="107" spans="1:13" ht="21.75" customHeight="1" thickTop="1" thickBot="1" x14ac:dyDescent="0.25">
      <c r="A107" s="442" t="s">
        <v>33</v>
      </c>
      <c r="B107" s="457" t="s">
        <v>87</v>
      </c>
      <c r="C107" s="457"/>
      <c r="D107" s="458" t="s">
        <v>104</v>
      </c>
      <c r="E107" s="458"/>
      <c r="F107" s="458"/>
      <c r="G107" s="458"/>
      <c r="H107" s="458"/>
      <c r="I107" s="458"/>
      <c r="J107" s="458"/>
      <c r="K107" s="344">
        <v>0</v>
      </c>
    </row>
    <row r="108" spans="1:13" ht="21.75" customHeight="1" thickTop="1" thickBot="1" x14ac:dyDescent="0.25">
      <c r="A108" s="442"/>
      <c r="B108" s="457"/>
      <c r="C108" s="457"/>
      <c r="D108" s="458" t="s">
        <v>104</v>
      </c>
      <c r="E108" s="458"/>
      <c r="F108" s="458"/>
      <c r="G108" s="458"/>
      <c r="H108" s="458"/>
      <c r="I108" s="458"/>
      <c r="J108" s="458"/>
      <c r="K108" s="344">
        <f>J108*K33</f>
        <v>0</v>
      </c>
    </row>
    <row r="109" spans="1:13" s="121" customFormat="1" ht="21.75" customHeight="1" thickTop="1" thickBot="1" x14ac:dyDescent="0.3">
      <c r="A109" s="423" t="s">
        <v>105</v>
      </c>
      <c r="B109" s="424"/>
      <c r="C109" s="424"/>
      <c r="D109" s="424"/>
      <c r="E109" s="424"/>
      <c r="F109" s="424"/>
      <c r="G109" s="424"/>
      <c r="H109" s="424"/>
      <c r="I109" s="424"/>
      <c r="J109" s="426"/>
      <c r="K109" s="131">
        <f>SUM(K104:K108)</f>
        <v>0</v>
      </c>
    </row>
    <row r="110" spans="1:13" s="121" customFormat="1" ht="21.75" customHeight="1" thickTop="1" thickBot="1" x14ac:dyDescent="0.3">
      <c r="A110" s="439" t="s">
        <v>158</v>
      </c>
      <c r="B110" s="440"/>
      <c r="C110" s="440"/>
      <c r="D110" s="440"/>
      <c r="E110" s="440"/>
      <c r="F110" s="440"/>
      <c r="G110" s="440"/>
      <c r="H110" s="440"/>
      <c r="I110" s="440"/>
      <c r="J110" s="440"/>
      <c r="K110" s="441"/>
    </row>
    <row r="111" spans="1:13" s="121" customFormat="1" ht="21.75" customHeight="1" thickTop="1" thickBot="1" x14ac:dyDescent="0.3">
      <c r="A111" s="423" t="s">
        <v>107</v>
      </c>
      <c r="B111" s="424"/>
      <c r="C111" s="424"/>
      <c r="D111" s="424"/>
      <c r="E111" s="424"/>
      <c r="F111" s="424"/>
      <c r="G111" s="424"/>
      <c r="H111" s="424"/>
      <c r="I111" s="424"/>
      <c r="J111" s="426"/>
      <c r="K111" s="95" t="s">
        <v>22</v>
      </c>
    </row>
    <row r="112" spans="1:13" s="121" customFormat="1" ht="21.75" customHeight="1" thickTop="1" thickBot="1" x14ac:dyDescent="0.3">
      <c r="A112" s="95" t="s">
        <v>23</v>
      </c>
      <c r="B112" s="86" t="s">
        <v>108</v>
      </c>
      <c r="C112" s="86"/>
      <c r="D112" s="86"/>
      <c r="E112" s="86"/>
      <c r="F112" s="86"/>
      <c r="G112" s="86"/>
      <c r="H112" s="86"/>
      <c r="I112" s="86"/>
      <c r="J112" s="340">
        <v>0.03</v>
      </c>
      <c r="K112" s="124">
        <f>J112*K132</f>
        <v>0</v>
      </c>
      <c r="L112" s="137" t="s">
        <v>109</v>
      </c>
      <c r="M112" s="137"/>
    </row>
    <row r="113" spans="1:13" s="121" customFormat="1" ht="21.75" customHeight="1" thickTop="1" thickBot="1" x14ac:dyDescent="0.3">
      <c r="A113" s="95" t="s">
        <v>25</v>
      </c>
      <c r="B113" s="86" t="s">
        <v>110</v>
      </c>
      <c r="C113" s="86"/>
      <c r="D113" s="86"/>
      <c r="E113" s="86"/>
      <c r="F113" s="86"/>
      <c r="G113" s="86"/>
      <c r="H113" s="86"/>
      <c r="I113" s="86"/>
      <c r="J113" s="340">
        <v>6.7900000000000002E-2</v>
      </c>
      <c r="K113" s="124">
        <f>(K132+K112)*J113</f>
        <v>0</v>
      </c>
      <c r="L113" s="148"/>
      <c r="M113" s="137"/>
    </row>
    <row r="114" spans="1:13" s="121" customFormat="1" ht="21.75" customHeight="1" thickTop="1" thickBot="1" x14ac:dyDescent="0.3">
      <c r="A114" s="442" t="s">
        <v>28</v>
      </c>
      <c r="B114" s="86" t="s">
        <v>111</v>
      </c>
      <c r="C114" s="86"/>
      <c r="D114" s="86"/>
      <c r="E114" s="86"/>
      <c r="F114" s="86"/>
      <c r="G114" s="86"/>
      <c r="H114" s="86"/>
      <c r="I114" s="149" t="s">
        <v>112</v>
      </c>
      <c r="J114" s="136"/>
      <c r="K114" s="146"/>
    </row>
    <row r="115" spans="1:13" s="121" customFormat="1" ht="21.75" customHeight="1" thickTop="1" thickBot="1" x14ac:dyDescent="0.3">
      <c r="A115" s="442"/>
      <c r="B115" s="86"/>
      <c r="C115" s="150" t="s">
        <v>113</v>
      </c>
      <c r="D115" s="150"/>
      <c r="E115" s="150"/>
      <c r="F115" s="86" t="s">
        <v>114</v>
      </c>
      <c r="G115" s="151"/>
      <c r="H115" s="151"/>
      <c r="I115" s="443">
        <f>SUM(J115:J117)</f>
        <v>0.14250000000000002</v>
      </c>
      <c r="J115" s="152">
        <v>1.6500000000000001E-2</v>
      </c>
      <c r="K115" s="153">
        <f>((K132+K112+K113)/(1-I115))*J115</f>
        <v>0</v>
      </c>
    </row>
    <row r="116" spans="1:13" s="121" customFormat="1" ht="21.75" customHeight="1" thickTop="1" thickBot="1" x14ac:dyDescent="0.3">
      <c r="A116" s="442"/>
      <c r="B116" s="86"/>
      <c r="C116" s="86"/>
      <c r="D116" s="86"/>
      <c r="E116" s="86"/>
      <c r="F116" s="86" t="s">
        <v>115</v>
      </c>
      <c r="G116" s="151"/>
      <c r="H116" s="151"/>
      <c r="I116" s="444"/>
      <c r="J116" s="152">
        <v>7.5999999999999998E-2</v>
      </c>
      <c r="K116" s="153">
        <f>((K132+K112+K113)/(1-I115))*J116</f>
        <v>0</v>
      </c>
    </row>
    <row r="117" spans="1:13" s="121" customFormat="1" ht="21.75" customHeight="1" thickTop="1" thickBot="1" x14ac:dyDescent="0.3">
      <c r="A117" s="442"/>
      <c r="B117" s="150"/>
      <c r="C117" s="150" t="s">
        <v>116</v>
      </c>
      <c r="D117" s="150"/>
      <c r="E117" s="86"/>
      <c r="F117" s="86" t="s">
        <v>117</v>
      </c>
      <c r="G117" s="151"/>
      <c r="H117" s="151"/>
      <c r="I117" s="445"/>
      <c r="J117" s="152">
        <v>0.05</v>
      </c>
      <c r="K117" s="153">
        <f>((K132+K112+K113)/(1-I115))*J117</f>
        <v>0</v>
      </c>
    </row>
    <row r="118" spans="1:13" s="121" customFormat="1" ht="21.75" customHeight="1" thickTop="1" thickBot="1" x14ac:dyDescent="0.3">
      <c r="A118" s="154" t="s">
        <v>118</v>
      </c>
      <c r="B118" s="130"/>
      <c r="C118" s="130"/>
      <c r="D118" s="130"/>
      <c r="E118" s="130"/>
      <c r="F118" s="130"/>
      <c r="G118" s="130"/>
      <c r="H118" s="130"/>
      <c r="I118" s="130"/>
      <c r="J118" s="130"/>
      <c r="K118" s="131">
        <f>K112+K113+K115+K116+K117</f>
        <v>0</v>
      </c>
    </row>
    <row r="119" spans="1:13" s="121" customFormat="1" ht="37.15" customHeight="1" thickTop="1" thickBot="1" x14ac:dyDescent="0.3">
      <c r="A119" s="446" t="s">
        <v>159</v>
      </c>
      <c r="B119" s="447"/>
      <c r="C119" s="447"/>
      <c r="D119" s="447"/>
      <c r="E119" s="447"/>
      <c r="F119" s="447"/>
      <c r="G119" s="447"/>
      <c r="H119" s="447"/>
      <c r="I119" s="447"/>
      <c r="J119" s="447"/>
      <c r="K119" s="448"/>
    </row>
    <row r="120" spans="1:13" s="121" customFormat="1" ht="21.6" hidden="1" customHeight="1" x14ac:dyDescent="0.25">
      <c r="A120" s="449"/>
      <c r="B120" s="450"/>
      <c r="C120" s="450"/>
      <c r="D120" s="450"/>
      <c r="E120" s="450"/>
      <c r="F120" s="450"/>
      <c r="G120" s="450"/>
      <c r="H120" s="450"/>
      <c r="I120" s="450"/>
      <c r="J120" s="450"/>
      <c r="K120" s="451"/>
    </row>
    <row r="121" spans="1:13" s="121" customFormat="1" ht="21.6" hidden="1" customHeight="1" x14ac:dyDescent="0.25">
      <c r="A121" s="449"/>
      <c r="B121" s="450"/>
      <c r="C121" s="450"/>
      <c r="D121" s="450"/>
      <c r="E121" s="450"/>
      <c r="F121" s="450"/>
      <c r="G121" s="450"/>
      <c r="H121" s="450"/>
      <c r="I121" s="450"/>
      <c r="J121" s="450"/>
      <c r="K121" s="451"/>
    </row>
    <row r="122" spans="1:13" s="121" customFormat="1" ht="21.6" hidden="1" customHeight="1" x14ac:dyDescent="0.25">
      <c r="A122" s="449"/>
      <c r="B122" s="450"/>
      <c r="C122" s="450"/>
      <c r="D122" s="450"/>
      <c r="E122" s="450"/>
      <c r="F122" s="450"/>
      <c r="G122" s="450"/>
      <c r="H122" s="450"/>
      <c r="I122" s="450"/>
      <c r="J122" s="450"/>
      <c r="K122" s="451"/>
    </row>
    <row r="123" spans="1:13" s="121" customFormat="1" ht="21.6" hidden="1" customHeight="1" x14ac:dyDescent="0.25">
      <c r="A123" s="449"/>
      <c r="B123" s="450"/>
      <c r="C123" s="450"/>
      <c r="D123" s="450"/>
      <c r="E123" s="450"/>
      <c r="F123" s="450"/>
      <c r="G123" s="450"/>
      <c r="H123" s="450"/>
      <c r="I123" s="450"/>
      <c r="J123" s="450"/>
      <c r="K123" s="451"/>
    </row>
    <row r="124" spans="1:13" ht="21.6" hidden="1" customHeight="1" x14ac:dyDescent="0.2">
      <c r="A124" s="452"/>
      <c r="B124" s="453"/>
      <c r="C124" s="453"/>
      <c r="D124" s="453"/>
      <c r="E124" s="453"/>
      <c r="F124" s="453"/>
      <c r="G124" s="453"/>
      <c r="H124" s="453"/>
      <c r="I124" s="453"/>
      <c r="J124" s="453"/>
      <c r="K124" s="454"/>
    </row>
    <row r="125" spans="1:13" ht="21.75" customHeight="1" thickTop="1" thickBot="1" x14ac:dyDescent="0.25">
      <c r="A125" s="423" t="s">
        <v>120</v>
      </c>
      <c r="B125" s="424"/>
      <c r="C125" s="424"/>
      <c r="D125" s="424"/>
      <c r="E125" s="424"/>
      <c r="F125" s="424"/>
      <c r="G125" s="424"/>
      <c r="H125" s="424"/>
      <c r="I125" s="424"/>
      <c r="J125" s="424"/>
      <c r="K125" s="426"/>
    </row>
    <row r="126" spans="1:13" ht="21.75" customHeight="1" thickTop="1" thickBot="1" x14ac:dyDescent="0.25">
      <c r="A126" s="435" t="s">
        <v>121</v>
      </c>
      <c r="B126" s="436"/>
      <c r="C126" s="436"/>
      <c r="D126" s="436"/>
      <c r="E126" s="436"/>
      <c r="F126" s="436"/>
      <c r="G126" s="436"/>
      <c r="H126" s="436"/>
      <c r="I126" s="436"/>
      <c r="J126" s="437"/>
      <c r="K126" s="95" t="s">
        <v>99</v>
      </c>
    </row>
    <row r="127" spans="1:13" ht="21.75" customHeight="1" thickTop="1" thickBot="1" x14ac:dyDescent="0.25">
      <c r="A127" s="95" t="s">
        <v>23</v>
      </c>
      <c r="B127" s="427" t="s">
        <v>122</v>
      </c>
      <c r="C127" s="428"/>
      <c r="D127" s="428"/>
      <c r="E127" s="428"/>
      <c r="F127" s="428"/>
      <c r="G127" s="428"/>
      <c r="H127" s="428"/>
      <c r="I127" s="428"/>
      <c r="J127" s="429"/>
      <c r="K127" s="104">
        <f>K33</f>
        <v>0</v>
      </c>
    </row>
    <row r="128" spans="1:13" ht="21.75" customHeight="1" thickTop="1" thickBot="1" x14ac:dyDescent="0.25">
      <c r="A128" s="95" t="s">
        <v>25</v>
      </c>
      <c r="B128" s="438" t="s">
        <v>123</v>
      </c>
      <c r="C128" s="438"/>
      <c r="D128" s="438"/>
      <c r="E128" s="438"/>
      <c r="F128" s="438"/>
      <c r="G128" s="438"/>
      <c r="H128" s="438"/>
      <c r="I128" s="438"/>
      <c r="J128" s="438"/>
      <c r="K128" s="104">
        <f>K69</f>
        <v>0</v>
      </c>
    </row>
    <row r="129" spans="1:13" ht="21.75" customHeight="1" thickTop="1" thickBot="1" x14ac:dyDescent="0.25">
      <c r="A129" s="95" t="s">
        <v>28</v>
      </c>
      <c r="B129" s="427" t="s">
        <v>145</v>
      </c>
      <c r="C129" s="428"/>
      <c r="D129" s="428"/>
      <c r="E129" s="428"/>
      <c r="F129" s="428"/>
      <c r="G129" s="428"/>
      <c r="H129" s="428"/>
      <c r="I129" s="428"/>
      <c r="J129" s="429"/>
      <c r="K129" s="104">
        <f>K78</f>
        <v>0</v>
      </c>
    </row>
    <row r="130" spans="1:13" ht="21.75" customHeight="1" thickTop="1" thickBot="1" x14ac:dyDescent="0.25">
      <c r="A130" s="95" t="s">
        <v>33</v>
      </c>
      <c r="B130" s="427" t="s">
        <v>146</v>
      </c>
      <c r="C130" s="428"/>
      <c r="D130" s="428"/>
      <c r="E130" s="428"/>
      <c r="F130" s="428"/>
      <c r="G130" s="428"/>
      <c r="H130" s="428"/>
      <c r="I130" s="428"/>
      <c r="J130" s="429"/>
      <c r="K130" s="104">
        <f>K101</f>
        <v>0</v>
      </c>
    </row>
    <row r="131" spans="1:13" ht="21.75" customHeight="1" thickTop="1" thickBot="1" x14ac:dyDescent="0.25">
      <c r="A131" s="95" t="s">
        <v>35</v>
      </c>
      <c r="B131" s="427" t="s">
        <v>126</v>
      </c>
      <c r="C131" s="428"/>
      <c r="D131" s="428"/>
      <c r="E131" s="428"/>
      <c r="F131" s="428"/>
      <c r="G131" s="428"/>
      <c r="H131" s="428"/>
      <c r="I131" s="428"/>
      <c r="J131" s="429"/>
      <c r="K131" s="104">
        <f>K109</f>
        <v>0</v>
      </c>
    </row>
    <row r="132" spans="1:13" ht="21.75" customHeight="1" thickTop="1" thickBot="1" x14ac:dyDescent="0.25">
      <c r="A132" s="423" t="s">
        <v>127</v>
      </c>
      <c r="B132" s="424"/>
      <c r="C132" s="424"/>
      <c r="D132" s="424"/>
      <c r="E132" s="424"/>
      <c r="F132" s="424"/>
      <c r="G132" s="424"/>
      <c r="H132" s="424"/>
      <c r="I132" s="424"/>
      <c r="J132" s="426"/>
      <c r="K132" s="131">
        <f>SUM(K127:K131)</f>
        <v>0</v>
      </c>
      <c r="L132" s="156"/>
    </row>
    <row r="133" spans="1:13" s="121" customFormat="1" ht="21.75" customHeight="1" thickTop="1" thickBot="1" x14ac:dyDescent="0.3">
      <c r="A133" s="95" t="s">
        <v>37</v>
      </c>
      <c r="B133" s="427" t="s">
        <v>128</v>
      </c>
      <c r="C133" s="428"/>
      <c r="D133" s="428"/>
      <c r="E133" s="428"/>
      <c r="F133" s="428"/>
      <c r="G133" s="428"/>
      <c r="H133" s="428"/>
      <c r="I133" s="428"/>
      <c r="J133" s="429"/>
      <c r="K133" s="104">
        <f>K118</f>
        <v>0</v>
      </c>
    </row>
    <row r="134" spans="1:13" ht="34.15" customHeight="1" thickTop="1" thickBot="1" x14ac:dyDescent="0.25">
      <c r="A134" s="430" t="s">
        <v>129</v>
      </c>
      <c r="B134" s="431"/>
      <c r="C134" s="431"/>
      <c r="D134" s="431"/>
      <c r="E134" s="431"/>
      <c r="F134" s="431"/>
      <c r="G134" s="431"/>
      <c r="H134" s="431"/>
      <c r="I134" s="431"/>
      <c r="J134" s="432"/>
      <c r="K134" s="157">
        <f>SUM(K132+K133)</f>
        <v>0</v>
      </c>
    </row>
    <row r="135" spans="1:13" ht="21.75" customHeight="1" thickTop="1" thickBot="1" x14ac:dyDescent="0.25">
      <c r="A135" s="81"/>
      <c r="B135" s="82"/>
      <c r="C135" s="82"/>
      <c r="D135" s="82"/>
      <c r="E135" s="82"/>
      <c r="F135" s="82"/>
      <c r="G135" s="82"/>
      <c r="H135" s="82"/>
      <c r="I135" s="82"/>
      <c r="J135" s="82"/>
      <c r="K135" s="79"/>
    </row>
    <row r="136" spans="1:13" ht="21.75" customHeight="1" thickTop="1" thickBot="1" x14ac:dyDescent="0.25">
      <c r="A136" s="423" t="s">
        <v>130</v>
      </c>
      <c r="B136" s="424"/>
      <c r="C136" s="424"/>
      <c r="D136" s="424"/>
      <c r="E136" s="424"/>
      <c r="F136" s="424"/>
      <c r="G136" s="424"/>
      <c r="H136" s="424"/>
      <c r="I136" s="424"/>
      <c r="J136" s="424"/>
      <c r="K136" s="426"/>
    </row>
    <row r="137" spans="1:13" ht="45" customHeight="1" thickTop="1" thickBot="1" x14ac:dyDescent="0.25">
      <c r="A137" s="430" t="s">
        <v>131</v>
      </c>
      <c r="B137" s="431"/>
      <c r="C137" s="433"/>
      <c r="D137" s="434" t="s">
        <v>329</v>
      </c>
      <c r="E137" s="434"/>
      <c r="F137" s="434" t="s">
        <v>133</v>
      </c>
      <c r="G137" s="434"/>
      <c r="H137" s="434" t="s">
        <v>134</v>
      </c>
      <c r="I137" s="434"/>
      <c r="J137" s="158" t="s">
        <v>135</v>
      </c>
      <c r="K137" s="159" t="s">
        <v>136</v>
      </c>
    </row>
    <row r="138" spans="1:13" ht="21.75" customHeight="1" thickTop="1" thickBot="1" x14ac:dyDescent="0.25">
      <c r="A138" s="418" t="s">
        <v>334</v>
      </c>
      <c r="B138" s="419"/>
      <c r="C138" s="420"/>
      <c r="D138" s="421">
        <f>K134</f>
        <v>0</v>
      </c>
      <c r="E138" s="421"/>
      <c r="F138" s="422">
        <v>1</v>
      </c>
      <c r="G138" s="422"/>
      <c r="H138" s="421">
        <f>F138*D138</f>
        <v>0</v>
      </c>
      <c r="I138" s="421"/>
      <c r="J138" s="160">
        <f>'Quantitativo de pessoal'!H14</f>
        <v>1</v>
      </c>
      <c r="K138" s="161">
        <f>ROUND(J138*H138,2)</f>
        <v>0</v>
      </c>
    </row>
    <row r="139" spans="1:13" ht="36.75" customHeight="1" thickTop="1" thickBot="1" x14ac:dyDescent="0.25">
      <c r="A139" s="423" t="s">
        <v>137</v>
      </c>
      <c r="B139" s="424"/>
      <c r="C139" s="424"/>
      <c r="D139" s="424"/>
      <c r="E139" s="424"/>
      <c r="F139" s="424"/>
      <c r="G139" s="424"/>
      <c r="H139" s="424"/>
      <c r="I139" s="424"/>
      <c r="J139" s="425"/>
      <c r="K139" s="162">
        <f>K138</f>
        <v>0</v>
      </c>
    </row>
    <row r="140" spans="1:13" ht="36.75" customHeight="1" thickTop="1" thickBot="1" x14ac:dyDescent="0.25">
      <c r="A140" s="423" t="s">
        <v>138</v>
      </c>
      <c r="B140" s="424"/>
      <c r="C140" s="424"/>
      <c r="D140" s="424"/>
      <c r="E140" s="424"/>
      <c r="F140" s="424"/>
      <c r="G140" s="424"/>
      <c r="H140" s="424"/>
      <c r="I140" s="424"/>
      <c r="J140" s="426"/>
      <c r="K140" s="330">
        <f>K139*12</f>
        <v>0</v>
      </c>
    </row>
    <row r="141" spans="1:13" ht="16.5" thickTop="1" x14ac:dyDescent="0.2">
      <c r="K141" s="329" t="s">
        <v>139</v>
      </c>
      <c r="L141" s="163" t="e">
        <f>K134/K33</f>
        <v>#DIV/0!</v>
      </c>
      <c r="M141" s="111"/>
    </row>
    <row r="1048526" ht="12.75" customHeight="1" x14ac:dyDescent="0.2"/>
    <row r="1048527" ht="12.75" customHeight="1" x14ac:dyDescent="0.2"/>
    <row r="1048528" ht="12.75" customHeight="1" x14ac:dyDescent="0.2"/>
    <row r="1048529" ht="12.75" customHeight="1" x14ac:dyDescent="0.2"/>
    <row r="1048530" ht="12.75" customHeight="1" x14ac:dyDescent="0.2"/>
    <row r="1048531" ht="12.75" customHeight="1" x14ac:dyDescent="0.2"/>
    <row r="1048532" ht="12.75" customHeight="1" x14ac:dyDescent="0.2"/>
    <row r="1048533" ht="12.75" customHeight="1" x14ac:dyDescent="0.2"/>
    <row r="1048534" ht="12.75" customHeight="1" x14ac:dyDescent="0.2"/>
    <row r="1048535" ht="12.75" customHeight="1" x14ac:dyDescent="0.2"/>
    <row r="1048536" ht="12.75" customHeight="1" x14ac:dyDescent="0.2"/>
    <row r="1048537" ht="12.75" customHeight="1" x14ac:dyDescent="0.2"/>
    <row r="1048538" ht="12.75" customHeight="1" x14ac:dyDescent="0.2"/>
    <row r="1048539" ht="12.75" customHeight="1" x14ac:dyDescent="0.2"/>
    <row r="1048540" ht="12.75" customHeight="1" x14ac:dyDescent="0.2"/>
    <row r="1048541" ht="12.75" customHeight="1" x14ac:dyDescent="0.2"/>
    <row r="1048542" ht="12.75" customHeight="1" x14ac:dyDescent="0.2"/>
    <row r="1048543" ht="12.75" customHeight="1" x14ac:dyDescent="0.2"/>
    <row r="1048544" ht="12.75" customHeight="1" x14ac:dyDescent="0.2"/>
    <row r="1048545" ht="12.75" customHeight="1" x14ac:dyDescent="0.2"/>
    <row r="1048546" ht="12.75" customHeight="1" x14ac:dyDescent="0.2"/>
    <row r="1048547" ht="12.75" customHeight="1" x14ac:dyDescent="0.2"/>
    <row r="1048548" ht="12.75" customHeight="1" x14ac:dyDescent="0.2"/>
    <row r="1048549" ht="12.75" customHeight="1" x14ac:dyDescent="0.2"/>
    <row r="1048550" ht="12.75" customHeight="1" x14ac:dyDescent="0.2"/>
    <row r="1048551" ht="12.75" customHeight="1" x14ac:dyDescent="0.2"/>
    <row r="1048552" ht="12.75" customHeight="1" x14ac:dyDescent="0.2"/>
    <row r="1048553" ht="12.75" customHeight="1" x14ac:dyDescent="0.2"/>
    <row r="1048554" ht="12.75" customHeight="1" x14ac:dyDescent="0.2"/>
    <row r="1048555" ht="12.75" customHeight="1" x14ac:dyDescent="0.2"/>
    <row r="1048556" ht="12.75" customHeight="1" x14ac:dyDescent="0.2"/>
  </sheetData>
  <mergeCells count="136">
    <mergeCell ref="A138:C138"/>
    <mergeCell ref="D138:E138"/>
    <mergeCell ref="F138:G138"/>
    <mergeCell ref="H138:I138"/>
    <mergeCell ref="A139:J139"/>
    <mergeCell ref="A140:J140"/>
    <mergeCell ref="B131:J131"/>
    <mergeCell ref="A132:J132"/>
    <mergeCell ref="B133:J133"/>
    <mergeCell ref="A134:J134"/>
    <mergeCell ref="A136:K136"/>
    <mergeCell ref="A137:C137"/>
    <mergeCell ref="D137:E137"/>
    <mergeCell ref="F137:G137"/>
    <mergeCell ref="H137:I137"/>
    <mergeCell ref="A125:K125"/>
    <mergeCell ref="A126:J126"/>
    <mergeCell ref="B127:J127"/>
    <mergeCell ref="B128:J128"/>
    <mergeCell ref="B129:J129"/>
    <mergeCell ref="B130:J130"/>
    <mergeCell ref="A109:J109"/>
    <mergeCell ref="A110:K110"/>
    <mergeCell ref="A111:J111"/>
    <mergeCell ref="A114:A117"/>
    <mergeCell ref="I115:I117"/>
    <mergeCell ref="A119:K124"/>
    <mergeCell ref="B105:D105"/>
    <mergeCell ref="E105:J105"/>
    <mergeCell ref="B106:D106"/>
    <mergeCell ref="E106:J106"/>
    <mergeCell ref="A107:A108"/>
    <mergeCell ref="B107:C108"/>
    <mergeCell ref="D107:J107"/>
    <mergeCell ref="D108:J108"/>
    <mergeCell ref="B99:J99"/>
    <mergeCell ref="B100:J100"/>
    <mergeCell ref="B101:J101"/>
    <mergeCell ref="A102:K102"/>
    <mergeCell ref="A103:J103"/>
    <mergeCell ref="B104:J104"/>
    <mergeCell ref="A92:K93"/>
    <mergeCell ref="A94:K94"/>
    <mergeCell ref="B95:I95"/>
    <mergeCell ref="B96:I96"/>
    <mergeCell ref="A97:K97"/>
    <mergeCell ref="A98:K98"/>
    <mergeCell ref="B86:I86"/>
    <mergeCell ref="B87:I87"/>
    <mergeCell ref="B88:I88"/>
    <mergeCell ref="B89:I89"/>
    <mergeCell ref="B90:I90"/>
    <mergeCell ref="A91:I91"/>
    <mergeCell ref="A78:I78"/>
    <mergeCell ref="A79:K81"/>
    <mergeCell ref="A82:K82"/>
    <mergeCell ref="A83:K83"/>
    <mergeCell ref="B84:I84"/>
    <mergeCell ref="B85:I85"/>
    <mergeCell ref="B75:I75"/>
    <mergeCell ref="L75:M75"/>
    <mergeCell ref="B76:I76"/>
    <mergeCell ref="L76:M76"/>
    <mergeCell ref="B77:I77"/>
    <mergeCell ref="L77:M77"/>
    <mergeCell ref="A71:K71"/>
    <mergeCell ref="B72:I72"/>
    <mergeCell ref="L72:M72"/>
    <mergeCell ref="B73:I73"/>
    <mergeCell ref="L73:M73"/>
    <mergeCell ref="B74:I74"/>
    <mergeCell ref="L74:M74"/>
    <mergeCell ref="A65:K65"/>
    <mergeCell ref="B66:I66"/>
    <mergeCell ref="B67:I67"/>
    <mergeCell ref="B68:J68"/>
    <mergeCell ref="B69:J69"/>
    <mergeCell ref="A70:K70"/>
    <mergeCell ref="B60:J60"/>
    <mergeCell ref="L60:O60"/>
    <mergeCell ref="B61:J61"/>
    <mergeCell ref="L61:O61"/>
    <mergeCell ref="B62:J62"/>
    <mergeCell ref="A63:K64"/>
    <mergeCell ref="A56:K56"/>
    <mergeCell ref="B57:J57"/>
    <mergeCell ref="B58:J58"/>
    <mergeCell ref="L58:O58"/>
    <mergeCell ref="B59:J59"/>
    <mergeCell ref="L59:O59"/>
    <mergeCell ref="B47:I47"/>
    <mergeCell ref="B48:I48"/>
    <mergeCell ref="B50:I50"/>
    <mergeCell ref="B51:I51"/>
    <mergeCell ref="B52:I52"/>
    <mergeCell ref="A53:K55"/>
    <mergeCell ref="A41:K42"/>
    <mergeCell ref="A43:K43"/>
    <mergeCell ref="B44:I44"/>
    <mergeCell ref="B45:I45"/>
    <mergeCell ref="B46:E46"/>
    <mergeCell ref="H46:I46"/>
    <mergeCell ref="A34:K35"/>
    <mergeCell ref="A36:K36"/>
    <mergeCell ref="A37:K37"/>
    <mergeCell ref="B38:I38"/>
    <mergeCell ref="B39:I39"/>
    <mergeCell ref="B40:I40"/>
    <mergeCell ref="B28:J28"/>
    <mergeCell ref="B29:J29"/>
    <mergeCell ref="B30:J30"/>
    <mergeCell ref="B31:J31"/>
    <mergeCell ref="A32:K32"/>
    <mergeCell ref="A33:J33"/>
    <mergeCell ref="A20:K22"/>
    <mergeCell ref="A23:J23"/>
    <mergeCell ref="H25:J25"/>
    <mergeCell ref="A26:A27"/>
    <mergeCell ref="B26:D27"/>
    <mergeCell ref="K26:K27"/>
    <mergeCell ref="A5:C5"/>
    <mergeCell ref="D5:I5"/>
    <mergeCell ref="B7:E7"/>
    <mergeCell ref="F7:K7"/>
    <mergeCell ref="A12:K14"/>
    <mergeCell ref="A15:K15"/>
    <mergeCell ref="I9:K9"/>
    <mergeCell ref="A1:I1"/>
    <mergeCell ref="A2:C2"/>
    <mergeCell ref="D2:I2"/>
    <mergeCell ref="A3:C3"/>
    <mergeCell ref="D3:I3"/>
    <mergeCell ref="A4:C4"/>
    <mergeCell ref="D4:F4"/>
    <mergeCell ref="H4:I4"/>
    <mergeCell ref="B19:J19"/>
  </mergeCells>
  <pageMargins left="0.511811024" right="0.511811024" top="0.78740157499999996" bottom="0.78740157499999996" header="0.31496062000000002" footer="0.31496062000000002"/>
  <pageSetup paperSize="9" scale="41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32700-20C7-41CD-86F5-3E5EA60C1848}">
  <sheetPr>
    <pageSetUpPr fitToPage="1"/>
  </sheetPr>
  <dimension ref="A1:IV1048556"/>
  <sheetViews>
    <sheetView tabSelected="1" topLeftCell="A54" workbookViewId="0">
      <selection activeCell="K51" sqref="K51"/>
    </sheetView>
  </sheetViews>
  <sheetFormatPr defaultRowHeight="15.75" x14ac:dyDescent="0.2"/>
  <cols>
    <col min="1" max="10" width="12.42578125" style="76" customWidth="1"/>
    <col min="11" max="11" width="18.140625" style="76" bestFit="1" customWidth="1"/>
    <col min="12" max="12" width="18.28515625" style="76" customWidth="1"/>
    <col min="13" max="256" width="12.42578125" style="76" customWidth="1"/>
    <col min="257" max="1024" width="12.42578125" style="77" customWidth="1"/>
    <col min="1025" max="16384" width="9.140625" style="77"/>
  </cols>
  <sheetData>
    <row r="1" spans="1:11" ht="21.75" customHeight="1" thickTop="1" thickBot="1" x14ac:dyDescent="0.25">
      <c r="A1" s="423" t="s">
        <v>0</v>
      </c>
      <c r="B1" s="423"/>
      <c r="C1" s="423"/>
      <c r="D1" s="423"/>
      <c r="E1" s="423"/>
      <c r="F1" s="423"/>
      <c r="G1" s="423"/>
      <c r="H1" s="423"/>
      <c r="I1" s="442"/>
      <c r="J1" s="74"/>
      <c r="K1" s="75"/>
    </row>
    <row r="2" spans="1:11" ht="21.75" customHeight="1" thickTop="1" thickBot="1" x14ac:dyDescent="0.25">
      <c r="A2" s="534" t="s">
        <v>1</v>
      </c>
      <c r="B2" s="534"/>
      <c r="C2" s="534"/>
      <c r="D2" s="535" t="s">
        <v>330</v>
      </c>
      <c r="E2" s="535"/>
      <c r="F2" s="535"/>
      <c r="G2" s="535"/>
      <c r="H2" s="535"/>
      <c r="I2" s="536"/>
      <c r="J2" s="78"/>
      <c r="K2" s="79"/>
    </row>
    <row r="3" spans="1:11" ht="21.75" customHeight="1" thickTop="1" thickBot="1" x14ac:dyDescent="0.25">
      <c r="A3" s="534" t="s">
        <v>2</v>
      </c>
      <c r="B3" s="534"/>
      <c r="C3" s="534"/>
      <c r="D3" s="537" t="str">
        <f>'1 - Servente Sede'!D3</f>
        <v>Pregão Eletrônico nº XX/2020</v>
      </c>
      <c r="E3" s="537"/>
      <c r="F3" s="537"/>
      <c r="G3" s="537"/>
      <c r="H3" s="537"/>
      <c r="I3" s="538"/>
      <c r="J3" s="78"/>
      <c r="K3" s="79"/>
    </row>
    <row r="4" spans="1:11" ht="21.75" customHeight="1" thickTop="1" thickBot="1" x14ac:dyDescent="0.25">
      <c r="A4" s="534" t="s">
        <v>3</v>
      </c>
      <c r="B4" s="534"/>
      <c r="C4" s="534"/>
      <c r="D4" s="539"/>
      <c r="E4" s="540"/>
      <c r="F4" s="541"/>
      <c r="G4" s="80" t="s">
        <v>4</v>
      </c>
      <c r="H4" s="542"/>
      <c r="I4" s="536"/>
      <c r="J4" s="78"/>
      <c r="K4" s="79"/>
    </row>
    <row r="5" spans="1:11" ht="21.75" customHeight="1" thickTop="1" thickBot="1" x14ac:dyDescent="0.25">
      <c r="A5" s="526" t="s">
        <v>5</v>
      </c>
      <c r="B5" s="526"/>
      <c r="C5" s="526"/>
      <c r="D5" s="527" t="s">
        <v>411</v>
      </c>
      <c r="E5" s="527"/>
      <c r="F5" s="527"/>
      <c r="G5" s="527"/>
      <c r="H5" s="527"/>
      <c r="I5" s="527"/>
      <c r="J5" s="277"/>
      <c r="K5" s="79"/>
    </row>
    <row r="6" spans="1:11" ht="21.75" customHeight="1" thickTop="1" thickBot="1" x14ac:dyDescent="0.25">
      <c r="A6" s="81"/>
      <c r="B6" s="82"/>
      <c r="C6" s="82"/>
      <c r="D6" s="82"/>
      <c r="E6" s="82"/>
      <c r="F6" s="82"/>
      <c r="G6" s="82"/>
      <c r="H6" s="82"/>
      <c r="I6" s="279"/>
      <c r="J6" s="279"/>
      <c r="K6" s="278"/>
    </row>
    <row r="7" spans="1:11" ht="21.75" customHeight="1" thickTop="1" thickBot="1" x14ac:dyDescent="0.25">
      <c r="A7" s="274" t="s">
        <v>7</v>
      </c>
      <c r="B7" s="528" t="s">
        <v>8</v>
      </c>
      <c r="C7" s="528"/>
      <c r="D7" s="528"/>
      <c r="E7" s="528"/>
      <c r="F7" s="529" t="s">
        <v>361</v>
      </c>
      <c r="G7" s="529"/>
      <c r="H7" s="529"/>
      <c r="I7" s="529"/>
      <c r="J7" s="529"/>
      <c r="K7" s="529"/>
    </row>
    <row r="8" spans="1:11" ht="21.75" customHeight="1" thickTop="1" thickBot="1" x14ac:dyDescent="0.25">
      <c r="A8" s="274" t="s">
        <v>7</v>
      </c>
      <c r="B8" s="275" t="s">
        <v>9</v>
      </c>
      <c r="C8" s="84"/>
      <c r="D8" s="84"/>
      <c r="E8" s="84"/>
      <c r="F8" s="84"/>
      <c r="G8" s="84"/>
      <c r="H8" s="84"/>
      <c r="I8" s="84"/>
      <c r="J8" s="276"/>
      <c r="K8" s="85">
        <v>12</v>
      </c>
    </row>
    <row r="9" spans="1:11" ht="21.75" customHeight="1" thickTop="1" thickBot="1" x14ac:dyDescent="0.25">
      <c r="A9" s="83" t="s">
        <v>7</v>
      </c>
      <c r="B9" s="496" t="s">
        <v>10</v>
      </c>
      <c r="C9" s="428"/>
      <c r="D9" s="428"/>
      <c r="E9" s="428"/>
      <c r="F9" s="428"/>
      <c r="G9" s="428"/>
      <c r="H9" s="428"/>
      <c r="I9" s="543"/>
      <c r="J9" s="543"/>
      <c r="K9" s="544"/>
    </row>
    <row r="10" spans="1:11" ht="21.75" customHeight="1" thickTop="1" thickBot="1" x14ac:dyDescent="0.25">
      <c r="A10" s="83" t="s">
        <v>7</v>
      </c>
      <c r="B10" s="86" t="s">
        <v>11</v>
      </c>
      <c r="C10" s="86"/>
      <c r="D10" s="86"/>
      <c r="E10" s="86"/>
      <c r="F10" s="86"/>
      <c r="G10" s="86"/>
      <c r="H10" s="86"/>
      <c r="I10" s="86"/>
      <c r="J10" s="86"/>
      <c r="K10" s="87" t="s">
        <v>141</v>
      </c>
    </row>
    <row r="11" spans="1:11" ht="21.75" customHeight="1" thickTop="1" thickBot="1" x14ac:dyDescent="0.25">
      <c r="A11" s="83" t="s">
        <v>7</v>
      </c>
      <c r="B11" s="86" t="s">
        <v>142</v>
      </c>
      <c r="C11" s="86"/>
      <c r="D11" s="86"/>
      <c r="E11" s="86"/>
      <c r="F11" s="86"/>
      <c r="G11" s="86"/>
      <c r="H11" s="86"/>
      <c r="I11" s="86"/>
      <c r="J11" s="86"/>
      <c r="K11" s="88">
        <f>'Quantitativo de pessoal'!D13</f>
        <v>20173.649999999998</v>
      </c>
    </row>
    <row r="12" spans="1:11" ht="21.75" customHeight="1" thickTop="1" thickBot="1" x14ac:dyDescent="0.25">
      <c r="A12" s="530" t="s">
        <v>147</v>
      </c>
      <c r="B12" s="531"/>
      <c r="C12" s="531"/>
      <c r="D12" s="531"/>
      <c r="E12" s="531"/>
      <c r="F12" s="531"/>
      <c r="G12" s="531"/>
      <c r="H12" s="531"/>
      <c r="I12" s="531"/>
      <c r="J12" s="531"/>
      <c r="K12" s="532"/>
    </row>
    <row r="13" spans="1:11" ht="21.75" customHeight="1" thickTop="1" thickBot="1" x14ac:dyDescent="0.25">
      <c r="A13" s="533"/>
      <c r="B13" s="531"/>
      <c r="C13" s="531"/>
      <c r="D13" s="531"/>
      <c r="E13" s="531"/>
      <c r="F13" s="531"/>
      <c r="G13" s="531"/>
      <c r="H13" s="531"/>
      <c r="I13" s="531"/>
      <c r="J13" s="531"/>
      <c r="K13" s="532"/>
    </row>
    <row r="14" spans="1:11" ht="21.75" customHeight="1" thickTop="1" thickBot="1" x14ac:dyDescent="0.25">
      <c r="A14" s="533"/>
      <c r="B14" s="531"/>
      <c r="C14" s="531"/>
      <c r="D14" s="531"/>
      <c r="E14" s="531"/>
      <c r="F14" s="531"/>
      <c r="G14" s="531"/>
      <c r="H14" s="531"/>
      <c r="I14" s="531"/>
      <c r="J14" s="531"/>
      <c r="K14" s="532"/>
    </row>
    <row r="15" spans="1:11" ht="21.75" customHeight="1" thickTop="1" thickBot="1" x14ac:dyDescent="0.25">
      <c r="A15" s="442" t="s">
        <v>15</v>
      </c>
      <c r="B15" s="442"/>
      <c r="C15" s="442"/>
      <c r="D15" s="442"/>
      <c r="E15" s="442"/>
      <c r="F15" s="442"/>
      <c r="G15" s="442"/>
      <c r="H15" s="442"/>
      <c r="I15" s="442"/>
      <c r="J15" s="442"/>
      <c r="K15" s="442"/>
    </row>
    <row r="16" spans="1:11" ht="21.75" customHeight="1" thickTop="1" thickBot="1" x14ac:dyDescent="0.25">
      <c r="A16" s="100">
        <v>1</v>
      </c>
      <c r="B16" s="86" t="s">
        <v>16</v>
      </c>
      <c r="C16" s="86"/>
      <c r="D16" s="86"/>
      <c r="E16" s="86"/>
      <c r="F16" s="86"/>
      <c r="G16" s="86"/>
      <c r="H16" s="86"/>
      <c r="I16" s="86"/>
      <c r="J16" s="86"/>
      <c r="K16" s="90"/>
    </row>
    <row r="17" spans="1:18" ht="21.75" customHeight="1" thickTop="1" thickBot="1" x14ac:dyDescent="0.25">
      <c r="A17" s="100">
        <v>2</v>
      </c>
      <c r="B17" s="86" t="s">
        <v>17</v>
      </c>
      <c r="C17" s="86"/>
      <c r="D17" s="86"/>
      <c r="E17" s="86"/>
      <c r="F17" s="86"/>
      <c r="G17" s="86"/>
      <c r="H17" s="86"/>
      <c r="I17" s="86"/>
      <c r="J17" s="86"/>
      <c r="K17" s="91" t="s">
        <v>193</v>
      </c>
    </row>
    <row r="18" spans="1:18" ht="21.75" customHeight="1" thickTop="1" thickBot="1" x14ac:dyDescent="0.25">
      <c r="A18" s="100">
        <v>3</v>
      </c>
      <c r="B18" s="86" t="s">
        <v>18</v>
      </c>
      <c r="C18" s="86"/>
      <c r="D18" s="86"/>
      <c r="E18" s="86"/>
      <c r="F18" s="86"/>
      <c r="G18" s="86"/>
      <c r="H18" s="86"/>
      <c r="I18" s="86"/>
      <c r="J18" s="86"/>
      <c r="K18" s="92">
        <v>43862</v>
      </c>
    </row>
    <row r="19" spans="1:18" ht="21.75" customHeight="1" thickTop="1" thickBot="1" x14ac:dyDescent="0.25">
      <c r="A19" s="93">
        <v>4</v>
      </c>
      <c r="B19" s="509" t="s">
        <v>19</v>
      </c>
      <c r="C19" s="510"/>
      <c r="D19" s="510"/>
      <c r="E19" s="510"/>
      <c r="F19" s="510"/>
      <c r="G19" s="510"/>
      <c r="H19" s="510"/>
      <c r="I19" s="510"/>
      <c r="J19" s="510"/>
      <c r="K19" s="94" t="s">
        <v>143</v>
      </c>
    </row>
    <row r="20" spans="1:18" ht="21.75" customHeight="1" thickTop="1" x14ac:dyDescent="0.2">
      <c r="A20" s="511" t="s">
        <v>148</v>
      </c>
      <c r="B20" s="512"/>
      <c r="C20" s="512"/>
      <c r="D20" s="512"/>
      <c r="E20" s="512"/>
      <c r="F20" s="512"/>
      <c r="G20" s="512"/>
      <c r="H20" s="512"/>
      <c r="I20" s="512"/>
      <c r="J20" s="512"/>
      <c r="K20" s="513"/>
    </row>
    <row r="21" spans="1:18" ht="19.149999999999999" customHeight="1" thickBot="1" x14ac:dyDescent="0.25">
      <c r="A21" s="514"/>
      <c r="B21" s="515"/>
      <c r="C21" s="515"/>
      <c r="D21" s="515"/>
      <c r="E21" s="515"/>
      <c r="F21" s="515"/>
      <c r="G21" s="515"/>
      <c r="H21" s="515"/>
      <c r="I21" s="515"/>
      <c r="J21" s="515"/>
      <c r="K21" s="516"/>
    </row>
    <row r="22" spans="1:18" ht="21.6" hidden="1" customHeight="1" x14ac:dyDescent="0.2">
      <c r="A22" s="517"/>
      <c r="B22" s="518"/>
      <c r="C22" s="518"/>
      <c r="D22" s="518"/>
      <c r="E22" s="518"/>
      <c r="F22" s="518"/>
      <c r="G22" s="518"/>
      <c r="H22" s="518"/>
      <c r="I22" s="518"/>
      <c r="J22" s="518"/>
      <c r="K22" s="519"/>
    </row>
    <row r="23" spans="1:18" ht="21.75" customHeight="1" thickTop="1" thickBot="1" x14ac:dyDescent="0.25">
      <c r="A23" s="442" t="s">
        <v>21</v>
      </c>
      <c r="B23" s="442"/>
      <c r="C23" s="442"/>
      <c r="D23" s="442"/>
      <c r="E23" s="442"/>
      <c r="F23" s="442"/>
      <c r="G23" s="442"/>
      <c r="H23" s="442"/>
      <c r="I23" s="442"/>
      <c r="J23" s="442"/>
      <c r="K23" s="95" t="s">
        <v>22</v>
      </c>
    </row>
    <row r="24" spans="1:18" ht="21.75" customHeight="1" thickTop="1" thickBot="1" x14ac:dyDescent="0.25">
      <c r="A24" s="100" t="s">
        <v>23</v>
      </c>
      <c r="B24" s="86" t="s">
        <v>24</v>
      </c>
      <c r="C24" s="86"/>
      <c r="D24" s="86"/>
      <c r="E24" s="86"/>
      <c r="F24" s="86"/>
      <c r="G24" s="86"/>
      <c r="H24" s="86"/>
      <c r="I24" s="86"/>
      <c r="J24" s="96"/>
      <c r="K24" s="342">
        <f>K16</f>
        <v>0</v>
      </c>
    </row>
    <row r="25" spans="1:18" ht="21.75" customHeight="1" thickTop="1" thickBot="1" x14ac:dyDescent="0.25">
      <c r="A25" s="100" t="s">
        <v>25</v>
      </c>
      <c r="B25" s="98" t="s">
        <v>26</v>
      </c>
      <c r="C25" s="98"/>
      <c r="D25" s="98"/>
      <c r="E25" s="99" t="s">
        <v>27</v>
      </c>
      <c r="F25" s="99"/>
      <c r="G25" s="86"/>
      <c r="H25" s="520">
        <v>0</v>
      </c>
      <c r="I25" s="521"/>
      <c r="J25" s="522"/>
      <c r="K25" s="102">
        <f>K24*H25</f>
        <v>0</v>
      </c>
    </row>
    <row r="26" spans="1:18" ht="21.75" customHeight="1" thickTop="1" thickBot="1" x14ac:dyDescent="0.3">
      <c r="A26" s="523" t="s">
        <v>28</v>
      </c>
      <c r="B26" s="524" t="s">
        <v>29</v>
      </c>
      <c r="C26" s="524"/>
      <c r="D26" s="524"/>
      <c r="E26" s="99" t="s">
        <v>30</v>
      </c>
      <c r="F26" s="99"/>
      <c r="G26" s="86"/>
      <c r="H26" s="86"/>
      <c r="I26" s="86"/>
      <c r="J26" s="101"/>
      <c r="K26" s="525">
        <f>L27*0.4</f>
        <v>0</v>
      </c>
      <c r="L26"/>
      <c r="M26"/>
      <c r="N26"/>
      <c r="O26"/>
      <c r="P26"/>
      <c r="Q26"/>
      <c r="R26"/>
    </row>
    <row r="27" spans="1:18" ht="21.75" customHeight="1" thickTop="1" thickBot="1" x14ac:dyDescent="0.3">
      <c r="A27" s="523"/>
      <c r="B27" s="524"/>
      <c r="C27" s="524"/>
      <c r="D27" s="524"/>
      <c r="E27" s="99" t="s">
        <v>31</v>
      </c>
      <c r="F27" s="99"/>
      <c r="G27" s="86"/>
      <c r="H27" s="99" t="s">
        <v>32</v>
      </c>
      <c r="I27" s="86"/>
      <c r="J27" s="96"/>
      <c r="K27" s="525"/>
      <c r="L27"/>
      <c r="M27"/>
      <c r="N27"/>
      <c r="O27"/>
      <c r="P27"/>
      <c r="Q27"/>
      <c r="R27"/>
    </row>
    <row r="28" spans="1:18" ht="21.75" customHeight="1" thickTop="1" thickBot="1" x14ac:dyDescent="0.3">
      <c r="A28" s="100" t="s">
        <v>33</v>
      </c>
      <c r="B28" s="506" t="s">
        <v>34</v>
      </c>
      <c r="C28" s="506"/>
      <c r="D28" s="506"/>
      <c r="E28" s="507"/>
      <c r="F28" s="507"/>
      <c r="G28" s="507"/>
      <c r="H28" s="507"/>
      <c r="I28" s="507"/>
      <c r="J28" s="508"/>
      <c r="K28" s="102">
        <v>0</v>
      </c>
      <c r="L28"/>
      <c r="M28"/>
      <c r="N28"/>
      <c r="O28"/>
      <c r="P28"/>
      <c r="Q28"/>
      <c r="R28"/>
    </row>
    <row r="29" spans="1:18" ht="21.75" customHeight="1" thickTop="1" thickBot="1" x14ac:dyDescent="0.25">
      <c r="A29" s="100" t="s">
        <v>35</v>
      </c>
      <c r="B29" s="428" t="s">
        <v>36</v>
      </c>
      <c r="C29" s="428"/>
      <c r="D29" s="428"/>
      <c r="E29" s="428"/>
      <c r="F29" s="428"/>
      <c r="G29" s="428"/>
      <c r="H29" s="428"/>
      <c r="I29" s="428"/>
      <c r="J29" s="429"/>
      <c r="K29" s="102">
        <v>0</v>
      </c>
      <c r="L29" s="103"/>
    </row>
    <row r="30" spans="1:18" ht="21.75" customHeight="1" thickTop="1" thickBot="1" x14ac:dyDescent="0.25">
      <c r="A30" s="100" t="s">
        <v>37</v>
      </c>
      <c r="B30" s="428" t="s">
        <v>38</v>
      </c>
      <c r="C30" s="428"/>
      <c r="D30" s="428"/>
      <c r="E30" s="428"/>
      <c r="F30" s="428"/>
      <c r="G30" s="428"/>
      <c r="H30" s="428"/>
      <c r="I30" s="428"/>
      <c r="J30" s="429"/>
      <c r="K30" s="102">
        <v>0</v>
      </c>
    </row>
    <row r="31" spans="1:18" ht="21.75" customHeight="1" thickTop="1" thickBot="1" x14ac:dyDescent="0.25">
      <c r="A31" s="100" t="s">
        <v>39</v>
      </c>
      <c r="B31" s="428" t="s">
        <v>87</v>
      </c>
      <c r="C31" s="428"/>
      <c r="D31" s="428"/>
      <c r="E31" s="428"/>
      <c r="F31" s="428"/>
      <c r="G31" s="428"/>
      <c r="H31" s="428"/>
      <c r="I31" s="428"/>
      <c r="J31" s="429"/>
      <c r="K31" s="104">
        <v>0</v>
      </c>
    </row>
    <row r="32" spans="1:18" ht="21.6" hidden="1" customHeight="1" x14ac:dyDescent="0.2">
      <c r="A32" s="503"/>
      <c r="B32" s="504"/>
      <c r="C32" s="504"/>
      <c r="D32" s="504"/>
      <c r="E32" s="504"/>
      <c r="F32" s="504"/>
      <c r="G32" s="504"/>
      <c r="H32" s="504"/>
      <c r="I32" s="504"/>
      <c r="J32" s="504"/>
      <c r="K32" s="505"/>
    </row>
    <row r="33" spans="1:13" ht="21.75" customHeight="1" thickTop="1" thickBot="1" x14ac:dyDescent="0.25">
      <c r="A33" s="423" t="s">
        <v>41</v>
      </c>
      <c r="B33" s="424"/>
      <c r="C33" s="424"/>
      <c r="D33" s="424"/>
      <c r="E33" s="424"/>
      <c r="F33" s="424"/>
      <c r="G33" s="424"/>
      <c r="H33" s="424"/>
      <c r="I33" s="424"/>
      <c r="J33" s="426"/>
      <c r="K33" s="105">
        <f>SUM(K24:K31)</f>
        <v>0</v>
      </c>
      <c r="M33" s="106"/>
    </row>
    <row r="34" spans="1:13" ht="21.75" customHeight="1" thickTop="1" x14ac:dyDescent="0.2">
      <c r="A34" s="464" t="s">
        <v>149</v>
      </c>
      <c r="B34" s="465"/>
      <c r="C34" s="465"/>
      <c r="D34" s="465"/>
      <c r="E34" s="465"/>
      <c r="F34" s="465"/>
      <c r="G34" s="465"/>
      <c r="H34" s="465"/>
      <c r="I34" s="465"/>
      <c r="J34" s="465"/>
      <c r="K34" s="466"/>
    </row>
    <row r="35" spans="1:13" ht="55.5" customHeight="1" thickBot="1" x14ac:dyDescent="0.25">
      <c r="A35" s="467"/>
      <c r="B35" s="468"/>
      <c r="C35" s="468"/>
      <c r="D35" s="468"/>
      <c r="E35" s="468"/>
      <c r="F35" s="468"/>
      <c r="G35" s="468"/>
      <c r="H35" s="468"/>
      <c r="I35" s="468"/>
      <c r="J35" s="468"/>
      <c r="K35" s="469"/>
    </row>
    <row r="36" spans="1:13" ht="21.75" customHeight="1" thickTop="1" thickBot="1" x14ac:dyDescent="0.25">
      <c r="A36" s="423" t="s">
        <v>43</v>
      </c>
      <c r="B36" s="423"/>
      <c r="C36" s="423"/>
      <c r="D36" s="423"/>
      <c r="E36" s="423"/>
      <c r="F36" s="423"/>
      <c r="G36" s="423"/>
      <c r="H36" s="423"/>
      <c r="I36" s="423"/>
      <c r="J36" s="423"/>
      <c r="K36" s="442"/>
    </row>
    <row r="37" spans="1:13" ht="21.75" customHeight="1" thickTop="1" thickBot="1" x14ac:dyDescent="0.25">
      <c r="A37" s="423" t="s">
        <v>150</v>
      </c>
      <c r="B37" s="423"/>
      <c r="C37" s="423"/>
      <c r="D37" s="423"/>
      <c r="E37" s="423"/>
      <c r="F37" s="423"/>
      <c r="G37" s="423"/>
      <c r="H37" s="423"/>
      <c r="I37" s="423"/>
      <c r="J37" s="423"/>
      <c r="K37" s="442"/>
    </row>
    <row r="38" spans="1:13" ht="21.75" customHeight="1" thickTop="1" thickBot="1" x14ac:dyDescent="0.25">
      <c r="A38" s="107" t="s">
        <v>23</v>
      </c>
      <c r="B38" s="501" t="s">
        <v>45</v>
      </c>
      <c r="C38" s="501"/>
      <c r="D38" s="501"/>
      <c r="E38" s="501"/>
      <c r="F38" s="501"/>
      <c r="G38" s="501"/>
      <c r="H38" s="501"/>
      <c r="I38" s="501"/>
      <c r="J38" s="108">
        <v>8.3299999999999999E-2</v>
      </c>
      <c r="K38" s="109">
        <f>K33*(1/12)</f>
        <v>0</v>
      </c>
      <c r="L38" s="110"/>
    </row>
    <row r="39" spans="1:13" ht="21.75" customHeight="1" thickTop="1" thickBot="1" x14ac:dyDescent="0.25">
      <c r="A39" s="107" t="s">
        <v>25</v>
      </c>
      <c r="B39" s="501" t="s">
        <v>46</v>
      </c>
      <c r="C39" s="501"/>
      <c r="D39" s="501"/>
      <c r="E39" s="501"/>
      <c r="F39" s="501"/>
      <c r="G39" s="501"/>
      <c r="H39" s="501"/>
      <c r="I39" s="501"/>
      <c r="J39" s="108">
        <v>0.1111</v>
      </c>
      <c r="K39" s="109">
        <f>(K33*(1/12))+(K33*1/12*1/3)</f>
        <v>0</v>
      </c>
      <c r="L39" s="111"/>
    </row>
    <row r="40" spans="1:13" ht="21.75" customHeight="1" thickTop="1" thickBot="1" x14ac:dyDescent="0.25">
      <c r="A40" s="155"/>
      <c r="B40" s="502" t="s">
        <v>47</v>
      </c>
      <c r="C40" s="502"/>
      <c r="D40" s="502"/>
      <c r="E40" s="502"/>
      <c r="F40" s="502"/>
      <c r="G40" s="502"/>
      <c r="H40" s="502"/>
      <c r="I40" s="502"/>
      <c r="J40" s="113">
        <f>J38+J39</f>
        <v>0.19440000000000002</v>
      </c>
      <c r="K40" s="105">
        <f>ROUND(SUM(K38+K39),2)</f>
        <v>0</v>
      </c>
    </row>
    <row r="41" spans="1:13" ht="21.75" customHeight="1" thickTop="1" x14ac:dyDescent="0.2">
      <c r="A41" s="464" t="s">
        <v>151</v>
      </c>
      <c r="B41" s="465"/>
      <c r="C41" s="465"/>
      <c r="D41" s="465"/>
      <c r="E41" s="465"/>
      <c r="F41" s="465"/>
      <c r="G41" s="465"/>
      <c r="H41" s="465"/>
      <c r="I41" s="465"/>
      <c r="J41" s="465"/>
      <c r="K41" s="466"/>
    </row>
    <row r="42" spans="1:13" ht="55.15" customHeight="1" thickBot="1" x14ac:dyDescent="0.25">
      <c r="A42" s="467"/>
      <c r="B42" s="468"/>
      <c r="C42" s="468"/>
      <c r="D42" s="468"/>
      <c r="E42" s="468"/>
      <c r="F42" s="468"/>
      <c r="G42" s="468"/>
      <c r="H42" s="468"/>
      <c r="I42" s="468"/>
      <c r="J42" s="468"/>
      <c r="K42" s="469"/>
    </row>
    <row r="43" spans="1:13" ht="21.75" customHeight="1" thickTop="1" thickBot="1" x14ac:dyDescent="0.25">
      <c r="A43" s="423" t="s">
        <v>49</v>
      </c>
      <c r="B43" s="424"/>
      <c r="C43" s="424"/>
      <c r="D43" s="424"/>
      <c r="E43" s="424"/>
      <c r="F43" s="424"/>
      <c r="G43" s="424"/>
      <c r="H43" s="424"/>
      <c r="I43" s="424"/>
      <c r="J43" s="424"/>
      <c r="K43" s="426"/>
    </row>
    <row r="44" spans="1:13" ht="21.75" customHeight="1" thickTop="1" thickBot="1" x14ac:dyDescent="0.25">
      <c r="A44" s="100" t="s">
        <v>23</v>
      </c>
      <c r="B44" s="495" t="s">
        <v>50</v>
      </c>
      <c r="C44" s="495"/>
      <c r="D44" s="495"/>
      <c r="E44" s="495"/>
      <c r="F44" s="495"/>
      <c r="G44" s="495"/>
      <c r="H44" s="495"/>
      <c r="I44" s="495"/>
      <c r="J44" s="115">
        <v>0.2</v>
      </c>
      <c r="K44" s="102">
        <f>J44*(K33+K40)</f>
        <v>0</v>
      </c>
    </row>
    <row r="45" spans="1:13" ht="21.75" customHeight="1" thickTop="1" thickBot="1" x14ac:dyDescent="0.25">
      <c r="A45" s="100" t="s">
        <v>25</v>
      </c>
      <c r="B45" s="496" t="s">
        <v>54</v>
      </c>
      <c r="C45" s="428"/>
      <c r="D45" s="428"/>
      <c r="E45" s="428"/>
      <c r="F45" s="428"/>
      <c r="G45" s="428"/>
      <c r="H45" s="428"/>
      <c r="I45" s="497"/>
      <c r="J45" s="115">
        <v>2.5000000000000001E-2</v>
      </c>
      <c r="K45" s="102">
        <f>J45*(K33+K40)</f>
        <v>0</v>
      </c>
    </row>
    <row r="46" spans="1:13" ht="21.75" customHeight="1" thickTop="1" thickBot="1" x14ac:dyDescent="0.25">
      <c r="A46" s="100" t="s">
        <v>28</v>
      </c>
      <c r="B46" s="496" t="s">
        <v>243</v>
      </c>
      <c r="C46" s="428"/>
      <c r="D46" s="428"/>
      <c r="E46" s="498"/>
      <c r="F46" s="341">
        <v>0.03</v>
      </c>
      <c r="G46" s="281" t="s">
        <v>57</v>
      </c>
      <c r="H46" s="499">
        <v>1</v>
      </c>
      <c r="I46" s="500"/>
      <c r="J46" s="115">
        <f>F46*H46</f>
        <v>0.03</v>
      </c>
      <c r="K46" s="102">
        <f>J46*(K33+K40)</f>
        <v>0</v>
      </c>
    </row>
    <row r="47" spans="1:13" ht="21.75" customHeight="1" thickTop="1" thickBot="1" x14ac:dyDescent="0.25">
      <c r="A47" s="100" t="s">
        <v>33</v>
      </c>
      <c r="B47" s="496" t="s">
        <v>51</v>
      </c>
      <c r="C47" s="428"/>
      <c r="D47" s="428"/>
      <c r="E47" s="428"/>
      <c r="F47" s="428"/>
      <c r="G47" s="428"/>
      <c r="H47" s="428"/>
      <c r="I47" s="497"/>
      <c r="J47" s="115">
        <v>1.4999999999999999E-2</v>
      </c>
      <c r="K47" s="102">
        <f>J47*(K33+K40)</f>
        <v>0</v>
      </c>
    </row>
    <row r="48" spans="1:13" ht="21.75" customHeight="1" thickTop="1" thickBot="1" x14ac:dyDescent="0.25">
      <c r="A48" s="100" t="s">
        <v>35</v>
      </c>
      <c r="B48" s="496" t="s">
        <v>52</v>
      </c>
      <c r="C48" s="428"/>
      <c r="D48" s="428"/>
      <c r="E48" s="428"/>
      <c r="F48" s="428"/>
      <c r="G48" s="428"/>
      <c r="H48" s="428"/>
      <c r="I48" s="497"/>
      <c r="J48" s="115">
        <v>0.01</v>
      </c>
      <c r="K48" s="102">
        <f>J48*(K33+K40)</f>
        <v>0</v>
      </c>
    </row>
    <row r="49" spans="1:16" ht="21.75" customHeight="1" thickTop="1" thickBot="1" x14ac:dyDescent="0.25">
      <c r="A49" s="100" t="s">
        <v>37</v>
      </c>
      <c r="B49" s="86" t="s">
        <v>59</v>
      </c>
      <c r="C49" s="86"/>
      <c r="D49" s="86"/>
      <c r="E49" s="86"/>
      <c r="F49" s="86"/>
      <c r="G49" s="86"/>
      <c r="H49" s="86"/>
      <c r="I49" s="86"/>
      <c r="J49" s="115">
        <v>6.0000000000000001E-3</v>
      </c>
      <c r="K49" s="102">
        <f>J49*(K33+K40)</f>
        <v>0</v>
      </c>
    </row>
    <row r="50" spans="1:16" ht="21.75" customHeight="1" thickTop="1" thickBot="1" x14ac:dyDescent="0.25">
      <c r="A50" s="100" t="s">
        <v>39</v>
      </c>
      <c r="B50" s="496" t="s">
        <v>53</v>
      </c>
      <c r="C50" s="428"/>
      <c r="D50" s="428"/>
      <c r="E50" s="428"/>
      <c r="F50" s="428"/>
      <c r="G50" s="428"/>
      <c r="H50" s="428"/>
      <c r="I50" s="497"/>
      <c r="J50" s="116">
        <v>2E-3</v>
      </c>
      <c r="K50" s="102">
        <f>J50*(K$33+K$40)</f>
        <v>0</v>
      </c>
    </row>
    <row r="51" spans="1:16" ht="21.75" customHeight="1" thickTop="1" thickBot="1" x14ac:dyDescent="0.25">
      <c r="A51" s="100" t="s">
        <v>58</v>
      </c>
      <c r="B51" s="496" t="s">
        <v>55</v>
      </c>
      <c r="C51" s="428"/>
      <c r="D51" s="428"/>
      <c r="E51" s="428"/>
      <c r="F51" s="428"/>
      <c r="G51" s="428"/>
      <c r="H51" s="428"/>
      <c r="I51" s="497"/>
      <c r="J51" s="116">
        <v>0.08</v>
      </c>
      <c r="K51" s="408">
        <f>J51*(K$33+K$40)</f>
        <v>0</v>
      </c>
    </row>
    <row r="52" spans="1:16" ht="21.75" customHeight="1" thickTop="1" thickBot="1" x14ac:dyDescent="0.25">
      <c r="A52" s="154"/>
      <c r="B52" s="423" t="s">
        <v>47</v>
      </c>
      <c r="C52" s="424"/>
      <c r="D52" s="424"/>
      <c r="E52" s="424"/>
      <c r="F52" s="424"/>
      <c r="G52" s="424"/>
      <c r="H52" s="424"/>
      <c r="I52" s="426"/>
      <c r="J52" s="114">
        <f>SUM(J44:J51)</f>
        <v>0.36800000000000005</v>
      </c>
      <c r="K52" s="282">
        <f>SUM(K44:K51)</f>
        <v>0</v>
      </c>
    </row>
    <row r="53" spans="1:16" ht="21.75" customHeight="1" thickTop="1" x14ac:dyDescent="0.2">
      <c r="A53" s="486" t="s">
        <v>152</v>
      </c>
      <c r="B53" s="487"/>
      <c r="C53" s="487"/>
      <c r="D53" s="487"/>
      <c r="E53" s="487"/>
      <c r="F53" s="487"/>
      <c r="G53" s="487"/>
      <c r="H53" s="487"/>
      <c r="I53" s="487"/>
      <c r="J53" s="487"/>
      <c r="K53" s="488"/>
    </row>
    <row r="54" spans="1:16" ht="21.75" customHeight="1" x14ac:dyDescent="0.2">
      <c r="A54" s="489"/>
      <c r="B54" s="490"/>
      <c r="C54" s="490"/>
      <c r="D54" s="490"/>
      <c r="E54" s="490"/>
      <c r="F54" s="490"/>
      <c r="G54" s="490"/>
      <c r="H54" s="490"/>
      <c r="I54" s="490"/>
      <c r="J54" s="490"/>
      <c r="K54" s="491"/>
    </row>
    <row r="55" spans="1:16" ht="12.6" customHeight="1" thickBot="1" x14ac:dyDescent="0.25">
      <c r="A55" s="492"/>
      <c r="B55" s="493"/>
      <c r="C55" s="493"/>
      <c r="D55" s="493"/>
      <c r="E55" s="493"/>
      <c r="F55" s="493"/>
      <c r="G55" s="493"/>
      <c r="H55" s="493"/>
      <c r="I55" s="493"/>
      <c r="J55" s="493"/>
      <c r="K55" s="494"/>
    </row>
    <row r="56" spans="1:16" ht="21.75" customHeight="1" thickTop="1" thickBot="1" x14ac:dyDescent="0.25">
      <c r="A56" s="423" t="s">
        <v>61</v>
      </c>
      <c r="B56" s="424"/>
      <c r="C56" s="424"/>
      <c r="D56" s="424"/>
      <c r="E56" s="424"/>
      <c r="F56" s="424"/>
      <c r="G56" s="424"/>
      <c r="H56" s="424"/>
      <c r="I56" s="424"/>
      <c r="J56" s="424"/>
      <c r="K56" s="426"/>
    </row>
    <row r="57" spans="1:16" ht="21.75" customHeight="1" thickTop="1" thickBot="1" x14ac:dyDescent="0.25">
      <c r="A57" s="95" t="s">
        <v>23</v>
      </c>
      <c r="B57" s="459" t="s">
        <v>401</v>
      </c>
      <c r="C57" s="459"/>
      <c r="D57" s="459"/>
      <c r="E57" s="459"/>
      <c r="F57" s="459"/>
      <c r="G57" s="459"/>
      <c r="H57" s="459"/>
      <c r="I57" s="459"/>
      <c r="J57" s="459"/>
      <c r="K57" s="117">
        <v>0</v>
      </c>
      <c r="L57" s="111"/>
    </row>
    <row r="58" spans="1:16" ht="21.75" customHeight="1" thickTop="1" thickBot="1" x14ac:dyDescent="0.25">
      <c r="A58" s="95" t="s">
        <v>25</v>
      </c>
      <c r="B58" s="459" t="s">
        <v>422</v>
      </c>
      <c r="C58" s="459"/>
      <c r="D58" s="459"/>
      <c r="E58" s="459"/>
      <c r="F58" s="459"/>
      <c r="G58" s="459"/>
      <c r="H58" s="459"/>
      <c r="I58" s="459"/>
      <c r="J58" s="459"/>
      <c r="K58" s="109">
        <v>0</v>
      </c>
      <c r="L58" s="484"/>
      <c r="M58" s="485"/>
      <c r="N58" s="485"/>
      <c r="O58" s="485"/>
    </row>
    <row r="59" spans="1:16" ht="21.75" customHeight="1" thickTop="1" thickBot="1" x14ac:dyDescent="0.25">
      <c r="A59" s="95" t="s">
        <v>28</v>
      </c>
      <c r="B59" s="459" t="s">
        <v>421</v>
      </c>
      <c r="C59" s="459"/>
      <c r="D59" s="459"/>
      <c r="E59" s="459"/>
      <c r="F59" s="459"/>
      <c r="G59" s="459"/>
      <c r="H59" s="459"/>
      <c r="I59" s="459"/>
      <c r="J59" s="459"/>
      <c r="K59" s="109">
        <v>0</v>
      </c>
      <c r="L59" s="484"/>
      <c r="M59" s="485"/>
      <c r="N59" s="485"/>
      <c r="O59" s="485"/>
      <c r="P59" s="111"/>
    </row>
    <row r="60" spans="1:16" ht="21.75" customHeight="1" thickTop="1" thickBot="1" x14ac:dyDescent="0.25">
      <c r="A60" s="95" t="s">
        <v>33</v>
      </c>
      <c r="B60" s="459" t="s">
        <v>420</v>
      </c>
      <c r="C60" s="459"/>
      <c r="D60" s="459"/>
      <c r="E60" s="459"/>
      <c r="F60" s="459"/>
      <c r="G60" s="459"/>
      <c r="H60" s="459"/>
      <c r="I60" s="459"/>
      <c r="J60" s="459"/>
      <c r="K60" s="109">
        <v>0</v>
      </c>
      <c r="L60" s="484"/>
      <c r="M60" s="485"/>
      <c r="N60" s="485"/>
      <c r="O60" s="485"/>
    </row>
    <row r="61" spans="1:16" ht="21.75" customHeight="1" thickTop="1" thickBot="1" x14ac:dyDescent="0.25">
      <c r="A61" s="95" t="s">
        <v>35</v>
      </c>
      <c r="B61" s="459" t="s">
        <v>87</v>
      </c>
      <c r="C61" s="459"/>
      <c r="D61" s="459"/>
      <c r="E61" s="459"/>
      <c r="F61" s="459"/>
      <c r="G61" s="459"/>
      <c r="H61" s="459"/>
      <c r="I61" s="459"/>
      <c r="J61" s="459"/>
      <c r="K61" s="109">
        <v>0</v>
      </c>
      <c r="L61" s="484"/>
      <c r="M61" s="485"/>
      <c r="N61" s="485"/>
      <c r="O61" s="485"/>
    </row>
    <row r="62" spans="1:16" ht="21.75" customHeight="1" thickTop="1" thickBot="1" x14ac:dyDescent="0.25">
      <c r="A62" s="95"/>
      <c r="B62" s="442" t="s">
        <v>47</v>
      </c>
      <c r="C62" s="442"/>
      <c r="D62" s="442"/>
      <c r="E62" s="442"/>
      <c r="F62" s="442"/>
      <c r="G62" s="442"/>
      <c r="H62" s="442"/>
      <c r="I62" s="442"/>
      <c r="J62" s="442"/>
      <c r="K62" s="105">
        <f>SUM(K57:K61)</f>
        <v>0</v>
      </c>
    </row>
    <row r="63" spans="1:16" ht="21.75" customHeight="1" thickTop="1" x14ac:dyDescent="0.2">
      <c r="A63" s="464" t="s">
        <v>153</v>
      </c>
      <c r="B63" s="465"/>
      <c r="C63" s="465"/>
      <c r="D63" s="465"/>
      <c r="E63" s="465"/>
      <c r="F63" s="465"/>
      <c r="G63" s="465"/>
      <c r="H63" s="465"/>
      <c r="I63" s="465"/>
      <c r="J63" s="465"/>
      <c r="K63" s="466"/>
    </row>
    <row r="64" spans="1:16" ht="37.15" customHeight="1" thickBot="1" x14ac:dyDescent="0.25">
      <c r="A64" s="467"/>
      <c r="B64" s="468"/>
      <c r="C64" s="468"/>
      <c r="D64" s="468"/>
      <c r="E64" s="468"/>
      <c r="F64" s="468"/>
      <c r="G64" s="468"/>
      <c r="H64" s="468"/>
      <c r="I64" s="468"/>
      <c r="J64" s="468"/>
      <c r="K64" s="469"/>
    </row>
    <row r="65" spans="1:18" ht="21.75" customHeight="1" thickTop="1" thickBot="1" x14ac:dyDescent="0.25">
      <c r="A65" s="423" t="s">
        <v>64</v>
      </c>
      <c r="B65" s="424"/>
      <c r="C65" s="424"/>
      <c r="D65" s="424"/>
      <c r="E65" s="424"/>
      <c r="F65" s="424"/>
      <c r="G65" s="424"/>
      <c r="H65" s="424"/>
      <c r="I65" s="424"/>
      <c r="J65" s="424"/>
      <c r="K65" s="426"/>
    </row>
    <row r="66" spans="1:18" ht="21.75" customHeight="1" thickTop="1" thickBot="1" x14ac:dyDescent="0.25">
      <c r="A66" s="118" t="s">
        <v>65</v>
      </c>
      <c r="B66" s="455" t="s">
        <v>154</v>
      </c>
      <c r="C66" s="455"/>
      <c r="D66" s="455"/>
      <c r="E66" s="455"/>
      <c r="F66" s="455"/>
      <c r="G66" s="455"/>
      <c r="H66" s="455"/>
      <c r="I66" s="455"/>
      <c r="J66" s="119">
        <f>J40</f>
        <v>0.19440000000000002</v>
      </c>
      <c r="K66" s="120">
        <f>K40</f>
        <v>0</v>
      </c>
    </row>
    <row r="67" spans="1:18" ht="21.75" customHeight="1" thickTop="1" thickBot="1" x14ac:dyDescent="0.25">
      <c r="A67" s="118" t="s">
        <v>67</v>
      </c>
      <c r="B67" s="455" t="s">
        <v>68</v>
      </c>
      <c r="C67" s="455"/>
      <c r="D67" s="455"/>
      <c r="E67" s="455"/>
      <c r="F67" s="455"/>
      <c r="G67" s="455"/>
      <c r="H67" s="455"/>
      <c r="I67" s="455"/>
      <c r="J67" s="119">
        <f>J52</f>
        <v>0.36800000000000005</v>
      </c>
      <c r="K67" s="120">
        <f>K52</f>
        <v>0</v>
      </c>
    </row>
    <row r="68" spans="1:18" ht="21.75" customHeight="1" thickTop="1" thickBot="1" x14ac:dyDescent="0.25">
      <c r="A68" s="118" t="s">
        <v>69</v>
      </c>
      <c r="B68" s="455" t="s">
        <v>70</v>
      </c>
      <c r="C68" s="455"/>
      <c r="D68" s="455"/>
      <c r="E68" s="455"/>
      <c r="F68" s="455"/>
      <c r="G68" s="455"/>
      <c r="H68" s="455"/>
      <c r="I68" s="455"/>
      <c r="J68" s="455"/>
      <c r="K68" s="120">
        <f>K62</f>
        <v>0</v>
      </c>
    </row>
    <row r="69" spans="1:18" ht="21.75" customHeight="1" thickTop="1" thickBot="1" x14ac:dyDescent="0.25">
      <c r="A69" s="95"/>
      <c r="B69" s="442" t="s">
        <v>47</v>
      </c>
      <c r="C69" s="442"/>
      <c r="D69" s="442"/>
      <c r="E69" s="442"/>
      <c r="F69" s="442"/>
      <c r="G69" s="442"/>
      <c r="H69" s="442"/>
      <c r="I69" s="442"/>
      <c r="J69" s="442"/>
      <c r="K69" s="105">
        <f>ROUND((K66+K67+K68),2)</f>
        <v>0</v>
      </c>
    </row>
    <row r="70" spans="1:18" s="121" customFormat="1" ht="21.75" customHeight="1" thickTop="1" thickBot="1" x14ac:dyDescent="0.3">
      <c r="A70" s="482"/>
      <c r="B70" s="483"/>
      <c r="C70" s="483"/>
      <c r="D70" s="483"/>
      <c r="E70" s="483"/>
      <c r="F70" s="483"/>
      <c r="G70" s="483"/>
      <c r="H70" s="483"/>
      <c r="I70" s="483"/>
      <c r="J70" s="483"/>
      <c r="K70" s="483"/>
    </row>
    <row r="71" spans="1:18" s="121" customFormat="1" ht="21.75" customHeight="1" thickTop="1" thickBot="1" x14ac:dyDescent="0.3">
      <c r="A71" s="423" t="s">
        <v>71</v>
      </c>
      <c r="B71" s="424"/>
      <c r="C71" s="424"/>
      <c r="D71" s="424"/>
      <c r="E71" s="424"/>
      <c r="F71" s="424"/>
      <c r="G71" s="424"/>
      <c r="H71" s="424"/>
      <c r="I71" s="424"/>
      <c r="J71" s="424"/>
      <c r="K71" s="426"/>
    </row>
    <row r="72" spans="1:18" s="121" customFormat="1" ht="21.75" customHeight="1" thickTop="1" thickBot="1" x14ac:dyDescent="0.3">
      <c r="A72" s="122" t="s">
        <v>23</v>
      </c>
      <c r="B72" s="459" t="s">
        <v>72</v>
      </c>
      <c r="C72" s="459"/>
      <c r="D72" s="459"/>
      <c r="E72" s="459"/>
      <c r="F72" s="459"/>
      <c r="G72" s="459"/>
      <c r="H72" s="459"/>
      <c r="I72" s="459"/>
      <c r="J72" s="123">
        <f>L72</f>
        <v>4.1666666666666666E-3</v>
      </c>
      <c r="K72" s="124">
        <f>J72*$K$33</f>
        <v>0</v>
      </c>
      <c r="L72" s="478">
        <f>0.05*(1/12)</f>
        <v>4.1666666666666666E-3</v>
      </c>
      <c r="M72" s="479"/>
      <c r="N72" s="121" t="s">
        <v>73</v>
      </c>
    </row>
    <row r="73" spans="1:18" s="121" customFormat="1" ht="21.75" customHeight="1" thickTop="1" thickBot="1" x14ac:dyDescent="0.3">
      <c r="A73" s="122" t="s">
        <v>25</v>
      </c>
      <c r="B73" s="459" t="s">
        <v>74</v>
      </c>
      <c r="C73" s="459"/>
      <c r="D73" s="459"/>
      <c r="E73" s="459"/>
      <c r="F73" s="459"/>
      <c r="G73" s="459"/>
      <c r="H73" s="459"/>
      <c r="I73" s="459"/>
      <c r="J73" s="123">
        <f>L73</f>
        <v>3.3333333333333332E-4</v>
      </c>
      <c r="K73" s="124">
        <f t="shared" ref="K73:K75" si="0">J73*$K$33</f>
        <v>0</v>
      </c>
      <c r="L73" s="480">
        <f>0.08*J72</f>
        <v>3.3333333333333332E-4</v>
      </c>
      <c r="M73" s="481"/>
    </row>
    <row r="74" spans="1:18" s="121" customFormat="1" ht="28.15" customHeight="1" thickTop="1" thickBot="1" x14ac:dyDescent="0.3">
      <c r="A74" s="122" t="s">
        <v>28</v>
      </c>
      <c r="B74" s="472" t="s">
        <v>75</v>
      </c>
      <c r="C74" s="472"/>
      <c r="D74" s="472"/>
      <c r="E74" s="472"/>
      <c r="F74" s="472"/>
      <c r="G74" s="472"/>
      <c r="H74" s="472"/>
      <c r="I74" s="472"/>
      <c r="J74" s="125">
        <f>L74</f>
        <v>3.4799999999999998E-2</v>
      </c>
      <c r="K74" s="124">
        <f t="shared" si="0"/>
        <v>0</v>
      </c>
      <c r="L74" s="473">
        <f>(0.08*(0.4)*0.9)*((1+5/56+5/56)+(1/3*5/56))</f>
        <v>3.4799999999999998E-2</v>
      </c>
      <c r="M74" s="474"/>
      <c r="N74" s="126"/>
      <c r="O74" s="127"/>
      <c r="P74" s="127"/>
      <c r="Q74" s="127"/>
      <c r="R74" s="127"/>
    </row>
    <row r="75" spans="1:18" s="121" customFormat="1" ht="21.75" customHeight="1" thickTop="1" thickBot="1" x14ac:dyDescent="0.3">
      <c r="A75" s="122" t="s">
        <v>33</v>
      </c>
      <c r="B75" s="459" t="s">
        <v>76</v>
      </c>
      <c r="C75" s="459"/>
      <c r="D75" s="459"/>
      <c r="E75" s="459"/>
      <c r="F75" s="459"/>
      <c r="G75" s="459"/>
      <c r="H75" s="459"/>
      <c r="I75" s="459"/>
      <c r="J75" s="125">
        <f>L75</f>
        <v>1.9444444444444445E-2</v>
      </c>
      <c r="K75" s="124">
        <f t="shared" si="0"/>
        <v>0</v>
      </c>
      <c r="L75" s="473">
        <f>(7/30)/12</f>
        <v>1.9444444444444445E-2</v>
      </c>
      <c r="M75" s="474"/>
    </row>
    <row r="76" spans="1:18" s="121" customFormat="1" ht="30" customHeight="1" thickTop="1" thickBot="1" x14ac:dyDescent="0.3">
      <c r="A76" s="122" t="s">
        <v>35</v>
      </c>
      <c r="B76" s="459" t="s">
        <v>77</v>
      </c>
      <c r="C76" s="459"/>
      <c r="D76" s="459"/>
      <c r="E76" s="459"/>
      <c r="F76" s="459"/>
      <c r="G76" s="459"/>
      <c r="H76" s="459"/>
      <c r="I76" s="459"/>
      <c r="J76" s="123">
        <f>J52*J75</f>
        <v>7.1555555555555565E-3</v>
      </c>
      <c r="K76" s="124">
        <f>K33*J76</f>
        <v>0</v>
      </c>
      <c r="L76" s="470">
        <f>J75*J52</f>
        <v>7.1555555555555565E-3</v>
      </c>
      <c r="M76" s="471"/>
      <c r="N76" s="128"/>
    </row>
    <row r="77" spans="1:18" s="121" customFormat="1" ht="30" customHeight="1" thickTop="1" thickBot="1" x14ac:dyDescent="0.3">
      <c r="A77" s="122" t="s">
        <v>37</v>
      </c>
      <c r="B77" s="472" t="s">
        <v>78</v>
      </c>
      <c r="C77" s="472"/>
      <c r="D77" s="472"/>
      <c r="E77" s="472"/>
      <c r="F77" s="472"/>
      <c r="G77" s="472"/>
      <c r="H77" s="472"/>
      <c r="I77" s="472"/>
      <c r="J77" s="123">
        <f>L77</f>
        <v>6.2222222222222225E-4</v>
      </c>
      <c r="K77" s="124">
        <f>J77*(K33+K40)</f>
        <v>0</v>
      </c>
      <c r="L77" s="473">
        <f>0.08*(0.4)*J75</f>
        <v>6.2222222222222225E-4</v>
      </c>
      <c r="M77" s="474"/>
      <c r="O77" s="129"/>
    </row>
    <row r="78" spans="1:18" s="121" customFormat="1" ht="21.75" customHeight="1" thickTop="1" thickBot="1" x14ac:dyDescent="0.3">
      <c r="A78" s="423" t="s">
        <v>47</v>
      </c>
      <c r="B78" s="424"/>
      <c r="C78" s="424"/>
      <c r="D78" s="424"/>
      <c r="E78" s="424"/>
      <c r="F78" s="424"/>
      <c r="G78" s="424"/>
      <c r="H78" s="424"/>
      <c r="I78" s="424"/>
      <c r="J78" s="130"/>
      <c r="K78" s="131">
        <f>ROUND(K72+K73+K74+K75+K76+K77,2)</f>
        <v>0</v>
      </c>
    </row>
    <row r="79" spans="1:18" s="121" customFormat="1" ht="21.75" customHeight="1" thickTop="1" x14ac:dyDescent="0.25">
      <c r="A79" s="464" t="s">
        <v>155</v>
      </c>
      <c r="B79" s="465"/>
      <c r="C79" s="465"/>
      <c r="D79" s="465"/>
      <c r="E79" s="465"/>
      <c r="F79" s="465"/>
      <c r="G79" s="465"/>
      <c r="H79" s="465"/>
      <c r="I79" s="465"/>
      <c r="J79" s="465"/>
      <c r="K79" s="466"/>
    </row>
    <row r="80" spans="1:18" s="121" customFormat="1" ht="21.75" customHeight="1" x14ac:dyDescent="0.25">
      <c r="A80" s="475"/>
      <c r="B80" s="476"/>
      <c r="C80" s="476"/>
      <c r="D80" s="476"/>
      <c r="E80" s="476"/>
      <c r="F80" s="476"/>
      <c r="G80" s="476"/>
      <c r="H80" s="476"/>
      <c r="I80" s="476"/>
      <c r="J80" s="476"/>
      <c r="K80" s="477"/>
    </row>
    <row r="81" spans="1:18" s="121" customFormat="1" ht="12.6" customHeight="1" thickBot="1" x14ac:dyDescent="0.3">
      <c r="A81" s="467"/>
      <c r="B81" s="468"/>
      <c r="C81" s="468"/>
      <c r="D81" s="468"/>
      <c r="E81" s="468"/>
      <c r="F81" s="468"/>
      <c r="G81" s="468"/>
      <c r="H81" s="468"/>
      <c r="I81" s="468"/>
      <c r="J81" s="468"/>
      <c r="K81" s="469"/>
    </row>
    <row r="82" spans="1:18" s="121" customFormat="1" ht="21.75" customHeight="1" thickTop="1" thickBot="1" x14ac:dyDescent="0.3">
      <c r="A82" s="423" t="s">
        <v>80</v>
      </c>
      <c r="B82" s="424"/>
      <c r="C82" s="424"/>
      <c r="D82" s="424"/>
      <c r="E82" s="424"/>
      <c r="F82" s="424"/>
      <c r="G82" s="424"/>
      <c r="H82" s="424"/>
      <c r="I82" s="424"/>
      <c r="J82" s="424"/>
      <c r="K82" s="426"/>
    </row>
    <row r="83" spans="1:18" s="121" customFormat="1" ht="21.75" customHeight="1" thickTop="1" thickBot="1" x14ac:dyDescent="0.3">
      <c r="A83" s="423" t="s">
        <v>144</v>
      </c>
      <c r="B83" s="424"/>
      <c r="C83" s="424"/>
      <c r="D83" s="424"/>
      <c r="E83" s="424"/>
      <c r="F83" s="424"/>
      <c r="G83" s="424"/>
      <c r="H83" s="424"/>
      <c r="I83" s="424"/>
      <c r="J83" s="424"/>
      <c r="K83" s="426"/>
    </row>
    <row r="84" spans="1:18" s="121" customFormat="1" ht="21.75" customHeight="1" thickTop="1" thickBot="1" x14ac:dyDescent="0.3">
      <c r="A84" s="132" t="s">
        <v>23</v>
      </c>
      <c r="B84" s="459" t="s">
        <v>82</v>
      </c>
      <c r="C84" s="459"/>
      <c r="D84" s="459"/>
      <c r="E84" s="459"/>
      <c r="F84" s="459"/>
      <c r="G84" s="459"/>
      <c r="H84" s="459"/>
      <c r="I84" s="459"/>
      <c r="J84" s="125">
        <f>L84</f>
        <v>9.0909090909090912E-2</v>
      </c>
      <c r="K84" s="124">
        <f>J84*$K$33</f>
        <v>0</v>
      </c>
      <c r="L84" s="133">
        <f>(5/55)</f>
        <v>9.0909090909090912E-2</v>
      </c>
      <c r="M84" s="134"/>
    </row>
    <row r="85" spans="1:18" s="121" customFormat="1" ht="21.75" customHeight="1" thickTop="1" thickBot="1" x14ac:dyDescent="0.3">
      <c r="A85" s="132" t="s">
        <v>25</v>
      </c>
      <c r="B85" s="459" t="s">
        <v>83</v>
      </c>
      <c r="C85" s="459"/>
      <c r="D85" s="459"/>
      <c r="E85" s="459"/>
      <c r="F85" s="459"/>
      <c r="G85" s="459"/>
      <c r="H85" s="459"/>
      <c r="I85" s="459"/>
      <c r="J85" s="123">
        <f>L85</f>
        <v>1.3698630136986301E-2</v>
      </c>
      <c r="K85" s="124">
        <f t="shared" ref="K85:K89" si="1">J85*$K$33</f>
        <v>0</v>
      </c>
      <c r="L85" s="133">
        <f>5/365</f>
        <v>1.3698630136986301E-2</v>
      </c>
      <c r="M85" s="135"/>
      <c r="N85" s="136"/>
      <c r="O85" s="136"/>
      <c r="P85" s="136"/>
    </row>
    <row r="86" spans="1:18" s="121" customFormat="1" ht="21.75" customHeight="1" thickTop="1" thickBot="1" x14ac:dyDescent="0.3">
      <c r="A86" s="132" t="s">
        <v>28</v>
      </c>
      <c r="B86" s="459" t="s">
        <v>84</v>
      </c>
      <c r="C86" s="459"/>
      <c r="D86" s="459"/>
      <c r="E86" s="459"/>
      <c r="F86" s="459"/>
      <c r="G86" s="459"/>
      <c r="H86" s="459"/>
      <c r="I86" s="459"/>
      <c r="J86" s="123">
        <f>L86</f>
        <v>2.0547945205479451E-4</v>
      </c>
      <c r="K86" s="124">
        <f t="shared" si="1"/>
        <v>0</v>
      </c>
      <c r="L86" s="133">
        <f>5/365*0.015</f>
        <v>2.0547945205479451E-4</v>
      </c>
      <c r="M86" s="137"/>
    </row>
    <row r="87" spans="1:18" s="121" customFormat="1" ht="21.75" customHeight="1" thickTop="1" thickBot="1" x14ac:dyDescent="0.3">
      <c r="A87" s="132" t="s">
        <v>33</v>
      </c>
      <c r="B87" s="459" t="s">
        <v>85</v>
      </c>
      <c r="C87" s="459"/>
      <c r="D87" s="459"/>
      <c r="E87" s="459"/>
      <c r="F87" s="459"/>
      <c r="G87" s="459"/>
      <c r="H87" s="459"/>
      <c r="I87" s="459"/>
      <c r="J87" s="123">
        <f>L87</f>
        <v>3.2876712328767121E-3</v>
      </c>
      <c r="K87" s="124">
        <f t="shared" si="1"/>
        <v>0</v>
      </c>
      <c r="L87" s="133">
        <f>15/365*0.08</f>
        <v>3.2876712328767121E-3</v>
      </c>
      <c r="M87" s="137"/>
    </row>
    <row r="88" spans="1:18" s="121" customFormat="1" ht="21.75" customHeight="1" thickTop="1" thickBot="1" x14ac:dyDescent="0.3">
      <c r="A88" s="132" t="s">
        <v>35</v>
      </c>
      <c r="B88" s="459" t="s">
        <v>86</v>
      </c>
      <c r="C88" s="459"/>
      <c r="D88" s="459"/>
      <c r="E88" s="459"/>
      <c r="F88" s="459"/>
      <c r="G88" s="459"/>
      <c r="H88" s="459"/>
      <c r="I88" s="459"/>
      <c r="J88" s="123">
        <f>M88</f>
        <v>1.6133333333333334E-3</v>
      </c>
      <c r="K88" s="124">
        <f t="shared" si="1"/>
        <v>0</v>
      </c>
      <c r="L88"/>
      <c r="M88" s="138">
        <f>((0.121*4)/12*0.04)</f>
        <v>1.6133333333333334E-3</v>
      </c>
      <c r="N88" s="139"/>
      <c r="Q88" s="140"/>
      <c r="R88" s="141"/>
    </row>
    <row r="89" spans="1:18" s="121" customFormat="1" ht="21.75" customHeight="1" thickTop="1" thickBot="1" x14ac:dyDescent="0.3">
      <c r="A89" s="132" t="s">
        <v>37</v>
      </c>
      <c r="B89" s="459" t="s">
        <v>87</v>
      </c>
      <c r="C89" s="459"/>
      <c r="D89" s="459"/>
      <c r="E89" s="459"/>
      <c r="F89" s="459"/>
      <c r="G89" s="459"/>
      <c r="H89" s="459"/>
      <c r="I89" s="459"/>
      <c r="J89" s="125">
        <v>0</v>
      </c>
      <c r="K89" s="124">
        <f t="shared" si="1"/>
        <v>0</v>
      </c>
      <c r="L89"/>
      <c r="M89" s="137"/>
    </row>
    <row r="90" spans="1:18" s="121" customFormat="1" ht="21.75" customHeight="1" thickTop="1" thickBot="1" x14ac:dyDescent="0.3">
      <c r="A90" s="132" t="s">
        <v>39</v>
      </c>
      <c r="B90" s="459" t="s">
        <v>88</v>
      </c>
      <c r="C90" s="459"/>
      <c r="D90" s="459"/>
      <c r="E90" s="459"/>
      <c r="F90" s="459"/>
      <c r="G90" s="459"/>
      <c r="H90" s="459"/>
      <c r="I90" s="459"/>
      <c r="J90" s="125">
        <f>(J84+J85+J86+J87+J88+J89)*J52</f>
        <v>4.0374827463677876E-2</v>
      </c>
      <c r="K90" s="124">
        <f>K33*J90</f>
        <v>0</v>
      </c>
      <c r="L90" s="137"/>
      <c r="M90" s="137"/>
      <c r="Q90" s="142"/>
    </row>
    <row r="91" spans="1:18" s="121" customFormat="1" ht="21.75" customHeight="1" thickTop="1" thickBot="1" x14ac:dyDescent="0.3">
      <c r="A91" s="423" t="s">
        <v>47</v>
      </c>
      <c r="B91" s="424"/>
      <c r="C91" s="424"/>
      <c r="D91" s="424"/>
      <c r="E91" s="424"/>
      <c r="F91" s="424"/>
      <c r="G91" s="424"/>
      <c r="H91" s="424"/>
      <c r="I91" s="426"/>
      <c r="J91" s="143">
        <f>SUM(J84:J90)</f>
        <v>0.15008903252801992</v>
      </c>
      <c r="K91" s="131">
        <f>ROUND(K84+K85+K86+K87+K88+K90,2)</f>
        <v>0</v>
      </c>
    </row>
    <row r="92" spans="1:18" s="121" customFormat="1" ht="21.75" customHeight="1" thickTop="1" x14ac:dyDescent="0.25">
      <c r="A92" s="464" t="s">
        <v>156</v>
      </c>
      <c r="B92" s="465"/>
      <c r="C92" s="465"/>
      <c r="D92" s="465"/>
      <c r="E92" s="465"/>
      <c r="F92" s="465"/>
      <c r="G92" s="465"/>
      <c r="H92" s="465"/>
      <c r="I92" s="465"/>
      <c r="J92" s="465"/>
      <c r="K92" s="466"/>
    </row>
    <row r="93" spans="1:18" s="121" customFormat="1" ht="27" customHeight="1" thickBot="1" x14ac:dyDescent="0.3">
      <c r="A93" s="467"/>
      <c r="B93" s="468"/>
      <c r="C93" s="468"/>
      <c r="D93" s="468"/>
      <c r="E93" s="468"/>
      <c r="F93" s="468"/>
      <c r="G93" s="468"/>
      <c r="H93" s="468"/>
      <c r="I93" s="468"/>
      <c r="J93" s="468"/>
      <c r="K93" s="469"/>
    </row>
    <row r="94" spans="1:18" s="121" customFormat="1" ht="21.75" customHeight="1" thickTop="1" thickBot="1" x14ac:dyDescent="0.3">
      <c r="A94" s="423" t="s">
        <v>90</v>
      </c>
      <c r="B94" s="424"/>
      <c r="C94" s="424"/>
      <c r="D94" s="424"/>
      <c r="E94" s="424"/>
      <c r="F94" s="424"/>
      <c r="G94" s="424"/>
      <c r="H94" s="424"/>
      <c r="I94" s="424"/>
      <c r="J94" s="424"/>
      <c r="K94" s="426"/>
    </row>
    <row r="95" spans="1:18" s="121" customFormat="1" ht="21.75" customHeight="1" thickTop="1" thickBot="1" x14ac:dyDescent="0.25">
      <c r="A95" s="95" t="s">
        <v>23</v>
      </c>
      <c r="B95" s="459" t="s">
        <v>91</v>
      </c>
      <c r="C95" s="459"/>
      <c r="D95" s="459"/>
      <c r="E95" s="459"/>
      <c r="F95" s="459"/>
      <c r="G95" s="459"/>
      <c r="H95" s="459"/>
      <c r="I95" s="459"/>
      <c r="J95" s="144">
        <v>0</v>
      </c>
      <c r="K95" s="102">
        <f>J95*L95</f>
        <v>0</v>
      </c>
      <c r="L95" s="136"/>
      <c r="M95" s="127"/>
      <c r="R95" s="145"/>
    </row>
    <row r="96" spans="1:18" s="121" customFormat="1" ht="21.75" customHeight="1" thickTop="1" thickBot="1" x14ac:dyDescent="0.3">
      <c r="A96" s="95"/>
      <c r="B96" s="460" t="s">
        <v>47</v>
      </c>
      <c r="C96" s="460"/>
      <c r="D96" s="460"/>
      <c r="E96" s="460"/>
      <c r="F96" s="460"/>
      <c r="G96" s="460"/>
      <c r="H96" s="460"/>
      <c r="I96" s="460"/>
      <c r="J96" s="146"/>
      <c r="K96" s="102">
        <f>K95</f>
        <v>0</v>
      </c>
      <c r="L96" s="136"/>
    </row>
    <row r="97" spans="1:13" s="121" customFormat="1" ht="35.450000000000003" customHeight="1" thickTop="1" thickBot="1" x14ac:dyDescent="0.3">
      <c r="A97" s="439" t="s">
        <v>157</v>
      </c>
      <c r="B97" s="440"/>
      <c r="C97" s="440"/>
      <c r="D97" s="440"/>
      <c r="E97" s="440"/>
      <c r="F97" s="440"/>
      <c r="G97" s="440"/>
      <c r="H97" s="440"/>
      <c r="I97" s="440"/>
      <c r="J97" s="440"/>
      <c r="K97" s="441"/>
    </row>
    <row r="98" spans="1:13" s="121" customFormat="1" ht="21.75" customHeight="1" thickTop="1" thickBot="1" x14ac:dyDescent="0.3">
      <c r="A98" s="423" t="s">
        <v>93</v>
      </c>
      <c r="B98" s="424"/>
      <c r="C98" s="424"/>
      <c r="D98" s="424"/>
      <c r="E98" s="424"/>
      <c r="F98" s="424"/>
      <c r="G98" s="424"/>
      <c r="H98" s="424"/>
      <c r="I98" s="424"/>
      <c r="J98" s="424"/>
      <c r="K98" s="426"/>
    </row>
    <row r="99" spans="1:13" s="121" customFormat="1" ht="21.75" customHeight="1" thickTop="1" thickBot="1" x14ac:dyDescent="0.3">
      <c r="A99" s="95" t="s">
        <v>94</v>
      </c>
      <c r="B99" s="461" t="s">
        <v>95</v>
      </c>
      <c r="C99" s="462"/>
      <c r="D99" s="462"/>
      <c r="E99" s="462"/>
      <c r="F99" s="462"/>
      <c r="G99" s="462"/>
      <c r="H99" s="462"/>
      <c r="I99" s="462"/>
      <c r="J99" s="463"/>
      <c r="K99" s="104">
        <f>K91</f>
        <v>0</v>
      </c>
    </row>
    <row r="100" spans="1:13" s="121" customFormat="1" ht="21.75" customHeight="1" thickTop="1" thickBot="1" x14ac:dyDescent="0.3">
      <c r="A100" s="95" t="s">
        <v>96</v>
      </c>
      <c r="B100" s="461" t="s">
        <v>97</v>
      </c>
      <c r="C100" s="462"/>
      <c r="D100" s="462"/>
      <c r="E100" s="462"/>
      <c r="F100" s="462"/>
      <c r="G100" s="462"/>
      <c r="H100" s="462"/>
      <c r="I100" s="462"/>
      <c r="J100" s="463"/>
      <c r="K100" s="104">
        <f>K96</f>
        <v>0</v>
      </c>
    </row>
    <row r="101" spans="1:13" s="121" customFormat="1" ht="21.75" customHeight="1" thickTop="1" thickBot="1" x14ac:dyDescent="0.3">
      <c r="A101" s="95"/>
      <c r="B101" s="442" t="s">
        <v>47</v>
      </c>
      <c r="C101" s="442"/>
      <c r="D101" s="442"/>
      <c r="E101" s="442"/>
      <c r="F101" s="442"/>
      <c r="G101" s="442"/>
      <c r="H101" s="442"/>
      <c r="I101" s="442"/>
      <c r="J101" s="442"/>
      <c r="K101" s="131">
        <f>K99+K100</f>
        <v>0</v>
      </c>
    </row>
    <row r="102" spans="1:13" s="121" customFormat="1" ht="21.75" customHeight="1" thickTop="1" thickBot="1" x14ac:dyDescent="0.3">
      <c r="A102" s="439"/>
      <c r="B102" s="440"/>
      <c r="C102" s="440"/>
      <c r="D102" s="440"/>
      <c r="E102" s="440"/>
      <c r="F102" s="440"/>
      <c r="G102" s="440"/>
      <c r="H102" s="440"/>
      <c r="I102" s="440"/>
      <c r="J102" s="440"/>
      <c r="K102" s="441"/>
    </row>
    <row r="103" spans="1:13" ht="21.75" customHeight="1" thickTop="1" thickBot="1" x14ac:dyDescent="0.25">
      <c r="A103" s="423" t="s">
        <v>98</v>
      </c>
      <c r="B103" s="424"/>
      <c r="C103" s="424"/>
      <c r="D103" s="424"/>
      <c r="E103" s="424"/>
      <c r="F103" s="424"/>
      <c r="G103" s="424"/>
      <c r="H103" s="424"/>
      <c r="I103" s="424"/>
      <c r="J103" s="426"/>
      <c r="K103" s="95" t="s">
        <v>99</v>
      </c>
    </row>
    <row r="104" spans="1:13" ht="21.75" customHeight="1" thickTop="1" thickBot="1" x14ac:dyDescent="0.25">
      <c r="A104" s="95" t="s">
        <v>23</v>
      </c>
      <c r="B104" s="455" t="s">
        <v>100</v>
      </c>
      <c r="C104" s="455"/>
      <c r="D104" s="455"/>
      <c r="E104" s="455"/>
      <c r="F104" s="455"/>
      <c r="G104" s="455"/>
      <c r="H104" s="455"/>
      <c r="I104" s="455"/>
      <c r="J104" s="455"/>
      <c r="K104" s="147">
        <f>'Insumos Porto de Suape'!E72</f>
        <v>0</v>
      </c>
    </row>
    <row r="105" spans="1:13" ht="21.75" customHeight="1" thickTop="1" thickBot="1" x14ac:dyDescent="0.25">
      <c r="A105" s="95" t="s">
        <v>25</v>
      </c>
      <c r="B105" s="455" t="s">
        <v>101</v>
      </c>
      <c r="C105" s="455"/>
      <c r="D105" s="455"/>
      <c r="E105" s="456" t="s">
        <v>102</v>
      </c>
      <c r="F105" s="456"/>
      <c r="G105" s="456"/>
      <c r="H105" s="456"/>
      <c r="I105" s="456"/>
      <c r="J105" s="456"/>
      <c r="K105" s="147">
        <f>'Insumos Porto de Suape'!B58</f>
        <v>0</v>
      </c>
    </row>
    <row r="106" spans="1:13" ht="21.75" customHeight="1" thickTop="1" thickBot="1" x14ac:dyDescent="0.25">
      <c r="A106" s="95" t="s">
        <v>28</v>
      </c>
      <c r="B106" s="455" t="s">
        <v>103</v>
      </c>
      <c r="C106" s="455"/>
      <c r="D106" s="455"/>
      <c r="E106" s="456" t="s">
        <v>102</v>
      </c>
      <c r="F106" s="456"/>
      <c r="G106" s="456"/>
      <c r="H106" s="456"/>
      <c r="I106" s="456"/>
      <c r="J106" s="456"/>
      <c r="K106" s="147">
        <f>'Insumos Porto de Suape'!B56+'Insumos Porto de Suape'!B57</f>
        <v>0</v>
      </c>
    </row>
    <row r="107" spans="1:13" ht="21.75" customHeight="1" thickTop="1" thickBot="1" x14ac:dyDescent="0.25">
      <c r="A107" s="442" t="s">
        <v>33</v>
      </c>
      <c r="B107" s="457" t="s">
        <v>87</v>
      </c>
      <c r="C107" s="457"/>
      <c r="D107" s="458" t="s">
        <v>104</v>
      </c>
      <c r="E107" s="458"/>
      <c r="F107" s="458"/>
      <c r="G107" s="458"/>
      <c r="H107" s="458"/>
      <c r="I107" s="458"/>
      <c r="J107" s="458"/>
      <c r="K107" s="147">
        <v>0</v>
      </c>
    </row>
    <row r="108" spans="1:13" ht="21.75" customHeight="1" thickTop="1" thickBot="1" x14ac:dyDescent="0.25">
      <c r="A108" s="442"/>
      <c r="B108" s="457"/>
      <c r="C108" s="457"/>
      <c r="D108" s="458" t="s">
        <v>104</v>
      </c>
      <c r="E108" s="458"/>
      <c r="F108" s="458"/>
      <c r="G108" s="458"/>
      <c r="H108" s="458"/>
      <c r="I108" s="458"/>
      <c r="J108" s="458"/>
      <c r="K108" s="147">
        <f>J108*K33</f>
        <v>0</v>
      </c>
    </row>
    <row r="109" spans="1:13" s="121" customFormat="1" ht="21.75" customHeight="1" thickTop="1" thickBot="1" x14ac:dyDescent="0.3">
      <c r="A109" s="423" t="s">
        <v>105</v>
      </c>
      <c r="B109" s="424"/>
      <c r="C109" s="424"/>
      <c r="D109" s="424"/>
      <c r="E109" s="424"/>
      <c r="F109" s="424"/>
      <c r="G109" s="424"/>
      <c r="H109" s="424"/>
      <c r="I109" s="424"/>
      <c r="J109" s="426"/>
      <c r="K109" s="131">
        <f>SUM(K104:K108)</f>
        <v>0</v>
      </c>
    </row>
    <row r="110" spans="1:13" s="121" customFormat="1" ht="21.75" customHeight="1" thickTop="1" thickBot="1" x14ac:dyDescent="0.3">
      <c r="A110" s="439" t="s">
        <v>158</v>
      </c>
      <c r="B110" s="440"/>
      <c r="C110" s="440"/>
      <c r="D110" s="440"/>
      <c r="E110" s="440"/>
      <c r="F110" s="440"/>
      <c r="G110" s="440"/>
      <c r="H110" s="440"/>
      <c r="I110" s="440"/>
      <c r="J110" s="440"/>
      <c r="K110" s="441"/>
    </row>
    <row r="111" spans="1:13" s="121" customFormat="1" ht="21.75" customHeight="1" thickTop="1" thickBot="1" x14ac:dyDescent="0.3">
      <c r="A111" s="423" t="s">
        <v>107</v>
      </c>
      <c r="B111" s="424"/>
      <c r="C111" s="424"/>
      <c r="D111" s="424"/>
      <c r="E111" s="424"/>
      <c r="F111" s="424"/>
      <c r="G111" s="424"/>
      <c r="H111" s="424"/>
      <c r="I111" s="424"/>
      <c r="J111" s="426"/>
      <c r="K111" s="95" t="s">
        <v>22</v>
      </c>
    </row>
    <row r="112" spans="1:13" s="121" customFormat="1" ht="21.75" customHeight="1" thickTop="1" thickBot="1" x14ac:dyDescent="0.3">
      <c r="A112" s="95" t="s">
        <v>23</v>
      </c>
      <c r="B112" s="86" t="s">
        <v>108</v>
      </c>
      <c r="C112" s="86"/>
      <c r="D112" s="86"/>
      <c r="E112" s="86"/>
      <c r="F112" s="86"/>
      <c r="G112" s="86"/>
      <c r="H112" s="86"/>
      <c r="I112" s="86"/>
      <c r="J112" s="340">
        <v>0.03</v>
      </c>
      <c r="K112" s="124">
        <f>J112*K132</f>
        <v>0</v>
      </c>
      <c r="L112" s="137" t="s">
        <v>109</v>
      </c>
      <c r="M112" s="137"/>
    </row>
    <row r="113" spans="1:13" s="121" customFormat="1" ht="21.75" customHeight="1" thickTop="1" thickBot="1" x14ac:dyDescent="0.3">
      <c r="A113" s="95" t="s">
        <v>25</v>
      </c>
      <c r="B113" s="86" t="s">
        <v>110</v>
      </c>
      <c r="C113" s="86"/>
      <c r="D113" s="86"/>
      <c r="E113" s="86"/>
      <c r="F113" s="86"/>
      <c r="G113" s="86"/>
      <c r="H113" s="86"/>
      <c r="I113" s="86"/>
      <c r="J113" s="340">
        <v>6.7900000000000002E-2</v>
      </c>
      <c r="K113" s="124">
        <f>(K132+K112)*J113</f>
        <v>0</v>
      </c>
      <c r="L113" s="148"/>
      <c r="M113" s="137"/>
    </row>
    <row r="114" spans="1:13" s="121" customFormat="1" ht="21.75" customHeight="1" thickTop="1" thickBot="1" x14ac:dyDescent="0.3">
      <c r="A114" s="442" t="s">
        <v>28</v>
      </c>
      <c r="B114" s="86" t="s">
        <v>111</v>
      </c>
      <c r="C114" s="86"/>
      <c r="D114" s="86"/>
      <c r="E114" s="86"/>
      <c r="F114" s="86"/>
      <c r="G114" s="86"/>
      <c r="H114" s="86"/>
      <c r="I114" s="149" t="s">
        <v>112</v>
      </c>
      <c r="J114" s="136"/>
      <c r="K114" s="146"/>
    </row>
    <row r="115" spans="1:13" s="121" customFormat="1" ht="21.75" customHeight="1" thickTop="1" thickBot="1" x14ac:dyDescent="0.3">
      <c r="A115" s="442"/>
      <c r="B115" s="86"/>
      <c r="C115" s="150" t="s">
        <v>113</v>
      </c>
      <c r="D115" s="150"/>
      <c r="E115" s="150"/>
      <c r="F115" s="86" t="s">
        <v>114</v>
      </c>
      <c r="G115" s="151"/>
      <c r="H115" s="151"/>
      <c r="I115" s="443">
        <f>SUM(J115:J117)</f>
        <v>0.14250000000000002</v>
      </c>
      <c r="J115" s="152">
        <v>1.6500000000000001E-2</v>
      </c>
      <c r="K115" s="153">
        <f>((K132+K112+K113)/(1-I115))*J115</f>
        <v>0</v>
      </c>
    </row>
    <row r="116" spans="1:13" s="121" customFormat="1" ht="21.75" customHeight="1" thickTop="1" thickBot="1" x14ac:dyDescent="0.3">
      <c r="A116" s="442"/>
      <c r="B116" s="86"/>
      <c r="C116" s="86"/>
      <c r="D116" s="86"/>
      <c r="E116" s="86"/>
      <c r="F116" s="86" t="s">
        <v>115</v>
      </c>
      <c r="G116" s="151"/>
      <c r="H116" s="151"/>
      <c r="I116" s="444"/>
      <c r="J116" s="152">
        <v>7.5999999999999998E-2</v>
      </c>
      <c r="K116" s="153">
        <f>((K132+K112+K113)/(1-I115))*J116</f>
        <v>0</v>
      </c>
    </row>
    <row r="117" spans="1:13" s="121" customFormat="1" ht="21.75" customHeight="1" thickTop="1" thickBot="1" x14ac:dyDescent="0.3">
      <c r="A117" s="442"/>
      <c r="B117" s="150"/>
      <c r="C117" s="150" t="s">
        <v>116</v>
      </c>
      <c r="D117" s="150"/>
      <c r="E117" s="86"/>
      <c r="F117" s="86" t="s">
        <v>117</v>
      </c>
      <c r="G117" s="151"/>
      <c r="H117" s="151"/>
      <c r="I117" s="445"/>
      <c r="J117" s="152">
        <v>0.05</v>
      </c>
      <c r="K117" s="153">
        <f>((K132+K112+K113)/(1-I115))*J117</f>
        <v>0</v>
      </c>
    </row>
    <row r="118" spans="1:13" s="121" customFormat="1" ht="21.75" customHeight="1" thickTop="1" thickBot="1" x14ac:dyDescent="0.3">
      <c r="A118" s="154" t="s">
        <v>118</v>
      </c>
      <c r="B118" s="130"/>
      <c r="C118" s="130"/>
      <c r="D118" s="130"/>
      <c r="E118" s="130"/>
      <c r="F118" s="130"/>
      <c r="G118" s="130"/>
      <c r="H118" s="130"/>
      <c r="I118" s="130"/>
      <c r="J118" s="130"/>
      <c r="K118" s="131">
        <f>K112+K113+K115+K116+K117</f>
        <v>0</v>
      </c>
    </row>
    <row r="119" spans="1:13" s="121" customFormat="1" ht="37.15" customHeight="1" thickTop="1" thickBot="1" x14ac:dyDescent="0.3">
      <c r="A119" s="446" t="s">
        <v>159</v>
      </c>
      <c r="B119" s="447"/>
      <c r="C119" s="447"/>
      <c r="D119" s="447"/>
      <c r="E119" s="447"/>
      <c r="F119" s="447"/>
      <c r="G119" s="447"/>
      <c r="H119" s="447"/>
      <c r="I119" s="447"/>
      <c r="J119" s="447"/>
      <c r="K119" s="448"/>
    </row>
    <row r="120" spans="1:13" s="121" customFormat="1" ht="21.6" hidden="1" customHeight="1" x14ac:dyDescent="0.25">
      <c r="A120" s="449"/>
      <c r="B120" s="450"/>
      <c r="C120" s="450"/>
      <c r="D120" s="450"/>
      <c r="E120" s="450"/>
      <c r="F120" s="450"/>
      <c r="G120" s="450"/>
      <c r="H120" s="450"/>
      <c r="I120" s="450"/>
      <c r="J120" s="450"/>
      <c r="K120" s="451"/>
    </row>
    <row r="121" spans="1:13" s="121" customFormat="1" ht="21.6" hidden="1" customHeight="1" x14ac:dyDescent="0.25">
      <c r="A121" s="449"/>
      <c r="B121" s="450"/>
      <c r="C121" s="450"/>
      <c r="D121" s="450"/>
      <c r="E121" s="450"/>
      <c r="F121" s="450"/>
      <c r="G121" s="450"/>
      <c r="H121" s="450"/>
      <c r="I121" s="450"/>
      <c r="J121" s="450"/>
      <c r="K121" s="451"/>
    </row>
    <row r="122" spans="1:13" s="121" customFormat="1" ht="21.6" hidden="1" customHeight="1" x14ac:dyDescent="0.25">
      <c r="A122" s="449"/>
      <c r="B122" s="450"/>
      <c r="C122" s="450"/>
      <c r="D122" s="450"/>
      <c r="E122" s="450"/>
      <c r="F122" s="450"/>
      <c r="G122" s="450"/>
      <c r="H122" s="450"/>
      <c r="I122" s="450"/>
      <c r="J122" s="450"/>
      <c r="K122" s="451"/>
    </row>
    <row r="123" spans="1:13" s="121" customFormat="1" ht="21.6" hidden="1" customHeight="1" x14ac:dyDescent="0.25">
      <c r="A123" s="449"/>
      <c r="B123" s="450"/>
      <c r="C123" s="450"/>
      <c r="D123" s="450"/>
      <c r="E123" s="450"/>
      <c r="F123" s="450"/>
      <c r="G123" s="450"/>
      <c r="H123" s="450"/>
      <c r="I123" s="450"/>
      <c r="J123" s="450"/>
      <c r="K123" s="451"/>
    </row>
    <row r="124" spans="1:13" ht="21.6" hidden="1" customHeight="1" x14ac:dyDescent="0.2">
      <c r="A124" s="452"/>
      <c r="B124" s="453"/>
      <c r="C124" s="453"/>
      <c r="D124" s="453"/>
      <c r="E124" s="453"/>
      <c r="F124" s="453"/>
      <c r="G124" s="453"/>
      <c r="H124" s="453"/>
      <c r="I124" s="453"/>
      <c r="J124" s="453"/>
      <c r="K124" s="454"/>
    </row>
    <row r="125" spans="1:13" ht="21.75" customHeight="1" thickTop="1" thickBot="1" x14ac:dyDescent="0.25">
      <c r="A125" s="423" t="s">
        <v>120</v>
      </c>
      <c r="B125" s="424"/>
      <c r="C125" s="424"/>
      <c r="D125" s="424"/>
      <c r="E125" s="424"/>
      <c r="F125" s="424"/>
      <c r="G125" s="424"/>
      <c r="H125" s="424"/>
      <c r="I125" s="424"/>
      <c r="J125" s="424"/>
      <c r="K125" s="426"/>
    </row>
    <row r="126" spans="1:13" ht="21.75" customHeight="1" thickTop="1" thickBot="1" x14ac:dyDescent="0.25">
      <c r="A126" s="435" t="s">
        <v>121</v>
      </c>
      <c r="B126" s="436"/>
      <c r="C126" s="436"/>
      <c r="D126" s="436"/>
      <c r="E126" s="436"/>
      <c r="F126" s="436"/>
      <c r="G126" s="436"/>
      <c r="H126" s="436"/>
      <c r="I126" s="436"/>
      <c r="J126" s="437"/>
      <c r="K126" s="95" t="s">
        <v>99</v>
      </c>
    </row>
    <row r="127" spans="1:13" ht="21.75" customHeight="1" thickTop="1" thickBot="1" x14ac:dyDescent="0.25">
      <c r="A127" s="95" t="s">
        <v>23</v>
      </c>
      <c r="B127" s="427" t="s">
        <v>122</v>
      </c>
      <c r="C127" s="428"/>
      <c r="D127" s="428"/>
      <c r="E127" s="428"/>
      <c r="F127" s="428"/>
      <c r="G127" s="428"/>
      <c r="H127" s="428"/>
      <c r="I127" s="428"/>
      <c r="J127" s="429"/>
      <c r="K127" s="104">
        <f>K33</f>
        <v>0</v>
      </c>
    </row>
    <row r="128" spans="1:13" ht="21.75" customHeight="1" thickTop="1" thickBot="1" x14ac:dyDescent="0.25">
      <c r="A128" s="95" t="s">
        <v>25</v>
      </c>
      <c r="B128" s="438" t="s">
        <v>123</v>
      </c>
      <c r="C128" s="438"/>
      <c r="D128" s="438"/>
      <c r="E128" s="438"/>
      <c r="F128" s="438"/>
      <c r="G128" s="438"/>
      <c r="H128" s="438"/>
      <c r="I128" s="438"/>
      <c r="J128" s="438"/>
      <c r="K128" s="104">
        <f>K69</f>
        <v>0</v>
      </c>
    </row>
    <row r="129" spans="1:13" ht="21.75" customHeight="1" thickTop="1" thickBot="1" x14ac:dyDescent="0.25">
      <c r="A129" s="95" t="s">
        <v>28</v>
      </c>
      <c r="B129" s="427" t="s">
        <v>145</v>
      </c>
      <c r="C129" s="428"/>
      <c r="D129" s="428"/>
      <c r="E129" s="428"/>
      <c r="F129" s="428"/>
      <c r="G129" s="428"/>
      <c r="H129" s="428"/>
      <c r="I129" s="428"/>
      <c r="J129" s="429"/>
      <c r="K129" s="104">
        <f>K78</f>
        <v>0</v>
      </c>
    </row>
    <row r="130" spans="1:13" ht="21.75" customHeight="1" thickTop="1" thickBot="1" x14ac:dyDescent="0.25">
      <c r="A130" s="95" t="s">
        <v>33</v>
      </c>
      <c r="B130" s="427" t="s">
        <v>146</v>
      </c>
      <c r="C130" s="428"/>
      <c r="D130" s="428"/>
      <c r="E130" s="428"/>
      <c r="F130" s="428"/>
      <c r="G130" s="428"/>
      <c r="H130" s="428"/>
      <c r="I130" s="428"/>
      <c r="J130" s="429"/>
      <c r="K130" s="104">
        <f>K101</f>
        <v>0</v>
      </c>
    </row>
    <row r="131" spans="1:13" ht="21.75" customHeight="1" thickTop="1" thickBot="1" x14ac:dyDescent="0.25">
      <c r="A131" s="95" t="s">
        <v>35</v>
      </c>
      <c r="B131" s="427" t="s">
        <v>126</v>
      </c>
      <c r="C131" s="428"/>
      <c r="D131" s="428"/>
      <c r="E131" s="428"/>
      <c r="F131" s="428"/>
      <c r="G131" s="428"/>
      <c r="H131" s="428"/>
      <c r="I131" s="428"/>
      <c r="J131" s="429"/>
      <c r="K131" s="104">
        <f>K109</f>
        <v>0</v>
      </c>
    </row>
    <row r="132" spans="1:13" ht="21.75" customHeight="1" thickTop="1" thickBot="1" x14ac:dyDescent="0.25">
      <c r="A132" s="423" t="s">
        <v>127</v>
      </c>
      <c r="B132" s="424"/>
      <c r="C132" s="424"/>
      <c r="D132" s="424"/>
      <c r="E132" s="424"/>
      <c r="F132" s="424"/>
      <c r="G132" s="424"/>
      <c r="H132" s="424"/>
      <c r="I132" s="424"/>
      <c r="J132" s="426"/>
      <c r="K132" s="131">
        <f>SUM(K127:K131)</f>
        <v>0</v>
      </c>
      <c r="L132" s="156"/>
    </row>
    <row r="133" spans="1:13" s="121" customFormat="1" ht="21.75" customHeight="1" thickTop="1" thickBot="1" x14ac:dyDescent="0.3">
      <c r="A133" s="95" t="s">
        <v>37</v>
      </c>
      <c r="B133" s="427" t="s">
        <v>128</v>
      </c>
      <c r="C133" s="428"/>
      <c r="D133" s="428"/>
      <c r="E133" s="428"/>
      <c r="F133" s="428"/>
      <c r="G133" s="428"/>
      <c r="H133" s="428"/>
      <c r="I133" s="428"/>
      <c r="J133" s="429"/>
      <c r="K133" s="104">
        <f>K118</f>
        <v>0</v>
      </c>
    </row>
    <row r="134" spans="1:13" ht="34.15" customHeight="1" thickTop="1" thickBot="1" x14ac:dyDescent="0.25">
      <c r="A134" s="430" t="s">
        <v>129</v>
      </c>
      <c r="B134" s="431"/>
      <c r="C134" s="431"/>
      <c r="D134" s="431"/>
      <c r="E134" s="431"/>
      <c r="F134" s="431"/>
      <c r="G134" s="431"/>
      <c r="H134" s="431"/>
      <c r="I134" s="431"/>
      <c r="J134" s="432"/>
      <c r="K134" s="157">
        <f>SUM(K132+K133)</f>
        <v>0</v>
      </c>
    </row>
    <row r="135" spans="1:13" ht="21.75" customHeight="1" thickTop="1" thickBot="1" x14ac:dyDescent="0.25">
      <c r="A135" s="81"/>
      <c r="B135" s="82"/>
      <c r="C135" s="82"/>
      <c r="D135" s="82"/>
      <c r="E135" s="82"/>
      <c r="F135" s="82"/>
      <c r="G135" s="82"/>
      <c r="H135" s="82"/>
      <c r="I135" s="82"/>
      <c r="J135" s="82"/>
      <c r="K135" s="79"/>
    </row>
    <row r="136" spans="1:13" ht="21.75" customHeight="1" thickTop="1" thickBot="1" x14ac:dyDescent="0.25">
      <c r="A136" s="423" t="s">
        <v>130</v>
      </c>
      <c r="B136" s="424"/>
      <c r="C136" s="424"/>
      <c r="D136" s="424"/>
      <c r="E136" s="424"/>
      <c r="F136" s="424"/>
      <c r="G136" s="424"/>
      <c r="H136" s="424"/>
      <c r="I136" s="424"/>
      <c r="J136" s="424"/>
      <c r="K136" s="426"/>
    </row>
    <row r="137" spans="1:13" ht="45" customHeight="1" thickTop="1" thickBot="1" x14ac:dyDescent="0.25">
      <c r="A137" s="430" t="s">
        <v>131</v>
      </c>
      <c r="B137" s="431"/>
      <c r="C137" s="433"/>
      <c r="D137" s="434" t="s">
        <v>329</v>
      </c>
      <c r="E137" s="434"/>
      <c r="F137" s="434" t="s">
        <v>133</v>
      </c>
      <c r="G137" s="434"/>
      <c r="H137" s="434" t="s">
        <v>134</v>
      </c>
      <c r="I137" s="434"/>
      <c r="J137" s="158" t="s">
        <v>135</v>
      </c>
      <c r="K137" s="159" t="s">
        <v>136</v>
      </c>
    </row>
    <row r="138" spans="1:13" ht="21.75" customHeight="1" thickTop="1" thickBot="1" x14ac:dyDescent="0.25">
      <c r="A138" s="418" t="s">
        <v>193</v>
      </c>
      <c r="B138" s="419"/>
      <c r="C138" s="420"/>
      <c r="D138" s="421">
        <f>K134</f>
        <v>0</v>
      </c>
      <c r="E138" s="421"/>
      <c r="F138" s="422">
        <v>1</v>
      </c>
      <c r="G138" s="422"/>
      <c r="H138" s="421">
        <f>F138*D138</f>
        <v>0</v>
      </c>
      <c r="I138" s="421"/>
      <c r="J138" s="160">
        <f>'Quantitativo de pessoal'!N14</f>
        <v>1</v>
      </c>
      <c r="K138" s="161">
        <f>ROUND(J138*H138,2)</f>
        <v>0</v>
      </c>
    </row>
    <row r="139" spans="1:13" ht="36.75" customHeight="1" thickTop="1" thickBot="1" x14ac:dyDescent="0.25">
      <c r="A139" s="423" t="s">
        <v>137</v>
      </c>
      <c r="B139" s="424"/>
      <c r="C139" s="424"/>
      <c r="D139" s="424"/>
      <c r="E139" s="424"/>
      <c r="F139" s="424"/>
      <c r="G139" s="424"/>
      <c r="H139" s="424"/>
      <c r="I139" s="424"/>
      <c r="J139" s="425"/>
      <c r="K139" s="162">
        <f>K138</f>
        <v>0</v>
      </c>
    </row>
    <row r="140" spans="1:13" ht="36.75" customHeight="1" thickTop="1" thickBot="1" x14ac:dyDescent="0.25">
      <c r="A140" s="423" t="s">
        <v>138</v>
      </c>
      <c r="B140" s="424"/>
      <c r="C140" s="424"/>
      <c r="D140" s="424"/>
      <c r="E140" s="424"/>
      <c r="F140" s="424"/>
      <c r="G140" s="424"/>
      <c r="H140" s="424"/>
      <c r="I140" s="424"/>
      <c r="J140" s="426"/>
      <c r="K140" s="330">
        <f>K139*12</f>
        <v>0</v>
      </c>
    </row>
    <row r="141" spans="1:13" ht="16.5" thickTop="1" x14ac:dyDescent="0.2">
      <c r="K141" s="329" t="s">
        <v>139</v>
      </c>
      <c r="L141" s="163" t="e">
        <f>K134/K33</f>
        <v>#DIV/0!</v>
      </c>
      <c r="M141" s="111"/>
    </row>
    <row r="1048526" ht="12.75" customHeight="1" x14ac:dyDescent="0.2"/>
    <row r="1048527" ht="12.75" customHeight="1" x14ac:dyDescent="0.2"/>
    <row r="1048528" ht="12.75" customHeight="1" x14ac:dyDescent="0.2"/>
    <row r="1048529" ht="12.75" customHeight="1" x14ac:dyDescent="0.2"/>
    <row r="1048530" ht="12.75" customHeight="1" x14ac:dyDescent="0.2"/>
    <row r="1048531" ht="12.75" customHeight="1" x14ac:dyDescent="0.2"/>
    <row r="1048532" ht="12.75" customHeight="1" x14ac:dyDescent="0.2"/>
    <row r="1048533" ht="12.75" customHeight="1" x14ac:dyDescent="0.2"/>
    <row r="1048534" ht="12.75" customHeight="1" x14ac:dyDescent="0.2"/>
    <row r="1048535" ht="12.75" customHeight="1" x14ac:dyDescent="0.2"/>
    <row r="1048536" ht="12.75" customHeight="1" x14ac:dyDescent="0.2"/>
    <row r="1048537" ht="12.75" customHeight="1" x14ac:dyDescent="0.2"/>
    <row r="1048538" ht="12.75" customHeight="1" x14ac:dyDescent="0.2"/>
    <row r="1048539" ht="12.75" customHeight="1" x14ac:dyDescent="0.2"/>
    <row r="1048540" ht="12.75" customHeight="1" x14ac:dyDescent="0.2"/>
    <row r="1048541" ht="12.75" customHeight="1" x14ac:dyDescent="0.2"/>
    <row r="1048542" ht="12.75" customHeight="1" x14ac:dyDescent="0.2"/>
    <row r="1048543" ht="12.75" customHeight="1" x14ac:dyDescent="0.2"/>
    <row r="1048544" ht="12.75" customHeight="1" x14ac:dyDescent="0.2"/>
    <row r="1048545" ht="12.75" customHeight="1" x14ac:dyDescent="0.2"/>
    <row r="1048546" ht="12.75" customHeight="1" x14ac:dyDescent="0.2"/>
    <row r="1048547" ht="12.75" customHeight="1" x14ac:dyDescent="0.2"/>
    <row r="1048548" ht="12.75" customHeight="1" x14ac:dyDescent="0.2"/>
    <row r="1048549" ht="12.75" customHeight="1" x14ac:dyDescent="0.2"/>
    <row r="1048550" ht="12.75" customHeight="1" x14ac:dyDescent="0.2"/>
    <row r="1048551" ht="12.75" customHeight="1" x14ac:dyDescent="0.2"/>
    <row r="1048552" ht="12.75" customHeight="1" x14ac:dyDescent="0.2"/>
    <row r="1048553" ht="12.75" customHeight="1" x14ac:dyDescent="0.2"/>
    <row r="1048554" ht="12.75" customHeight="1" x14ac:dyDescent="0.2"/>
    <row r="1048555" ht="12.75" customHeight="1" x14ac:dyDescent="0.2"/>
    <row r="1048556" ht="12.75" customHeight="1" x14ac:dyDescent="0.2"/>
  </sheetData>
  <mergeCells count="137">
    <mergeCell ref="A138:C138"/>
    <mergeCell ref="D138:E138"/>
    <mergeCell ref="F138:G138"/>
    <mergeCell ref="H138:I138"/>
    <mergeCell ref="A139:J139"/>
    <mergeCell ref="A140:J140"/>
    <mergeCell ref="B133:J133"/>
    <mergeCell ref="A134:J134"/>
    <mergeCell ref="A136:K136"/>
    <mergeCell ref="A137:C137"/>
    <mergeCell ref="D137:E137"/>
    <mergeCell ref="F137:G137"/>
    <mergeCell ref="H137:I137"/>
    <mergeCell ref="B127:J127"/>
    <mergeCell ref="B128:J128"/>
    <mergeCell ref="B129:J129"/>
    <mergeCell ref="B130:J130"/>
    <mergeCell ref="B131:J131"/>
    <mergeCell ref="A132:J132"/>
    <mergeCell ref="A111:J111"/>
    <mergeCell ref="A114:A117"/>
    <mergeCell ref="I115:I117"/>
    <mergeCell ref="A119:K124"/>
    <mergeCell ref="A125:K125"/>
    <mergeCell ref="A126:J126"/>
    <mergeCell ref="A107:A108"/>
    <mergeCell ref="B107:C108"/>
    <mergeCell ref="D107:J107"/>
    <mergeCell ref="D108:J108"/>
    <mergeCell ref="A109:J109"/>
    <mergeCell ref="A110:K110"/>
    <mergeCell ref="A103:J103"/>
    <mergeCell ref="B104:J104"/>
    <mergeCell ref="B105:D105"/>
    <mergeCell ref="E105:J105"/>
    <mergeCell ref="B106:D106"/>
    <mergeCell ref="E106:J106"/>
    <mergeCell ref="A97:K97"/>
    <mergeCell ref="A98:K98"/>
    <mergeCell ref="B99:J99"/>
    <mergeCell ref="B100:J100"/>
    <mergeCell ref="B101:J101"/>
    <mergeCell ref="A102:K102"/>
    <mergeCell ref="B90:I90"/>
    <mergeCell ref="A91:I91"/>
    <mergeCell ref="A92:K93"/>
    <mergeCell ref="A94:K94"/>
    <mergeCell ref="B95:I95"/>
    <mergeCell ref="B96:I96"/>
    <mergeCell ref="B84:I84"/>
    <mergeCell ref="B85:I85"/>
    <mergeCell ref="B86:I86"/>
    <mergeCell ref="B87:I87"/>
    <mergeCell ref="B88:I88"/>
    <mergeCell ref="B89:I89"/>
    <mergeCell ref="B77:I77"/>
    <mergeCell ref="L77:M77"/>
    <mergeCell ref="A78:I78"/>
    <mergeCell ref="A79:K81"/>
    <mergeCell ref="A82:K82"/>
    <mergeCell ref="A83:K83"/>
    <mergeCell ref="B74:I74"/>
    <mergeCell ref="L74:M74"/>
    <mergeCell ref="B75:I75"/>
    <mergeCell ref="L75:M75"/>
    <mergeCell ref="B76:I76"/>
    <mergeCell ref="L76:M76"/>
    <mergeCell ref="B69:J69"/>
    <mergeCell ref="A70:K70"/>
    <mergeCell ref="A71:K71"/>
    <mergeCell ref="B72:I72"/>
    <mergeCell ref="L72:M72"/>
    <mergeCell ref="B73:I73"/>
    <mergeCell ref="L73:M73"/>
    <mergeCell ref="B62:J62"/>
    <mergeCell ref="A63:K64"/>
    <mergeCell ref="A65:K65"/>
    <mergeCell ref="B66:I66"/>
    <mergeCell ref="B67:I67"/>
    <mergeCell ref="B68:J68"/>
    <mergeCell ref="L58:O58"/>
    <mergeCell ref="B59:J59"/>
    <mergeCell ref="L59:O59"/>
    <mergeCell ref="B60:J60"/>
    <mergeCell ref="L60:O60"/>
    <mergeCell ref="B61:J61"/>
    <mergeCell ref="L61:O61"/>
    <mergeCell ref="B51:I51"/>
    <mergeCell ref="B52:I52"/>
    <mergeCell ref="A53:K55"/>
    <mergeCell ref="A56:K56"/>
    <mergeCell ref="B57:J57"/>
    <mergeCell ref="B58:J58"/>
    <mergeCell ref="B45:I45"/>
    <mergeCell ref="B46:E46"/>
    <mergeCell ref="H46:I46"/>
    <mergeCell ref="B47:I47"/>
    <mergeCell ref="B48:I48"/>
    <mergeCell ref="B50:I50"/>
    <mergeCell ref="B38:I38"/>
    <mergeCell ref="B39:I39"/>
    <mergeCell ref="B40:I40"/>
    <mergeCell ref="A41:K42"/>
    <mergeCell ref="A43:K43"/>
    <mergeCell ref="B44:I44"/>
    <mergeCell ref="B31:J31"/>
    <mergeCell ref="A32:K32"/>
    <mergeCell ref="A33:J33"/>
    <mergeCell ref="A34:K35"/>
    <mergeCell ref="A36:K36"/>
    <mergeCell ref="A37:K37"/>
    <mergeCell ref="A26:A27"/>
    <mergeCell ref="B26:D27"/>
    <mergeCell ref="K26:K27"/>
    <mergeCell ref="B28:J28"/>
    <mergeCell ref="B29:J29"/>
    <mergeCell ref="B30:J30"/>
    <mergeCell ref="A12:K14"/>
    <mergeCell ref="A15:K15"/>
    <mergeCell ref="B19:J19"/>
    <mergeCell ref="A20:K22"/>
    <mergeCell ref="A23:J23"/>
    <mergeCell ref="H25:J25"/>
    <mergeCell ref="A5:C5"/>
    <mergeCell ref="D5:I5"/>
    <mergeCell ref="B7:E7"/>
    <mergeCell ref="F7:K7"/>
    <mergeCell ref="B9:H9"/>
    <mergeCell ref="I9:K9"/>
    <mergeCell ref="A1:I1"/>
    <mergeCell ref="A2:C2"/>
    <mergeCell ref="D2:I2"/>
    <mergeCell ref="A3:C3"/>
    <mergeCell ref="D3:I3"/>
    <mergeCell ref="A4:C4"/>
    <mergeCell ref="D4:F4"/>
    <mergeCell ref="H4:I4"/>
  </mergeCells>
  <pageMargins left="0.511811024" right="0.511811024" top="0.78740157499999996" bottom="0.78740157499999996" header="0.31496062000000002" footer="0.31496062000000002"/>
  <pageSetup paperSize="9" scale="41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AC5BB-ED21-409A-97AA-47ABE1D9FE4A}">
  <sheetPr>
    <pageSetUpPr fitToPage="1"/>
  </sheetPr>
  <dimension ref="A1:IV1048556"/>
  <sheetViews>
    <sheetView topLeftCell="A93" workbookViewId="0">
      <selection activeCell="K107" sqref="K107"/>
    </sheetView>
  </sheetViews>
  <sheetFormatPr defaultRowHeight="15.75" x14ac:dyDescent="0.2"/>
  <cols>
    <col min="1" max="10" width="12.42578125" style="76" customWidth="1"/>
    <col min="11" max="11" width="18.140625" style="76" bestFit="1" customWidth="1"/>
    <col min="12" max="12" width="18.28515625" style="76" customWidth="1"/>
    <col min="13" max="256" width="12.42578125" style="76" customWidth="1"/>
    <col min="257" max="1024" width="12.42578125" style="77" customWidth="1"/>
    <col min="1025" max="16384" width="9.140625" style="77"/>
  </cols>
  <sheetData>
    <row r="1" spans="1:11" ht="21.75" customHeight="1" thickTop="1" thickBot="1" x14ac:dyDescent="0.25">
      <c r="A1" s="423" t="s">
        <v>0</v>
      </c>
      <c r="B1" s="423"/>
      <c r="C1" s="423"/>
      <c r="D1" s="423"/>
      <c r="E1" s="423"/>
      <c r="F1" s="423"/>
      <c r="G1" s="423"/>
      <c r="H1" s="423"/>
      <c r="I1" s="442"/>
      <c r="J1" s="74"/>
      <c r="K1" s="75"/>
    </row>
    <row r="2" spans="1:11" ht="21.75" customHeight="1" thickTop="1" thickBot="1" x14ac:dyDescent="0.25">
      <c r="A2" s="534" t="s">
        <v>1</v>
      </c>
      <c r="B2" s="534"/>
      <c r="C2" s="534"/>
      <c r="D2" s="535" t="s">
        <v>330</v>
      </c>
      <c r="E2" s="535"/>
      <c r="F2" s="535"/>
      <c r="G2" s="535"/>
      <c r="H2" s="535"/>
      <c r="I2" s="536"/>
      <c r="J2" s="78"/>
      <c r="K2" s="79"/>
    </row>
    <row r="3" spans="1:11" ht="21.75" customHeight="1" thickTop="1" thickBot="1" x14ac:dyDescent="0.25">
      <c r="A3" s="534" t="s">
        <v>2</v>
      </c>
      <c r="B3" s="534"/>
      <c r="C3" s="534"/>
      <c r="D3" s="537" t="str">
        <f>'1 - Servente Sede'!D3</f>
        <v>Pregão Eletrônico nº XX/2020</v>
      </c>
      <c r="E3" s="537"/>
      <c r="F3" s="537"/>
      <c r="G3" s="537"/>
      <c r="H3" s="537"/>
      <c r="I3" s="538"/>
      <c r="J3" s="78"/>
      <c r="K3" s="79"/>
    </row>
    <row r="4" spans="1:11" ht="21.75" customHeight="1" thickTop="1" thickBot="1" x14ac:dyDescent="0.25">
      <c r="A4" s="534" t="s">
        <v>3</v>
      </c>
      <c r="B4" s="534"/>
      <c r="C4" s="534"/>
      <c r="D4" s="539"/>
      <c r="E4" s="540"/>
      <c r="F4" s="541"/>
      <c r="G4" s="80" t="s">
        <v>4</v>
      </c>
      <c r="H4" s="542"/>
      <c r="I4" s="536"/>
      <c r="J4" s="78"/>
      <c r="K4" s="79"/>
    </row>
    <row r="5" spans="1:11" ht="21.75" customHeight="1" thickTop="1" thickBot="1" x14ac:dyDescent="0.25">
      <c r="A5" s="526" t="s">
        <v>5</v>
      </c>
      <c r="B5" s="526"/>
      <c r="C5" s="526"/>
      <c r="D5" s="527" t="s">
        <v>412</v>
      </c>
      <c r="E5" s="527"/>
      <c r="F5" s="527"/>
      <c r="G5" s="527"/>
      <c r="H5" s="527"/>
      <c r="I5" s="527"/>
      <c r="J5" s="277"/>
      <c r="K5" s="79"/>
    </row>
    <row r="6" spans="1:11" ht="21.75" customHeight="1" thickTop="1" thickBot="1" x14ac:dyDescent="0.25">
      <c r="A6" s="81"/>
      <c r="B6" s="82"/>
      <c r="C6" s="82"/>
      <c r="D6" s="82"/>
      <c r="E6" s="82"/>
      <c r="F6" s="82"/>
      <c r="G6" s="82"/>
      <c r="H6" s="82"/>
      <c r="I6" s="279"/>
      <c r="J6" s="279"/>
      <c r="K6" s="278"/>
    </row>
    <row r="7" spans="1:11" ht="21.75" customHeight="1" thickTop="1" thickBot="1" x14ac:dyDescent="0.25">
      <c r="A7" s="274" t="s">
        <v>7</v>
      </c>
      <c r="B7" s="528" t="s">
        <v>8</v>
      </c>
      <c r="C7" s="528"/>
      <c r="D7" s="528"/>
      <c r="E7" s="528"/>
      <c r="F7" s="529" t="s">
        <v>140</v>
      </c>
      <c r="G7" s="529"/>
      <c r="H7" s="529"/>
      <c r="I7" s="529"/>
      <c r="J7" s="529"/>
      <c r="K7" s="529"/>
    </row>
    <row r="8" spans="1:11" ht="21.75" customHeight="1" thickTop="1" thickBot="1" x14ac:dyDescent="0.25">
      <c r="A8" s="274" t="s">
        <v>7</v>
      </c>
      <c r="B8" s="275" t="s">
        <v>9</v>
      </c>
      <c r="C8" s="84"/>
      <c r="D8" s="84"/>
      <c r="E8" s="84"/>
      <c r="F8" s="84"/>
      <c r="G8" s="84"/>
      <c r="H8" s="84"/>
      <c r="I8" s="84"/>
      <c r="J8" s="276"/>
      <c r="K8" s="85">
        <v>12</v>
      </c>
    </row>
    <row r="9" spans="1:11" ht="21.75" customHeight="1" thickTop="1" thickBot="1" x14ac:dyDescent="0.25">
      <c r="A9" s="83" t="s">
        <v>7</v>
      </c>
      <c r="B9" s="496" t="s">
        <v>10</v>
      </c>
      <c r="C9" s="428"/>
      <c r="D9" s="428"/>
      <c r="E9" s="428"/>
      <c r="F9" s="428"/>
      <c r="G9" s="428"/>
      <c r="H9" s="428"/>
      <c r="I9" s="543"/>
      <c r="J9" s="543"/>
      <c r="K9" s="544"/>
    </row>
    <row r="10" spans="1:11" ht="21.75" customHeight="1" thickTop="1" thickBot="1" x14ac:dyDescent="0.25">
      <c r="A10" s="83" t="s">
        <v>7</v>
      </c>
      <c r="B10" s="86" t="s">
        <v>11</v>
      </c>
      <c r="C10" s="86"/>
      <c r="D10" s="86"/>
      <c r="E10" s="86"/>
      <c r="F10" s="86"/>
      <c r="G10" s="86"/>
      <c r="H10" s="86"/>
      <c r="I10" s="86"/>
      <c r="J10" s="86"/>
      <c r="K10" s="87" t="s">
        <v>141</v>
      </c>
    </row>
    <row r="11" spans="1:11" ht="21.75" customHeight="1" thickTop="1" thickBot="1" x14ac:dyDescent="0.25">
      <c r="A11" s="83" t="s">
        <v>7</v>
      </c>
      <c r="B11" s="86" t="s">
        <v>142</v>
      </c>
      <c r="C11" s="86"/>
      <c r="D11" s="86"/>
      <c r="E11" s="86"/>
      <c r="F11" s="86"/>
      <c r="G11" s="86"/>
      <c r="H11" s="86"/>
      <c r="I11" s="86"/>
      <c r="J11" s="86"/>
      <c r="K11" s="88">
        <f>'Quantitativo de pessoal'!D13</f>
        <v>20173.649999999998</v>
      </c>
    </row>
    <row r="12" spans="1:11" ht="21.75" customHeight="1" thickTop="1" thickBot="1" x14ac:dyDescent="0.25">
      <c r="A12" s="530" t="s">
        <v>147</v>
      </c>
      <c r="B12" s="531"/>
      <c r="C12" s="531"/>
      <c r="D12" s="531"/>
      <c r="E12" s="531"/>
      <c r="F12" s="531"/>
      <c r="G12" s="531"/>
      <c r="H12" s="531"/>
      <c r="I12" s="531"/>
      <c r="J12" s="531"/>
      <c r="K12" s="532"/>
    </row>
    <row r="13" spans="1:11" ht="21.75" customHeight="1" thickTop="1" thickBot="1" x14ac:dyDescent="0.25">
      <c r="A13" s="533"/>
      <c r="B13" s="531"/>
      <c r="C13" s="531"/>
      <c r="D13" s="531"/>
      <c r="E13" s="531"/>
      <c r="F13" s="531"/>
      <c r="G13" s="531"/>
      <c r="H13" s="531"/>
      <c r="I13" s="531"/>
      <c r="J13" s="531"/>
      <c r="K13" s="532"/>
    </row>
    <row r="14" spans="1:11" ht="21.75" customHeight="1" thickTop="1" thickBot="1" x14ac:dyDescent="0.25">
      <c r="A14" s="533"/>
      <c r="B14" s="531"/>
      <c r="C14" s="531"/>
      <c r="D14" s="531"/>
      <c r="E14" s="531"/>
      <c r="F14" s="531"/>
      <c r="G14" s="531"/>
      <c r="H14" s="531"/>
      <c r="I14" s="531"/>
      <c r="J14" s="531"/>
      <c r="K14" s="532"/>
    </row>
    <row r="15" spans="1:11" ht="21.75" customHeight="1" thickTop="1" thickBot="1" x14ac:dyDescent="0.25">
      <c r="A15" s="442" t="s">
        <v>15</v>
      </c>
      <c r="B15" s="442"/>
      <c r="C15" s="442"/>
      <c r="D15" s="442"/>
      <c r="E15" s="442"/>
      <c r="F15" s="442"/>
      <c r="G15" s="442"/>
      <c r="H15" s="442"/>
      <c r="I15" s="442"/>
      <c r="J15" s="442"/>
      <c r="K15" s="442"/>
    </row>
    <row r="16" spans="1:11" ht="21.75" customHeight="1" thickTop="1" thickBot="1" x14ac:dyDescent="0.25">
      <c r="A16" s="100">
        <v>1</v>
      </c>
      <c r="B16" s="86" t="s">
        <v>16</v>
      </c>
      <c r="C16" s="86"/>
      <c r="D16" s="86"/>
      <c r="E16" s="86"/>
      <c r="F16" s="86"/>
      <c r="G16" s="86"/>
      <c r="H16" s="86"/>
      <c r="I16" s="86"/>
      <c r="J16" s="86"/>
      <c r="K16" s="90">
        <v>0</v>
      </c>
    </row>
    <row r="17" spans="1:18" ht="21.75" customHeight="1" thickTop="1" thickBot="1" x14ac:dyDescent="0.25">
      <c r="A17" s="100">
        <v>2</v>
      </c>
      <c r="B17" s="86" t="s">
        <v>17</v>
      </c>
      <c r="C17" s="86"/>
      <c r="D17" s="86"/>
      <c r="E17" s="86"/>
      <c r="F17" s="86"/>
      <c r="G17" s="86"/>
      <c r="H17" s="86"/>
      <c r="I17" s="86"/>
      <c r="J17" s="86"/>
      <c r="K17" s="91" t="s">
        <v>193</v>
      </c>
    </row>
    <row r="18" spans="1:18" ht="21.75" customHeight="1" thickTop="1" thickBot="1" x14ac:dyDescent="0.25">
      <c r="A18" s="100">
        <v>3</v>
      </c>
      <c r="B18" s="86" t="s">
        <v>18</v>
      </c>
      <c r="C18" s="86"/>
      <c r="D18" s="86"/>
      <c r="E18" s="86"/>
      <c r="F18" s="86"/>
      <c r="G18" s="86"/>
      <c r="H18" s="86"/>
      <c r="I18" s="86"/>
      <c r="J18" s="86"/>
      <c r="K18" s="92">
        <v>43862</v>
      </c>
    </row>
    <row r="19" spans="1:18" ht="21.75" customHeight="1" thickTop="1" thickBot="1" x14ac:dyDescent="0.25">
      <c r="A19" s="93">
        <v>4</v>
      </c>
      <c r="B19" s="509" t="s">
        <v>19</v>
      </c>
      <c r="C19" s="510"/>
      <c r="D19" s="510"/>
      <c r="E19" s="510"/>
      <c r="F19" s="510"/>
      <c r="G19" s="510"/>
      <c r="H19" s="510"/>
      <c r="I19" s="510"/>
      <c r="J19" s="510"/>
      <c r="K19" s="94" t="s">
        <v>143</v>
      </c>
    </row>
    <row r="20" spans="1:18" ht="21.75" customHeight="1" thickTop="1" x14ac:dyDescent="0.2">
      <c r="A20" s="511" t="s">
        <v>148</v>
      </c>
      <c r="B20" s="512"/>
      <c r="C20" s="512"/>
      <c r="D20" s="512"/>
      <c r="E20" s="512"/>
      <c r="F20" s="512"/>
      <c r="G20" s="512"/>
      <c r="H20" s="512"/>
      <c r="I20" s="512"/>
      <c r="J20" s="512"/>
      <c r="K20" s="513"/>
    </row>
    <row r="21" spans="1:18" ht="19.149999999999999" customHeight="1" thickBot="1" x14ac:dyDescent="0.25">
      <c r="A21" s="514"/>
      <c r="B21" s="515"/>
      <c r="C21" s="515"/>
      <c r="D21" s="515"/>
      <c r="E21" s="515"/>
      <c r="F21" s="515"/>
      <c r="G21" s="515"/>
      <c r="H21" s="515"/>
      <c r="I21" s="515"/>
      <c r="J21" s="515"/>
      <c r="K21" s="516"/>
    </row>
    <row r="22" spans="1:18" ht="21.6" hidden="1" customHeight="1" x14ac:dyDescent="0.2">
      <c r="A22" s="517"/>
      <c r="B22" s="518"/>
      <c r="C22" s="518"/>
      <c r="D22" s="518"/>
      <c r="E22" s="518"/>
      <c r="F22" s="518"/>
      <c r="G22" s="518"/>
      <c r="H22" s="518"/>
      <c r="I22" s="518"/>
      <c r="J22" s="518"/>
      <c r="K22" s="519"/>
    </row>
    <row r="23" spans="1:18" ht="21.75" customHeight="1" thickTop="1" thickBot="1" x14ac:dyDescent="0.25">
      <c r="A23" s="442" t="s">
        <v>21</v>
      </c>
      <c r="B23" s="442"/>
      <c r="C23" s="442"/>
      <c r="D23" s="442"/>
      <c r="E23" s="442"/>
      <c r="F23" s="442"/>
      <c r="G23" s="442"/>
      <c r="H23" s="442"/>
      <c r="I23" s="442"/>
      <c r="J23" s="442"/>
      <c r="K23" s="95" t="s">
        <v>22</v>
      </c>
    </row>
    <row r="24" spans="1:18" ht="21.75" customHeight="1" thickTop="1" thickBot="1" x14ac:dyDescent="0.25">
      <c r="A24" s="100" t="s">
        <v>23</v>
      </c>
      <c r="B24" s="86" t="s">
        <v>24</v>
      </c>
      <c r="C24" s="86"/>
      <c r="D24" s="86"/>
      <c r="E24" s="86"/>
      <c r="F24" s="86"/>
      <c r="G24" s="86"/>
      <c r="H24" s="86"/>
      <c r="I24" s="86"/>
      <c r="J24" s="96"/>
      <c r="K24" s="342">
        <f>K16</f>
        <v>0</v>
      </c>
    </row>
    <row r="25" spans="1:18" ht="21.75" customHeight="1" thickTop="1" thickBot="1" x14ac:dyDescent="0.25">
      <c r="A25" s="100" t="s">
        <v>25</v>
      </c>
      <c r="B25" s="98" t="s">
        <v>26</v>
      </c>
      <c r="C25" s="98"/>
      <c r="D25" s="98"/>
      <c r="E25" s="99" t="s">
        <v>27</v>
      </c>
      <c r="F25" s="99"/>
      <c r="G25" s="86"/>
      <c r="H25" s="520">
        <v>0</v>
      </c>
      <c r="I25" s="521"/>
      <c r="J25" s="522"/>
      <c r="K25" s="102">
        <f>K24*H25</f>
        <v>0</v>
      </c>
    </row>
    <row r="26" spans="1:18" ht="21.75" customHeight="1" thickTop="1" thickBot="1" x14ac:dyDescent="0.3">
      <c r="A26" s="523" t="s">
        <v>28</v>
      </c>
      <c r="B26" s="524" t="s">
        <v>29</v>
      </c>
      <c r="C26" s="524"/>
      <c r="D26" s="524"/>
      <c r="E26" s="99" t="s">
        <v>30</v>
      </c>
      <c r="F26" s="99"/>
      <c r="G26" s="86"/>
      <c r="H26" s="86"/>
      <c r="I26" s="86"/>
      <c r="J26" s="101"/>
      <c r="K26" s="525">
        <f>L27*0.4</f>
        <v>0</v>
      </c>
      <c r="L26"/>
      <c r="M26"/>
      <c r="N26"/>
      <c r="O26"/>
      <c r="P26"/>
      <c r="Q26"/>
      <c r="R26"/>
    </row>
    <row r="27" spans="1:18" ht="21.75" customHeight="1" thickTop="1" thickBot="1" x14ac:dyDescent="0.3">
      <c r="A27" s="523"/>
      <c r="B27" s="524"/>
      <c r="C27" s="524"/>
      <c r="D27" s="524"/>
      <c r="E27" s="99" t="s">
        <v>31</v>
      </c>
      <c r="F27" s="99"/>
      <c r="G27" s="86"/>
      <c r="H27" s="99" t="s">
        <v>32</v>
      </c>
      <c r="I27" s="86"/>
      <c r="J27" s="96"/>
      <c r="K27" s="525"/>
      <c r="L27"/>
      <c r="M27"/>
      <c r="N27"/>
      <c r="O27"/>
      <c r="P27"/>
      <c r="Q27"/>
      <c r="R27"/>
    </row>
    <row r="28" spans="1:18" ht="21.75" customHeight="1" thickTop="1" thickBot="1" x14ac:dyDescent="0.3">
      <c r="A28" s="100" t="s">
        <v>33</v>
      </c>
      <c r="B28" s="506" t="s">
        <v>34</v>
      </c>
      <c r="C28" s="506"/>
      <c r="D28" s="506"/>
      <c r="E28" s="507"/>
      <c r="F28" s="507"/>
      <c r="G28" s="507"/>
      <c r="H28" s="507"/>
      <c r="I28" s="507"/>
      <c r="J28" s="508"/>
      <c r="K28" s="102">
        <v>0</v>
      </c>
      <c r="L28"/>
      <c r="M28"/>
      <c r="N28"/>
      <c r="O28"/>
      <c r="P28"/>
      <c r="Q28"/>
      <c r="R28"/>
    </row>
    <row r="29" spans="1:18" ht="21.75" customHeight="1" thickTop="1" thickBot="1" x14ac:dyDescent="0.25">
      <c r="A29" s="100" t="s">
        <v>35</v>
      </c>
      <c r="B29" s="428" t="s">
        <v>36</v>
      </c>
      <c r="C29" s="428"/>
      <c r="D29" s="428"/>
      <c r="E29" s="428"/>
      <c r="F29" s="428"/>
      <c r="G29" s="428"/>
      <c r="H29" s="428"/>
      <c r="I29" s="428"/>
      <c r="J29" s="429"/>
      <c r="K29" s="102">
        <v>0</v>
      </c>
      <c r="L29" s="103"/>
    </row>
    <row r="30" spans="1:18" ht="21.75" customHeight="1" thickTop="1" thickBot="1" x14ac:dyDescent="0.25">
      <c r="A30" s="100" t="s">
        <v>37</v>
      </c>
      <c r="B30" s="428" t="s">
        <v>38</v>
      </c>
      <c r="C30" s="428"/>
      <c r="D30" s="428"/>
      <c r="E30" s="428"/>
      <c r="F30" s="428"/>
      <c r="G30" s="428"/>
      <c r="H30" s="428"/>
      <c r="I30" s="428"/>
      <c r="J30" s="429"/>
      <c r="K30" s="102">
        <v>0</v>
      </c>
    </row>
    <row r="31" spans="1:18" ht="21.75" customHeight="1" thickTop="1" thickBot="1" x14ac:dyDescent="0.25">
      <c r="A31" s="100" t="s">
        <v>39</v>
      </c>
      <c r="B31" s="428" t="s">
        <v>87</v>
      </c>
      <c r="C31" s="428"/>
      <c r="D31" s="428"/>
      <c r="E31" s="428"/>
      <c r="F31" s="428"/>
      <c r="G31" s="428"/>
      <c r="H31" s="428"/>
      <c r="I31" s="428"/>
      <c r="J31" s="429"/>
      <c r="K31" s="104">
        <v>0</v>
      </c>
    </row>
    <row r="32" spans="1:18" ht="21.6" hidden="1" customHeight="1" x14ac:dyDescent="0.2">
      <c r="A32" s="503"/>
      <c r="B32" s="504"/>
      <c r="C32" s="504"/>
      <c r="D32" s="504"/>
      <c r="E32" s="504"/>
      <c r="F32" s="504"/>
      <c r="G32" s="504"/>
      <c r="H32" s="504"/>
      <c r="I32" s="504"/>
      <c r="J32" s="504"/>
      <c r="K32" s="505"/>
    </row>
    <row r="33" spans="1:13" ht="21.75" customHeight="1" thickTop="1" thickBot="1" x14ac:dyDescent="0.25">
      <c r="A33" s="423" t="s">
        <v>41</v>
      </c>
      <c r="B33" s="424"/>
      <c r="C33" s="424"/>
      <c r="D33" s="424"/>
      <c r="E33" s="424"/>
      <c r="F33" s="424"/>
      <c r="G33" s="424"/>
      <c r="H33" s="424"/>
      <c r="I33" s="424"/>
      <c r="J33" s="426"/>
      <c r="K33" s="105">
        <f>SUM(K24:K31)</f>
        <v>0</v>
      </c>
      <c r="M33" s="106"/>
    </row>
    <row r="34" spans="1:13" ht="21.75" customHeight="1" thickTop="1" x14ac:dyDescent="0.2">
      <c r="A34" s="464" t="s">
        <v>149</v>
      </c>
      <c r="B34" s="465"/>
      <c r="C34" s="465"/>
      <c r="D34" s="465"/>
      <c r="E34" s="465"/>
      <c r="F34" s="465"/>
      <c r="G34" s="465"/>
      <c r="H34" s="465"/>
      <c r="I34" s="465"/>
      <c r="J34" s="465"/>
      <c r="K34" s="466"/>
    </row>
    <row r="35" spans="1:13" ht="55.5" customHeight="1" thickBot="1" x14ac:dyDescent="0.25">
      <c r="A35" s="467"/>
      <c r="B35" s="468"/>
      <c r="C35" s="468"/>
      <c r="D35" s="468"/>
      <c r="E35" s="468"/>
      <c r="F35" s="468"/>
      <c r="G35" s="468"/>
      <c r="H35" s="468"/>
      <c r="I35" s="468"/>
      <c r="J35" s="468"/>
      <c r="K35" s="469"/>
    </row>
    <row r="36" spans="1:13" ht="21.75" customHeight="1" thickTop="1" thickBot="1" x14ac:dyDescent="0.25">
      <c r="A36" s="423" t="s">
        <v>43</v>
      </c>
      <c r="B36" s="423"/>
      <c r="C36" s="423"/>
      <c r="D36" s="423"/>
      <c r="E36" s="423"/>
      <c r="F36" s="423"/>
      <c r="G36" s="423"/>
      <c r="H36" s="423"/>
      <c r="I36" s="423"/>
      <c r="J36" s="423"/>
      <c r="K36" s="442"/>
    </row>
    <row r="37" spans="1:13" ht="21.75" customHeight="1" thickTop="1" thickBot="1" x14ac:dyDescent="0.25">
      <c r="A37" s="423" t="s">
        <v>150</v>
      </c>
      <c r="B37" s="423"/>
      <c r="C37" s="423"/>
      <c r="D37" s="423"/>
      <c r="E37" s="423"/>
      <c r="F37" s="423"/>
      <c r="G37" s="423"/>
      <c r="H37" s="423"/>
      <c r="I37" s="423"/>
      <c r="J37" s="423"/>
      <c r="K37" s="442"/>
    </row>
    <row r="38" spans="1:13" ht="21.75" customHeight="1" thickTop="1" thickBot="1" x14ac:dyDescent="0.25">
      <c r="A38" s="107" t="s">
        <v>23</v>
      </c>
      <c r="B38" s="501" t="s">
        <v>45</v>
      </c>
      <c r="C38" s="501"/>
      <c r="D38" s="501"/>
      <c r="E38" s="501"/>
      <c r="F38" s="501"/>
      <c r="G38" s="501"/>
      <c r="H38" s="501"/>
      <c r="I38" s="501"/>
      <c r="J38" s="108">
        <v>8.3299999999999999E-2</v>
      </c>
      <c r="K38" s="109">
        <f>K33*(1/12)</f>
        <v>0</v>
      </c>
      <c r="L38" s="110"/>
    </row>
    <row r="39" spans="1:13" ht="21.75" customHeight="1" thickTop="1" thickBot="1" x14ac:dyDescent="0.25">
      <c r="A39" s="107" t="s">
        <v>25</v>
      </c>
      <c r="B39" s="501" t="s">
        <v>46</v>
      </c>
      <c r="C39" s="501"/>
      <c r="D39" s="501"/>
      <c r="E39" s="501"/>
      <c r="F39" s="501"/>
      <c r="G39" s="501"/>
      <c r="H39" s="501"/>
      <c r="I39" s="501"/>
      <c r="J39" s="108">
        <v>0.1111</v>
      </c>
      <c r="K39" s="109">
        <f>(K33*(1/12))+(K33*1/12*1/3)</f>
        <v>0</v>
      </c>
      <c r="L39" s="111"/>
    </row>
    <row r="40" spans="1:13" ht="21.75" customHeight="1" thickTop="1" thickBot="1" x14ac:dyDescent="0.25">
      <c r="A40" s="155"/>
      <c r="B40" s="502" t="s">
        <v>47</v>
      </c>
      <c r="C40" s="502"/>
      <c r="D40" s="502"/>
      <c r="E40" s="502"/>
      <c r="F40" s="502"/>
      <c r="G40" s="502"/>
      <c r="H40" s="502"/>
      <c r="I40" s="502"/>
      <c r="J40" s="113">
        <f>J38+J39</f>
        <v>0.19440000000000002</v>
      </c>
      <c r="K40" s="105">
        <f>ROUND(SUM(K38+K39),2)</f>
        <v>0</v>
      </c>
    </row>
    <row r="41" spans="1:13" ht="21.75" customHeight="1" thickTop="1" x14ac:dyDescent="0.2">
      <c r="A41" s="464" t="s">
        <v>151</v>
      </c>
      <c r="B41" s="465"/>
      <c r="C41" s="465"/>
      <c r="D41" s="465"/>
      <c r="E41" s="465"/>
      <c r="F41" s="465"/>
      <c r="G41" s="465"/>
      <c r="H41" s="465"/>
      <c r="I41" s="465"/>
      <c r="J41" s="465"/>
      <c r="K41" s="466"/>
    </row>
    <row r="42" spans="1:13" ht="55.15" customHeight="1" thickBot="1" x14ac:dyDescent="0.25">
      <c r="A42" s="467"/>
      <c r="B42" s="468"/>
      <c r="C42" s="468"/>
      <c r="D42" s="468"/>
      <c r="E42" s="468"/>
      <c r="F42" s="468"/>
      <c r="G42" s="468"/>
      <c r="H42" s="468"/>
      <c r="I42" s="468"/>
      <c r="J42" s="468"/>
      <c r="K42" s="469"/>
    </row>
    <row r="43" spans="1:13" ht="21.75" customHeight="1" thickTop="1" thickBot="1" x14ac:dyDescent="0.25">
      <c r="A43" s="423" t="s">
        <v>49</v>
      </c>
      <c r="B43" s="424"/>
      <c r="C43" s="424"/>
      <c r="D43" s="424"/>
      <c r="E43" s="424"/>
      <c r="F43" s="424"/>
      <c r="G43" s="424"/>
      <c r="H43" s="424"/>
      <c r="I43" s="424"/>
      <c r="J43" s="424"/>
      <c r="K43" s="426"/>
    </row>
    <row r="44" spans="1:13" ht="21.75" customHeight="1" thickTop="1" thickBot="1" x14ac:dyDescent="0.25">
      <c r="A44" s="100" t="s">
        <v>23</v>
      </c>
      <c r="B44" s="495" t="s">
        <v>50</v>
      </c>
      <c r="C44" s="495"/>
      <c r="D44" s="495"/>
      <c r="E44" s="495"/>
      <c r="F44" s="495"/>
      <c r="G44" s="495"/>
      <c r="H44" s="495"/>
      <c r="I44" s="495"/>
      <c r="J44" s="115">
        <v>0.2</v>
      </c>
      <c r="K44" s="102">
        <f>J44*(K33+K40)</f>
        <v>0</v>
      </c>
    </row>
    <row r="45" spans="1:13" ht="21.75" customHeight="1" thickTop="1" thickBot="1" x14ac:dyDescent="0.25">
      <c r="A45" s="100" t="s">
        <v>25</v>
      </c>
      <c r="B45" s="496" t="s">
        <v>54</v>
      </c>
      <c r="C45" s="428"/>
      <c r="D45" s="428"/>
      <c r="E45" s="428"/>
      <c r="F45" s="428"/>
      <c r="G45" s="428"/>
      <c r="H45" s="428"/>
      <c r="I45" s="497"/>
      <c r="J45" s="115">
        <v>2.5000000000000001E-2</v>
      </c>
      <c r="K45" s="102">
        <f>J45*(K33+K40)</f>
        <v>0</v>
      </c>
    </row>
    <row r="46" spans="1:13" ht="21.75" customHeight="1" thickTop="1" thickBot="1" x14ac:dyDescent="0.25">
      <c r="A46" s="100" t="s">
        <v>28</v>
      </c>
      <c r="B46" s="496" t="s">
        <v>243</v>
      </c>
      <c r="C46" s="428"/>
      <c r="D46" s="428"/>
      <c r="E46" s="498"/>
      <c r="F46" s="341">
        <v>0.03</v>
      </c>
      <c r="G46" s="281" t="s">
        <v>57</v>
      </c>
      <c r="H46" s="499">
        <v>1</v>
      </c>
      <c r="I46" s="500"/>
      <c r="J46" s="115">
        <f>F46*H46</f>
        <v>0.03</v>
      </c>
      <c r="K46" s="102">
        <f>J46*(K33+K40)</f>
        <v>0</v>
      </c>
    </row>
    <row r="47" spans="1:13" ht="21.75" customHeight="1" thickTop="1" thickBot="1" x14ac:dyDescent="0.25">
      <c r="A47" s="100" t="s">
        <v>33</v>
      </c>
      <c r="B47" s="496" t="s">
        <v>51</v>
      </c>
      <c r="C47" s="428"/>
      <c r="D47" s="428"/>
      <c r="E47" s="428"/>
      <c r="F47" s="428"/>
      <c r="G47" s="428"/>
      <c r="H47" s="428"/>
      <c r="I47" s="497"/>
      <c r="J47" s="115">
        <v>1.4999999999999999E-2</v>
      </c>
      <c r="K47" s="102">
        <f>J47*(K33+K40)</f>
        <v>0</v>
      </c>
    </row>
    <row r="48" spans="1:13" ht="21.75" customHeight="1" thickTop="1" thickBot="1" x14ac:dyDescent="0.25">
      <c r="A48" s="100" t="s">
        <v>35</v>
      </c>
      <c r="B48" s="496" t="s">
        <v>52</v>
      </c>
      <c r="C48" s="428"/>
      <c r="D48" s="428"/>
      <c r="E48" s="428"/>
      <c r="F48" s="428"/>
      <c r="G48" s="428"/>
      <c r="H48" s="428"/>
      <c r="I48" s="497"/>
      <c r="J48" s="115">
        <v>0.01</v>
      </c>
      <c r="K48" s="102">
        <f>J48*(K33+K40)</f>
        <v>0</v>
      </c>
    </row>
    <row r="49" spans="1:16" ht="21.75" customHeight="1" thickTop="1" thickBot="1" x14ac:dyDescent="0.25">
      <c r="A49" s="100" t="s">
        <v>37</v>
      </c>
      <c r="B49" s="86" t="s">
        <v>59</v>
      </c>
      <c r="C49" s="86"/>
      <c r="D49" s="86"/>
      <c r="E49" s="86"/>
      <c r="F49" s="86"/>
      <c r="G49" s="86"/>
      <c r="H49" s="86"/>
      <c r="I49" s="86"/>
      <c r="J49" s="115">
        <v>6.0000000000000001E-3</v>
      </c>
      <c r="K49" s="102">
        <f>J49*(K33+K40)</f>
        <v>0</v>
      </c>
    </row>
    <row r="50" spans="1:16" ht="21.75" customHeight="1" thickTop="1" thickBot="1" x14ac:dyDescent="0.25">
      <c r="A50" s="100" t="s">
        <v>39</v>
      </c>
      <c r="B50" s="496" t="s">
        <v>53</v>
      </c>
      <c r="C50" s="428"/>
      <c r="D50" s="428"/>
      <c r="E50" s="428"/>
      <c r="F50" s="428"/>
      <c r="G50" s="428"/>
      <c r="H50" s="428"/>
      <c r="I50" s="497"/>
      <c r="J50" s="116">
        <v>2E-3</v>
      </c>
      <c r="K50" s="102">
        <f>J50*(K$33+K$40)</f>
        <v>0</v>
      </c>
    </row>
    <row r="51" spans="1:16" ht="21.75" customHeight="1" thickTop="1" thickBot="1" x14ac:dyDescent="0.25">
      <c r="A51" s="100" t="s">
        <v>58</v>
      </c>
      <c r="B51" s="496" t="s">
        <v>55</v>
      </c>
      <c r="C51" s="428"/>
      <c r="D51" s="428"/>
      <c r="E51" s="428"/>
      <c r="F51" s="428"/>
      <c r="G51" s="428"/>
      <c r="H51" s="428"/>
      <c r="I51" s="497"/>
      <c r="J51" s="116">
        <v>0.08</v>
      </c>
      <c r="K51" s="408">
        <f>J51*(K$33+K$40)</f>
        <v>0</v>
      </c>
    </row>
    <row r="52" spans="1:16" ht="21.75" customHeight="1" thickTop="1" thickBot="1" x14ac:dyDescent="0.25">
      <c r="A52" s="154"/>
      <c r="B52" s="423" t="s">
        <v>47</v>
      </c>
      <c r="C52" s="424"/>
      <c r="D52" s="424"/>
      <c r="E52" s="424"/>
      <c r="F52" s="424"/>
      <c r="G52" s="424"/>
      <c r="H52" s="424"/>
      <c r="I52" s="426"/>
      <c r="J52" s="114">
        <f>SUM(J44:J51)</f>
        <v>0.36800000000000005</v>
      </c>
      <c r="K52" s="282">
        <f>SUM(K44:K51)</f>
        <v>0</v>
      </c>
    </row>
    <row r="53" spans="1:16" ht="21.75" customHeight="1" thickTop="1" x14ac:dyDescent="0.2">
      <c r="A53" s="486" t="s">
        <v>152</v>
      </c>
      <c r="B53" s="487"/>
      <c r="C53" s="487"/>
      <c r="D53" s="487"/>
      <c r="E53" s="487"/>
      <c r="F53" s="487"/>
      <c r="G53" s="487"/>
      <c r="H53" s="487"/>
      <c r="I53" s="487"/>
      <c r="J53" s="487"/>
      <c r="K53" s="488"/>
    </row>
    <row r="54" spans="1:16" ht="21.75" customHeight="1" x14ac:dyDescent="0.2">
      <c r="A54" s="489"/>
      <c r="B54" s="490"/>
      <c r="C54" s="490"/>
      <c r="D54" s="490"/>
      <c r="E54" s="490"/>
      <c r="F54" s="490"/>
      <c r="G54" s="490"/>
      <c r="H54" s="490"/>
      <c r="I54" s="490"/>
      <c r="J54" s="490"/>
      <c r="K54" s="491"/>
    </row>
    <row r="55" spans="1:16" ht="12.6" customHeight="1" thickBot="1" x14ac:dyDescent="0.25">
      <c r="A55" s="492"/>
      <c r="B55" s="493"/>
      <c r="C55" s="493"/>
      <c r="D55" s="493"/>
      <c r="E55" s="493"/>
      <c r="F55" s="493"/>
      <c r="G55" s="493"/>
      <c r="H55" s="493"/>
      <c r="I55" s="493"/>
      <c r="J55" s="493"/>
      <c r="K55" s="494"/>
    </row>
    <row r="56" spans="1:16" ht="21.75" customHeight="1" thickTop="1" thickBot="1" x14ac:dyDescent="0.25">
      <c r="A56" s="423" t="s">
        <v>61</v>
      </c>
      <c r="B56" s="424"/>
      <c r="C56" s="424"/>
      <c r="D56" s="424"/>
      <c r="E56" s="424"/>
      <c r="F56" s="424"/>
      <c r="G56" s="424"/>
      <c r="H56" s="424"/>
      <c r="I56" s="424"/>
      <c r="J56" s="424"/>
      <c r="K56" s="426"/>
    </row>
    <row r="57" spans="1:16" ht="21.75" customHeight="1" thickTop="1" thickBot="1" x14ac:dyDescent="0.25">
      <c r="A57" s="95" t="s">
        <v>23</v>
      </c>
      <c r="B57" s="459" t="s">
        <v>424</v>
      </c>
      <c r="C57" s="459"/>
      <c r="D57" s="459"/>
      <c r="E57" s="459"/>
      <c r="F57" s="459"/>
      <c r="G57" s="459"/>
      <c r="H57" s="459"/>
      <c r="I57" s="459"/>
      <c r="J57" s="459"/>
      <c r="K57" s="117">
        <v>0</v>
      </c>
      <c r="L57" s="111"/>
    </row>
    <row r="58" spans="1:16" ht="21.75" customHeight="1" thickTop="1" thickBot="1" x14ac:dyDescent="0.25">
      <c r="A58" s="95" t="s">
        <v>25</v>
      </c>
      <c r="B58" s="459" t="s">
        <v>423</v>
      </c>
      <c r="C58" s="459"/>
      <c r="D58" s="459"/>
      <c r="E58" s="459"/>
      <c r="F58" s="459"/>
      <c r="G58" s="459"/>
      <c r="H58" s="459"/>
      <c r="I58" s="459"/>
      <c r="J58" s="459"/>
      <c r="K58" s="109">
        <v>0</v>
      </c>
      <c r="L58" s="484"/>
      <c r="M58" s="485"/>
      <c r="N58" s="485"/>
      <c r="O58" s="485"/>
    </row>
    <row r="59" spans="1:16" ht="21.75" customHeight="1" thickTop="1" thickBot="1" x14ac:dyDescent="0.25">
      <c r="A59" s="95" t="s">
        <v>28</v>
      </c>
      <c r="B59" s="459" t="s">
        <v>421</v>
      </c>
      <c r="C59" s="459"/>
      <c r="D59" s="459"/>
      <c r="E59" s="459"/>
      <c r="F59" s="459"/>
      <c r="G59" s="459"/>
      <c r="H59" s="459"/>
      <c r="I59" s="459"/>
      <c r="J59" s="459"/>
      <c r="K59" s="109">
        <v>0</v>
      </c>
      <c r="L59" s="484"/>
      <c r="M59" s="485"/>
      <c r="N59" s="485"/>
      <c r="O59" s="485"/>
      <c r="P59" s="111"/>
    </row>
    <row r="60" spans="1:16" ht="21.75" customHeight="1" thickTop="1" thickBot="1" x14ac:dyDescent="0.25">
      <c r="A60" s="95" t="s">
        <v>33</v>
      </c>
      <c r="B60" s="459" t="s">
        <v>420</v>
      </c>
      <c r="C60" s="459"/>
      <c r="D60" s="459"/>
      <c r="E60" s="459"/>
      <c r="F60" s="459"/>
      <c r="G60" s="459"/>
      <c r="H60" s="459"/>
      <c r="I60" s="459"/>
      <c r="J60" s="459"/>
      <c r="K60" s="109">
        <v>0</v>
      </c>
      <c r="L60" s="484"/>
      <c r="M60" s="485"/>
      <c r="N60" s="485"/>
      <c r="O60" s="485"/>
    </row>
    <row r="61" spans="1:16" ht="21.75" customHeight="1" thickTop="1" thickBot="1" x14ac:dyDescent="0.25">
      <c r="A61" s="95" t="s">
        <v>35</v>
      </c>
      <c r="B61" s="459" t="s">
        <v>87</v>
      </c>
      <c r="C61" s="459"/>
      <c r="D61" s="459"/>
      <c r="E61" s="459"/>
      <c r="F61" s="459"/>
      <c r="G61" s="459"/>
      <c r="H61" s="459"/>
      <c r="I61" s="459"/>
      <c r="J61" s="459"/>
      <c r="K61" s="109">
        <v>0</v>
      </c>
      <c r="L61" s="484"/>
      <c r="M61" s="485"/>
      <c r="N61" s="485"/>
      <c r="O61" s="485"/>
    </row>
    <row r="62" spans="1:16" ht="21.75" customHeight="1" thickTop="1" thickBot="1" x14ac:dyDescent="0.25">
      <c r="A62" s="95"/>
      <c r="B62" s="442" t="s">
        <v>47</v>
      </c>
      <c r="C62" s="442"/>
      <c r="D62" s="442"/>
      <c r="E62" s="442"/>
      <c r="F62" s="442"/>
      <c r="G62" s="442"/>
      <c r="H62" s="442"/>
      <c r="I62" s="442"/>
      <c r="J62" s="442"/>
      <c r="K62" s="105">
        <f>SUM(K57:K61)</f>
        <v>0</v>
      </c>
    </row>
    <row r="63" spans="1:16" ht="21.75" customHeight="1" thickTop="1" x14ac:dyDescent="0.2">
      <c r="A63" s="464" t="s">
        <v>153</v>
      </c>
      <c r="B63" s="465"/>
      <c r="C63" s="465"/>
      <c r="D63" s="465"/>
      <c r="E63" s="465"/>
      <c r="F63" s="465"/>
      <c r="G63" s="465"/>
      <c r="H63" s="465"/>
      <c r="I63" s="465"/>
      <c r="J63" s="465"/>
      <c r="K63" s="466"/>
    </row>
    <row r="64" spans="1:16" ht="37.15" customHeight="1" thickBot="1" x14ac:dyDescent="0.25">
      <c r="A64" s="467"/>
      <c r="B64" s="468"/>
      <c r="C64" s="468"/>
      <c r="D64" s="468"/>
      <c r="E64" s="468"/>
      <c r="F64" s="468"/>
      <c r="G64" s="468"/>
      <c r="H64" s="468"/>
      <c r="I64" s="468"/>
      <c r="J64" s="468"/>
      <c r="K64" s="469"/>
    </row>
    <row r="65" spans="1:18" ht="21.75" customHeight="1" thickTop="1" thickBot="1" x14ac:dyDescent="0.25">
      <c r="A65" s="423" t="s">
        <v>64</v>
      </c>
      <c r="B65" s="424"/>
      <c r="C65" s="424"/>
      <c r="D65" s="424"/>
      <c r="E65" s="424"/>
      <c r="F65" s="424"/>
      <c r="G65" s="424"/>
      <c r="H65" s="424"/>
      <c r="I65" s="424"/>
      <c r="J65" s="424"/>
      <c r="K65" s="426"/>
    </row>
    <row r="66" spans="1:18" ht="21.75" customHeight="1" thickTop="1" thickBot="1" x14ac:dyDescent="0.25">
      <c r="A66" s="118" t="s">
        <v>65</v>
      </c>
      <c r="B66" s="455" t="s">
        <v>154</v>
      </c>
      <c r="C66" s="455"/>
      <c r="D66" s="455"/>
      <c r="E66" s="455"/>
      <c r="F66" s="455"/>
      <c r="G66" s="455"/>
      <c r="H66" s="455"/>
      <c r="I66" s="455"/>
      <c r="J66" s="119">
        <f>J40</f>
        <v>0.19440000000000002</v>
      </c>
      <c r="K66" s="120">
        <f>K40</f>
        <v>0</v>
      </c>
    </row>
    <row r="67" spans="1:18" ht="21.75" customHeight="1" thickTop="1" thickBot="1" x14ac:dyDescent="0.25">
      <c r="A67" s="118" t="s">
        <v>67</v>
      </c>
      <c r="B67" s="455" t="s">
        <v>68</v>
      </c>
      <c r="C67" s="455"/>
      <c r="D67" s="455"/>
      <c r="E67" s="455"/>
      <c r="F67" s="455"/>
      <c r="G67" s="455"/>
      <c r="H67" s="455"/>
      <c r="I67" s="455"/>
      <c r="J67" s="119">
        <f>J52</f>
        <v>0.36800000000000005</v>
      </c>
      <c r="K67" s="120">
        <f>K52</f>
        <v>0</v>
      </c>
    </row>
    <row r="68" spans="1:18" ht="21.75" customHeight="1" thickTop="1" thickBot="1" x14ac:dyDescent="0.25">
      <c r="A68" s="118" t="s">
        <v>69</v>
      </c>
      <c r="B68" s="455" t="s">
        <v>70</v>
      </c>
      <c r="C68" s="455"/>
      <c r="D68" s="455"/>
      <c r="E68" s="455"/>
      <c r="F68" s="455"/>
      <c r="G68" s="455"/>
      <c r="H68" s="455"/>
      <c r="I68" s="455"/>
      <c r="J68" s="455"/>
      <c r="K68" s="120">
        <f>K62</f>
        <v>0</v>
      </c>
    </row>
    <row r="69" spans="1:18" ht="21.75" customHeight="1" thickTop="1" thickBot="1" x14ac:dyDescent="0.25">
      <c r="A69" s="95"/>
      <c r="B69" s="442" t="s">
        <v>47</v>
      </c>
      <c r="C69" s="442"/>
      <c r="D69" s="442"/>
      <c r="E69" s="442"/>
      <c r="F69" s="442"/>
      <c r="G69" s="442"/>
      <c r="H69" s="442"/>
      <c r="I69" s="442"/>
      <c r="J69" s="442"/>
      <c r="K69" s="105">
        <f>ROUND((K66+K67+K68),2)</f>
        <v>0</v>
      </c>
    </row>
    <row r="70" spans="1:18" s="121" customFormat="1" ht="21.75" customHeight="1" thickTop="1" thickBot="1" x14ac:dyDescent="0.3">
      <c r="A70" s="482"/>
      <c r="B70" s="483"/>
      <c r="C70" s="483"/>
      <c r="D70" s="483"/>
      <c r="E70" s="483"/>
      <c r="F70" s="483"/>
      <c r="G70" s="483"/>
      <c r="H70" s="483"/>
      <c r="I70" s="483"/>
      <c r="J70" s="483"/>
      <c r="K70" s="483"/>
    </row>
    <row r="71" spans="1:18" s="121" customFormat="1" ht="21.75" customHeight="1" thickTop="1" thickBot="1" x14ac:dyDescent="0.3">
      <c r="A71" s="423" t="s">
        <v>71</v>
      </c>
      <c r="B71" s="424"/>
      <c r="C71" s="424"/>
      <c r="D71" s="424"/>
      <c r="E71" s="424"/>
      <c r="F71" s="424"/>
      <c r="G71" s="424"/>
      <c r="H71" s="424"/>
      <c r="I71" s="424"/>
      <c r="J71" s="424"/>
      <c r="K71" s="426"/>
    </row>
    <row r="72" spans="1:18" s="121" customFormat="1" ht="21.75" customHeight="1" thickTop="1" thickBot="1" x14ac:dyDescent="0.3">
      <c r="A72" s="122" t="s">
        <v>23</v>
      </c>
      <c r="B72" s="459" t="s">
        <v>72</v>
      </c>
      <c r="C72" s="459"/>
      <c r="D72" s="459"/>
      <c r="E72" s="459"/>
      <c r="F72" s="459"/>
      <c r="G72" s="459"/>
      <c r="H72" s="459"/>
      <c r="I72" s="459"/>
      <c r="J72" s="123">
        <f>L72</f>
        <v>4.1666666666666666E-3</v>
      </c>
      <c r="K72" s="124">
        <f>J72*$K$33</f>
        <v>0</v>
      </c>
      <c r="L72" s="478">
        <f>0.05*(1/12)</f>
        <v>4.1666666666666666E-3</v>
      </c>
      <c r="M72" s="479"/>
      <c r="N72" s="121" t="s">
        <v>73</v>
      </c>
    </row>
    <row r="73" spans="1:18" s="121" customFormat="1" ht="21.75" customHeight="1" thickTop="1" thickBot="1" x14ac:dyDescent="0.3">
      <c r="A73" s="122" t="s">
        <v>25</v>
      </c>
      <c r="B73" s="459" t="s">
        <v>74</v>
      </c>
      <c r="C73" s="459"/>
      <c r="D73" s="459"/>
      <c r="E73" s="459"/>
      <c r="F73" s="459"/>
      <c r="G73" s="459"/>
      <c r="H73" s="459"/>
      <c r="I73" s="459"/>
      <c r="J73" s="123">
        <f>L73</f>
        <v>3.3333333333333332E-4</v>
      </c>
      <c r="K73" s="124">
        <f t="shared" ref="K73:K75" si="0">J73*$K$33</f>
        <v>0</v>
      </c>
      <c r="L73" s="480">
        <f>0.08*J72</f>
        <v>3.3333333333333332E-4</v>
      </c>
      <c r="M73" s="481"/>
    </row>
    <row r="74" spans="1:18" s="121" customFormat="1" ht="28.15" customHeight="1" thickTop="1" thickBot="1" x14ac:dyDescent="0.3">
      <c r="A74" s="122" t="s">
        <v>28</v>
      </c>
      <c r="B74" s="472" t="s">
        <v>75</v>
      </c>
      <c r="C74" s="472"/>
      <c r="D74" s="472"/>
      <c r="E74" s="472"/>
      <c r="F74" s="472"/>
      <c r="G74" s="472"/>
      <c r="H74" s="472"/>
      <c r="I74" s="472"/>
      <c r="J74" s="125">
        <f>L74</f>
        <v>3.4799999999999998E-2</v>
      </c>
      <c r="K74" s="124">
        <f t="shared" si="0"/>
        <v>0</v>
      </c>
      <c r="L74" s="473">
        <f>(0.08*(0.4)*0.9)*((1+5/56+5/56)+(1/3*5/56))</f>
        <v>3.4799999999999998E-2</v>
      </c>
      <c r="M74" s="474"/>
      <c r="N74" s="126"/>
      <c r="O74" s="127"/>
      <c r="P74" s="127"/>
      <c r="Q74" s="127"/>
      <c r="R74" s="127"/>
    </row>
    <row r="75" spans="1:18" s="121" customFormat="1" ht="21.75" customHeight="1" thickTop="1" thickBot="1" x14ac:dyDescent="0.3">
      <c r="A75" s="122" t="s">
        <v>33</v>
      </c>
      <c r="B75" s="459" t="s">
        <v>76</v>
      </c>
      <c r="C75" s="459"/>
      <c r="D75" s="459"/>
      <c r="E75" s="459"/>
      <c r="F75" s="459"/>
      <c r="G75" s="459"/>
      <c r="H75" s="459"/>
      <c r="I75" s="459"/>
      <c r="J75" s="125">
        <f>L75</f>
        <v>1.9444444444444445E-2</v>
      </c>
      <c r="K75" s="124">
        <f t="shared" si="0"/>
        <v>0</v>
      </c>
      <c r="L75" s="473">
        <f>(7/30)/12</f>
        <v>1.9444444444444445E-2</v>
      </c>
      <c r="M75" s="474"/>
    </row>
    <row r="76" spans="1:18" s="121" customFormat="1" ht="30" customHeight="1" thickTop="1" thickBot="1" x14ac:dyDescent="0.3">
      <c r="A76" s="122" t="s">
        <v>35</v>
      </c>
      <c r="B76" s="459" t="s">
        <v>77</v>
      </c>
      <c r="C76" s="459"/>
      <c r="D76" s="459"/>
      <c r="E76" s="459"/>
      <c r="F76" s="459"/>
      <c r="G76" s="459"/>
      <c r="H76" s="459"/>
      <c r="I76" s="459"/>
      <c r="J76" s="123">
        <f>J52*J75</f>
        <v>7.1555555555555565E-3</v>
      </c>
      <c r="K76" s="124">
        <f>K33*J76</f>
        <v>0</v>
      </c>
      <c r="L76" s="470">
        <f>J75*J52</f>
        <v>7.1555555555555565E-3</v>
      </c>
      <c r="M76" s="471"/>
      <c r="N76" s="128"/>
    </row>
    <row r="77" spans="1:18" s="121" customFormat="1" ht="30" customHeight="1" thickTop="1" thickBot="1" x14ac:dyDescent="0.3">
      <c r="A77" s="122" t="s">
        <v>37</v>
      </c>
      <c r="B77" s="472" t="s">
        <v>78</v>
      </c>
      <c r="C77" s="472"/>
      <c r="D77" s="472"/>
      <c r="E77" s="472"/>
      <c r="F77" s="472"/>
      <c r="G77" s="472"/>
      <c r="H77" s="472"/>
      <c r="I77" s="472"/>
      <c r="J77" s="123">
        <f>L77</f>
        <v>6.2222222222222225E-4</v>
      </c>
      <c r="K77" s="124">
        <f>J77*(K33+K40)</f>
        <v>0</v>
      </c>
      <c r="L77" s="473">
        <f>0.08*(0.4)*J75</f>
        <v>6.2222222222222225E-4</v>
      </c>
      <c r="M77" s="474"/>
      <c r="O77" s="129"/>
    </row>
    <row r="78" spans="1:18" s="121" customFormat="1" ht="21.75" customHeight="1" thickTop="1" thickBot="1" x14ac:dyDescent="0.3">
      <c r="A78" s="423" t="s">
        <v>47</v>
      </c>
      <c r="B78" s="424"/>
      <c r="C78" s="424"/>
      <c r="D78" s="424"/>
      <c r="E78" s="424"/>
      <c r="F78" s="424"/>
      <c r="G78" s="424"/>
      <c r="H78" s="424"/>
      <c r="I78" s="424"/>
      <c r="J78" s="130"/>
      <c r="K78" s="131">
        <f>ROUND(K72+K73+K74+K75+K76+K77,2)</f>
        <v>0</v>
      </c>
    </row>
    <row r="79" spans="1:18" s="121" customFormat="1" ht="21.75" customHeight="1" thickTop="1" x14ac:dyDescent="0.25">
      <c r="A79" s="464" t="s">
        <v>155</v>
      </c>
      <c r="B79" s="465"/>
      <c r="C79" s="465"/>
      <c r="D79" s="465"/>
      <c r="E79" s="465"/>
      <c r="F79" s="465"/>
      <c r="G79" s="465"/>
      <c r="H79" s="465"/>
      <c r="I79" s="465"/>
      <c r="J79" s="465"/>
      <c r="K79" s="466"/>
    </row>
    <row r="80" spans="1:18" s="121" customFormat="1" ht="21.75" customHeight="1" x14ac:dyDescent="0.25">
      <c r="A80" s="475"/>
      <c r="B80" s="476"/>
      <c r="C80" s="476"/>
      <c r="D80" s="476"/>
      <c r="E80" s="476"/>
      <c r="F80" s="476"/>
      <c r="G80" s="476"/>
      <c r="H80" s="476"/>
      <c r="I80" s="476"/>
      <c r="J80" s="476"/>
      <c r="K80" s="477"/>
    </row>
    <row r="81" spans="1:18" s="121" customFormat="1" ht="12.6" customHeight="1" thickBot="1" x14ac:dyDescent="0.3">
      <c r="A81" s="467"/>
      <c r="B81" s="468"/>
      <c r="C81" s="468"/>
      <c r="D81" s="468"/>
      <c r="E81" s="468"/>
      <c r="F81" s="468"/>
      <c r="G81" s="468"/>
      <c r="H81" s="468"/>
      <c r="I81" s="468"/>
      <c r="J81" s="468"/>
      <c r="K81" s="469"/>
    </row>
    <row r="82" spans="1:18" s="121" customFormat="1" ht="21.75" customHeight="1" thickTop="1" thickBot="1" x14ac:dyDescent="0.3">
      <c r="A82" s="423" t="s">
        <v>80</v>
      </c>
      <c r="B82" s="424"/>
      <c r="C82" s="424"/>
      <c r="D82" s="424"/>
      <c r="E82" s="424"/>
      <c r="F82" s="424"/>
      <c r="G82" s="424"/>
      <c r="H82" s="424"/>
      <c r="I82" s="424"/>
      <c r="J82" s="424"/>
      <c r="K82" s="426"/>
    </row>
    <row r="83" spans="1:18" s="121" customFormat="1" ht="21.75" customHeight="1" thickTop="1" thickBot="1" x14ac:dyDescent="0.3">
      <c r="A83" s="423" t="s">
        <v>144</v>
      </c>
      <c r="B83" s="424"/>
      <c r="C83" s="424"/>
      <c r="D83" s="424"/>
      <c r="E83" s="424"/>
      <c r="F83" s="424"/>
      <c r="G83" s="424"/>
      <c r="H83" s="424"/>
      <c r="I83" s="424"/>
      <c r="J83" s="424"/>
      <c r="K83" s="426"/>
    </row>
    <row r="84" spans="1:18" s="121" customFormat="1" ht="21.75" customHeight="1" thickTop="1" thickBot="1" x14ac:dyDescent="0.3">
      <c r="A84" s="132" t="s">
        <v>23</v>
      </c>
      <c r="B84" s="459" t="s">
        <v>82</v>
      </c>
      <c r="C84" s="459"/>
      <c r="D84" s="459"/>
      <c r="E84" s="459"/>
      <c r="F84" s="459"/>
      <c r="G84" s="459"/>
      <c r="H84" s="459"/>
      <c r="I84" s="459"/>
      <c r="J84" s="125">
        <f>L84</f>
        <v>9.0909090909090912E-2</v>
      </c>
      <c r="K84" s="124">
        <f>J84*$K$33</f>
        <v>0</v>
      </c>
      <c r="L84" s="133">
        <f>(5/55)</f>
        <v>9.0909090909090912E-2</v>
      </c>
      <c r="M84" s="134"/>
    </row>
    <row r="85" spans="1:18" s="121" customFormat="1" ht="21.75" customHeight="1" thickTop="1" thickBot="1" x14ac:dyDescent="0.3">
      <c r="A85" s="132" t="s">
        <v>25</v>
      </c>
      <c r="B85" s="459" t="s">
        <v>83</v>
      </c>
      <c r="C85" s="459"/>
      <c r="D85" s="459"/>
      <c r="E85" s="459"/>
      <c r="F85" s="459"/>
      <c r="G85" s="459"/>
      <c r="H85" s="459"/>
      <c r="I85" s="459"/>
      <c r="J85" s="123">
        <f>L85</f>
        <v>1.3698630136986301E-2</v>
      </c>
      <c r="K85" s="124">
        <f t="shared" ref="K85:K89" si="1">J85*$K$33</f>
        <v>0</v>
      </c>
      <c r="L85" s="133">
        <f>5/365</f>
        <v>1.3698630136986301E-2</v>
      </c>
      <c r="M85" s="135"/>
      <c r="N85" s="136"/>
      <c r="O85" s="136"/>
      <c r="P85" s="136"/>
    </row>
    <row r="86" spans="1:18" s="121" customFormat="1" ht="21.75" customHeight="1" thickTop="1" thickBot="1" x14ac:dyDescent="0.3">
      <c r="A86" s="132" t="s">
        <v>28</v>
      </c>
      <c r="B86" s="459" t="s">
        <v>84</v>
      </c>
      <c r="C86" s="459"/>
      <c r="D86" s="459"/>
      <c r="E86" s="459"/>
      <c r="F86" s="459"/>
      <c r="G86" s="459"/>
      <c r="H86" s="459"/>
      <c r="I86" s="459"/>
      <c r="J86" s="123">
        <f>L86</f>
        <v>2.0547945205479451E-4</v>
      </c>
      <c r="K86" s="124">
        <f t="shared" si="1"/>
        <v>0</v>
      </c>
      <c r="L86" s="133">
        <f>5/365*0.015</f>
        <v>2.0547945205479451E-4</v>
      </c>
      <c r="M86" s="137"/>
    </row>
    <row r="87" spans="1:18" s="121" customFormat="1" ht="21.75" customHeight="1" thickTop="1" thickBot="1" x14ac:dyDescent="0.3">
      <c r="A87" s="132" t="s">
        <v>33</v>
      </c>
      <c r="B87" s="459" t="s">
        <v>85</v>
      </c>
      <c r="C87" s="459"/>
      <c r="D87" s="459"/>
      <c r="E87" s="459"/>
      <c r="F87" s="459"/>
      <c r="G87" s="459"/>
      <c r="H87" s="459"/>
      <c r="I87" s="459"/>
      <c r="J87" s="123">
        <f>L87</f>
        <v>3.2876712328767121E-3</v>
      </c>
      <c r="K87" s="124">
        <f t="shared" si="1"/>
        <v>0</v>
      </c>
      <c r="L87" s="133">
        <f>15/365*0.08</f>
        <v>3.2876712328767121E-3</v>
      </c>
      <c r="M87" s="137"/>
    </row>
    <row r="88" spans="1:18" s="121" customFormat="1" ht="21.75" customHeight="1" thickTop="1" thickBot="1" x14ac:dyDescent="0.3">
      <c r="A88" s="132" t="s">
        <v>35</v>
      </c>
      <c r="B88" s="459" t="s">
        <v>86</v>
      </c>
      <c r="C88" s="459"/>
      <c r="D88" s="459"/>
      <c r="E88" s="459"/>
      <c r="F88" s="459"/>
      <c r="G88" s="459"/>
      <c r="H88" s="459"/>
      <c r="I88" s="459"/>
      <c r="J88" s="123">
        <f>M88</f>
        <v>1.6133333333333334E-3</v>
      </c>
      <c r="K88" s="124">
        <f t="shared" si="1"/>
        <v>0</v>
      </c>
      <c r="L88"/>
      <c r="M88" s="138">
        <f>((0.121*4)/12*0.04)</f>
        <v>1.6133333333333334E-3</v>
      </c>
      <c r="N88" s="139"/>
      <c r="Q88" s="140"/>
      <c r="R88" s="141"/>
    </row>
    <row r="89" spans="1:18" s="121" customFormat="1" ht="21.75" customHeight="1" thickTop="1" thickBot="1" x14ac:dyDescent="0.3">
      <c r="A89" s="132" t="s">
        <v>37</v>
      </c>
      <c r="B89" s="459" t="s">
        <v>87</v>
      </c>
      <c r="C89" s="459"/>
      <c r="D89" s="459"/>
      <c r="E89" s="459"/>
      <c r="F89" s="459"/>
      <c r="G89" s="459"/>
      <c r="H89" s="459"/>
      <c r="I89" s="459"/>
      <c r="J89" s="125">
        <v>0</v>
      </c>
      <c r="K89" s="124">
        <f t="shared" si="1"/>
        <v>0</v>
      </c>
      <c r="L89"/>
      <c r="M89" s="137"/>
    </row>
    <row r="90" spans="1:18" s="121" customFormat="1" ht="21.75" customHeight="1" thickTop="1" thickBot="1" x14ac:dyDescent="0.3">
      <c r="A90" s="132" t="s">
        <v>39</v>
      </c>
      <c r="B90" s="459" t="s">
        <v>88</v>
      </c>
      <c r="C90" s="459"/>
      <c r="D90" s="459"/>
      <c r="E90" s="459"/>
      <c r="F90" s="459"/>
      <c r="G90" s="459"/>
      <c r="H90" s="459"/>
      <c r="I90" s="459"/>
      <c r="J90" s="125">
        <f>(J84+J85+J86+J87+J88+J89)*J52</f>
        <v>4.0374827463677876E-2</v>
      </c>
      <c r="K90" s="124">
        <f>K33*J90</f>
        <v>0</v>
      </c>
      <c r="L90" s="137"/>
      <c r="M90" s="137"/>
      <c r="Q90" s="142"/>
    </row>
    <row r="91" spans="1:18" s="121" customFormat="1" ht="21.75" customHeight="1" thickTop="1" thickBot="1" x14ac:dyDescent="0.3">
      <c r="A91" s="423" t="s">
        <v>47</v>
      </c>
      <c r="B91" s="424"/>
      <c r="C91" s="424"/>
      <c r="D91" s="424"/>
      <c r="E91" s="424"/>
      <c r="F91" s="424"/>
      <c r="G91" s="424"/>
      <c r="H91" s="424"/>
      <c r="I91" s="426"/>
      <c r="J91" s="143">
        <f>SUM(J84:J90)</f>
        <v>0.15008903252801992</v>
      </c>
      <c r="K91" s="131">
        <f>ROUND(K84+K85+K86+K87+K88+K90,2)</f>
        <v>0</v>
      </c>
    </row>
    <row r="92" spans="1:18" s="121" customFormat="1" ht="21.75" customHeight="1" thickTop="1" x14ac:dyDescent="0.25">
      <c r="A92" s="464" t="s">
        <v>156</v>
      </c>
      <c r="B92" s="465"/>
      <c r="C92" s="465"/>
      <c r="D92" s="465"/>
      <c r="E92" s="465"/>
      <c r="F92" s="465"/>
      <c r="G92" s="465"/>
      <c r="H92" s="465"/>
      <c r="I92" s="465"/>
      <c r="J92" s="465"/>
      <c r="K92" s="466"/>
    </row>
    <row r="93" spans="1:18" s="121" customFormat="1" ht="27" customHeight="1" thickBot="1" x14ac:dyDescent="0.3">
      <c r="A93" s="467"/>
      <c r="B93" s="468"/>
      <c r="C93" s="468"/>
      <c r="D93" s="468"/>
      <c r="E93" s="468"/>
      <c r="F93" s="468"/>
      <c r="G93" s="468"/>
      <c r="H93" s="468"/>
      <c r="I93" s="468"/>
      <c r="J93" s="468"/>
      <c r="K93" s="469"/>
    </row>
    <row r="94" spans="1:18" s="121" customFormat="1" ht="21.75" customHeight="1" thickTop="1" thickBot="1" x14ac:dyDescent="0.3">
      <c r="A94" s="423" t="s">
        <v>90</v>
      </c>
      <c r="B94" s="424"/>
      <c r="C94" s="424"/>
      <c r="D94" s="424"/>
      <c r="E94" s="424"/>
      <c r="F94" s="424"/>
      <c r="G94" s="424"/>
      <c r="H94" s="424"/>
      <c r="I94" s="424"/>
      <c r="J94" s="424"/>
      <c r="K94" s="426"/>
    </row>
    <row r="95" spans="1:18" s="121" customFormat="1" ht="21.75" customHeight="1" thickTop="1" thickBot="1" x14ac:dyDescent="0.25">
      <c r="A95" s="95" t="s">
        <v>23</v>
      </c>
      <c r="B95" s="459" t="s">
        <v>91</v>
      </c>
      <c r="C95" s="459"/>
      <c r="D95" s="459"/>
      <c r="E95" s="459"/>
      <c r="F95" s="459"/>
      <c r="G95" s="459"/>
      <c r="H95" s="459"/>
      <c r="I95" s="459"/>
      <c r="J95" s="144">
        <v>0</v>
      </c>
      <c r="K95" s="102">
        <f>J95*L95</f>
        <v>0</v>
      </c>
      <c r="L95" s="136"/>
      <c r="M95" s="127"/>
      <c r="R95" s="145"/>
    </row>
    <row r="96" spans="1:18" s="121" customFormat="1" ht="21.75" customHeight="1" thickTop="1" thickBot="1" x14ac:dyDescent="0.3">
      <c r="A96" s="95"/>
      <c r="B96" s="460" t="s">
        <v>47</v>
      </c>
      <c r="C96" s="460"/>
      <c r="D96" s="460"/>
      <c r="E96" s="460"/>
      <c r="F96" s="460"/>
      <c r="G96" s="460"/>
      <c r="H96" s="460"/>
      <c r="I96" s="460"/>
      <c r="J96" s="146"/>
      <c r="K96" s="102">
        <f>K95</f>
        <v>0</v>
      </c>
      <c r="L96" s="136"/>
    </row>
    <row r="97" spans="1:13" s="121" customFormat="1" ht="35.450000000000003" customHeight="1" thickTop="1" thickBot="1" x14ac:dyDescent="0.3">
      <c r="A97" s="439" t="s">
        <v>157</v>
      </c>
      <c r="B97" s="440"/>
      <c r="C97" s="440"/>
      <c r="D97" s="440"/>
      <c r="E97" s="440"/>
      <c r="F97" s="440"/>
      <c r="G97" s="440"/>
      <c r="H97" s="440"/>
      <c r="I97" s="440"/>
      <c r="J97" s="440"/>
      <c r="K97" s="441"/>
    </row>
    <row r="98" spans="1:13" s="121" customFormat="1" ht="21.75" customHeight="1" thickTop="1" thickBot="1" x14ac:dyDescent="0.3">
      <c r="A98" s="423" t="s">
        <v>93</v>
      </c>
      <c r="B98" s="424"/>
      <c r="C98" s="424"/>
      <c r="D98" s="424"/>
      <c r="E98" s="424"/>
      <c r="F98" s="424"/>
      <c r="G98" s="424"/>
      <c r="H98" s="424"/>
      <c r="I98" s="424"/>
      <c r="J98" s="424"/>
      <c r="K98" s="426"/>
    </row>
    <row r="99" spans="1:13" s="121" customFormat="1" ht="21.75" customHeight="1" thickTop="1" thickBot="1" x14ac:dyDescent="0.3">
      <c r="A99" s="95" t="s">
        <v>94</v>
      </c>
      <c r="B99" s="461" t="s">
        <v>95</v>
      </c>
      <c r="C99" s="462"/>
      <c r="D99" s="462"/>
      <c r="E99" s="462"/>
      <c r="F99" s="462"/>
      <c r="G99" s="462"/>
      <c r="H99" s="462"/>
      <c r="I99" s="462"/>
      <c r="J99" s="463"/>
      <c r="K99" s="104">
        <f>K91</f>
        <v>0</v>
      </c>
    </row>
    <row r="100" spans="1:13" s="121" customFormat="1" ht="21.75" customHeight="1" thickTop="1" thickBot="1" x14ac:dyDescent="0.3">
      <c r="A100" s="95" t="s">
        <v>96</v>
      </c>
      <c r="B100" s="461" t="s">
        <v>97</v>
      </c>
      <c r="C100" s="462"/>
      <c r="D100" s="462"/>
      <c r="E100" s="462"/>
      <c r="F100" s="462"/>
      <c r="G100" s="462"/>
      <c r="H100" s="462"/>
      <c r="I100" s="462"/>
      <c r="J100" s="463"/>
      <c r="K100" s="104">
        <f>K96</f>
        <v>0</v>
      </c>
    </row>
    <row r="101" spans="1:13" s="121" customFormat="1" ht="21.75" customHeight="1" thickTop="1" thickBot="1" x14ac:dyDescent="0.3">
      <c r="A101" s="95"/>
      <c r="B101" s="442" t="s">
        <v>47</v>
      </c>
      <c r="C101" s="442"/>
      <c r="D101" s="442"/>
      <c r="E101" s="442"/>
      <c r="F101" s="442"/>
      <c r="G101" s="442"/>
      <c r="H101" s="442"/>
      <c r="I101" s="442"/>
      <c r="J101" s="442"/>
      <c r="K101" s="131">
        <f>K99+K100</f>
        <v>0</v>
      </c>
    </row>
    <row r="102" spans="1:13" s="121" customFormat="1" ht="21.75" customHeight="1" thickTop="1" thickBot="1" x14ac:dyDescent="0.3">
      <c r="A102" s="439"/>
      <c r="B102" s="440"/>
      <c r="C102" s="440"/>
      <c r="D102" s="440"/>
      <c r="E102" s="440"/>
      <c r="F102" s="440"/>
      <c r="G102" s="440"/>
      <c r="H102" s="440"/>
      <c r="I102" s="440"/>
      <c r="J102" s="440"/>
      <c r="K102" s="441"/>
    </row>
    <row r="103" spans="1:13" ht="21.75" customHeight="1" thickTop="1" thickBot="1" x14ac:dyDescent="0.25">
      <c r="A103" s="423" t="s">
        <v>98</v>
      </c>
      <c r="B103" s="424"/>
      <c r="C103" s="424"/>
      <c r="D103" s="424"/>
      <c r="E103" s="424"/>
      <c r="F103" s="424"/>
      <c r="G103" s="424"/>
      <c r="H103" s="424"/>
      <c r="I103" s="424"/>
      <c r="J103" s="426"/>
      <c r="K103" s="95" t="s">
        <v>99</v>
      </c>
    </row>
    <row r="104" spans="1:13" ht="21.75" customHeight="1" thickTop="1" thickBot="1" x14ac:dyDescent="0.25">
      <c r="A104" s="95" t="s">
        <v>23</v>
      </c>
      <c r="B104" s="455" t="s">
        <v>100</v>
      </c>
      <c r="C104" s="455"/>
      <c r="D104" s="455"/>
      <c r="E104" s="455"/>
      <c r="F104" s="455"/>
      <c r="G104" s="455"/>
      <c r="H104" s="455"/>
      <c r="I104" s="455"/>
      <c r="J104" s="455"/>
      <c r="K104" s="147">
        <f>'Insumos Aeroporto do Recife'!E66</f>
        <v>0</v>
      </c>
    </row>
    <row r="105" spans="1:13" ht="21.75" customHeight="1" thickTop="1" thickBot="1" x14ac:dyDescent="0.25">
      <c r="A105" s="95" t="s">
        <v>25</v>
      </c>
      <c r="B105" s="455" t="s">
        <v>101</v>
      </c>
      <c r="C105" s="455"/>
      <c r="D105" s="455"/>
      <c r="E105" s="456" t="s">
        <v>102</v>
      </c>
      <c r="F105" s="456"/>
      <c r="G105" s="456"/>
      <c r="H105" s="456"/>
      <c r="I105" s="456"/>
      <c r="J105" s="456"/>
      <c r="K105" s="147">
        <f>'Insumos Aeroporto do Recife'!B52</f>
        <v>0</v>
      </c>
    </row>
    <row r="106" spans="1:13" ht="21.75" customHeight="1" thickTop="1" thickBot="1" x14ac:dyDescent="0.25">
      <c r="A106" s="95" t="s">
        <v>28</v>
      </c>
      <c r="B106" s="455" t="s">
        <v>103</v>
      </c>
      <c r="C106" s="455"/>
      <c r="D106" s="455"/>
      <c r="E106" s="456" t="s">
        <v>102</v>
      </c>
      <c r="F106" s="456"/>
      <c r="G106" s="456"/>
      <c r="H106" s="456"/>
      <c r="I106" s="456"/>
      <c r="J106" s="456"/>
      <c r="K106" s="147">
        <f>'Insumos Aeroporto do Recife'!B51+'Insumos Aeroporto do Recife'!B50</f>
        <v>0</v>
      </c>
    </row>
    <row r="107" spans="1:13" ht="21.75" customHeight="1" thickTop="1" thickBot="1" x14ac:dyDescent="0.25">
      <c r="A107" s="442" t="s">
        <v>33</v>
      </c>
      <c r="B107" s="457" t="s">
        <v>87</v>
      </c>
      <c r="C107" s="457"/>
      <c r="D107" s="458" t="s">
        <v>104</v>
      </c>
      <c r="E107" s="458"/>
      <c r="F107" s="458"/>
      <c r="G107" s="458"/>
      <c r="H107" s="458"/>
      <c r="I107" s="458"/>
      <c r="J107" s="458"/>
      <c r="K107" s="147">
        <v>0</v>
      </c>
    </row>
    <row r="108" spans="1:13" ht="21.75" customHeight="1" thickTop="1" thickBot="1" x14ac:dyDescent="0.25">
      <c r="A108" s="442"/>
      <c r="B108" s="457"/>
      <c r="C108" s="457"/>
      <c r="D108" s="458" t="s">
        <v>104</v>
      </c>
      <c r="E108" s="458"/>
      <c r="F108" s="458"/>
      <c r="G108" s="458"/>
      <c r="H108" s="458"/>
      <c r="I108" s="458"/>
      <c r="J108" s="458"/>
      <c r="K108" s="147">
        <f>J108*K33</f>
        <v>0</v>
      </c>
    </row>
    <row r="109" spans="1:13" s="121" customFormat="1" ht="21.75" customHeight="1" thickTop="1" thickBot="1" x14ac:dyDescent="0.3">
      <c r="A109" s="423" t="s">
        <v>105</v>
      </c>
      <c r="B109" s="424"/>
      <c r="C109" s="424"/>
      <c r="D109" s="424"/>
      <c r="E109" s="424"/>
      <c r="F109" s="424"/>
      <c r="G109" s="424"/>
      <c r="H109" s="424"/>
      <c r="I109" s="424"/>
      <c r="J109" s="426"/>
      <c r="K109" s="131">
        <f>SUM(K104:K108)</f>
        <v>0</v>
      </c>
    </row>
    <row r="110" spans="1:13" s="121" customFormat="1" ht="21.75" customHeight="1" thickTop="1" thickBot="1" x14ac:dyDescent="0.3">
      <c r="A110" s="439" t="s">
        <v>158</v>
      </c>
      <c r="B110" s="440"/>
      <c r="C110" s="440"/>
      <c r="D110" s="440"/>
      <c r="E110" s="440"/>
      <c r="F110" s="440"/>
      <c r="G110" s="440"/>
      <c r="H110" s="440"/>
      <c r="I110" s="440"/>
      <c r="J110" s="440"/>
      <c r="K110" s="441"/>
    </row>
    <row r="111" spans="1:13" s="121" customFormat="1" ht="21.75" customHeight="1" thickTop="1" thickBot="1" x14ac:dyDescent="0.3">
      <c r="A111" s="423" t="s">
        <v>107</v>
      </c>
      <c r="B111" s="424"/>
      <c r="C111" s="424"/>
      <c r="D111" s="424"/>
      <c r="E111" s="424"/>
      <c r="F111" s="424"/>
      <c r="G111" s="424"/>
      <c r="H111" s="424"/>
      <c r="I111" s="424"/>
      <c r="J111" s="426"/>
      <c r="K111" s="95" t="s">
        <v>22</v>
      </c>
    </row>
    <row r="112" spans="1:13" s="121" customFormat="1" ht="21.75" customHeight="1" thickTop="1" thickBot="1" x14ac:dyDescent="0.3">
      <c r="A112" s="95" t="s">
        <v>23</v>
      </c>
      <c r="B112" s="86" t="s">
        <v>108</v>
      </c>
      <c r="C112" s="86"/>
      <c r="D112" s="86"/>
      <c r="E112" s="86"/>
      <c r="F112" s="86"/>
      <c r="G112" s="86"/>
      <c r="H112" s="86"/>
      <c r="I112" s="86"/>
      <c r="J112" s="340">
        <v>0.03</v>
      </c>
      <c r="K112" s="124">
        <f>J112*K132</f>
        <v>0</v>
      </c>
      <c r="L112" s="137" t="s">
        <v>109</v>
      </c>
      <c r="M112" s="137"/>
    </row>
    <row r="113" spans="1:13" s="121" customFormat="1" ht="21.75" customHeight="1" thickTop="1" thickBot="1" x14ac:dyDescent="0.3">
      <c r="A113" s="95" t="s">
        <v>25</v>
      </c>
      <c r="B113" s="86" t="s">
        <v>110</v>
      </c>
      <c r="C113" s="86"/>
      <c r="D113" s="86"/>
      <c r="E113" s="86"/>
      <c r="F113" s="86"/>
      <c r="G113" s="86"/>
      <c r="H113" s="86"/>
      <c r="I113" s="86"/>
      <c r="J113" s="340">
        <v>6.7900000000000002E-2</v>
      </c>
      <c r="K113" s="124">
        <f>(K132+K112)*J113</f>
        <v>0</v>
      </c>
      <c r="L113" s="148"/>
      <c r="M113" s="137"/>
    </row>
    <row r="114" spans="1:13" s="121" customFormat="1" ht="21.75" customHeight="1" thickTop="1" thickBot="1" x14ac:dyDescent="0.3">
      <c r="A114" s="442" t="s">
        <v>28</v>
      </c>
      <c r="B114" s="86" t="s">
        <v>111</v>
      </c>
      <c r="C114" s="86"/>
      <c r="D114" s="86"/>
      <c r="E114" s="86"/>
      <c r="F114" s="86"/>
      <c r="G114" s="86"/>
      <c r="H114" s="86"/>
      <c r="I114" s="149" t="s">
        <v>112</v>
      </c>
      <c r="J114" s="136"/>
      <c r="K114" s="146"/>
    </row>
    <row r="115" spans="1:13" s="121" customFormat="1" ht="21.75" customHeight="1" thickTop="1" thickBot="1" x14ac:dyDescent="0.3">
      <c r="A115" s="442"/>
      <c r="B115" s="86"/>
      <c r="C115" s="150" t="s">
        <v>113</v>
      </c>
      <c r="D115" s="150"/>
      <c r="E115" s="150"/>
      <c r="F115" s="86" t="s">
        <v>114</v>
      </c>
      <c r="G115" s="151"/>
      <c r="H115" s="151"/>
      <c r="I115" s="443">
        <f>SUM(J115:J117)</f>
        <v>0.14250000000000002</v>
      </c>
      <c r="J115" s="152">
        <v>1.6500000000000001E-2</v>
      </c>
      <c r="K115" s="153">
        <f>((K132+K112+K113)/(1-I115))*J115</f>
        <v>0</v>
      </c>
    </row>
    <row r="116" spans="1:13" s="121" customFormat="1" ht="21.75" customHeight="1" thickTop="1" thickBot="1" x14ac:dyDescent="0.3">
      <c r="A116" s="442"/>
      <c r="B116" s="86"/>
      <c r="C116" s="86"/>
      <c r="D116" s="86"/>
      <c r="E116" s="86"/>
      <c r="F116" s="86" t="s">
        <v>115</v>
      </c>
      <c r="G116" s="151"/>
      <c r="H116" s="151"/>
      <c r="I116" s="444"/>
      <c r="J116" s="152">
        <v>7.5999999999999998E-2</v>
      </c>
      <c r="K116" s="153">
        <f>((K132+K112+K113)/(1-I115))*J116</f>
        <v>0</v>
      </c>
    </row>
    <row r="117" spans="1:13" s="121" customFormat="1" ht="21.75" customHeight="1" thickTop="1" thickBot="1" x14ac:dyDescent="0.3">
      <c r="A117" s="442"/>
      <c r="B117" s="150"/>
      <c r="C117" s="150" t="s">
        <v>116</v>
      </c>
      <c r="D117" s="150"/>
      <c r="E117" s="86"/>
      <c r="F117" s="86" t="s">
        <v>117</v>
      </c>
      <c r="G117" s="151"/>
      <c r="H117" s="151"/>
      <c r="I117" s="445"/>
      <c r="J117" s="152">
        <v>0.05</v>
      </c>
      <c r="K117" s="153">
        <f>((K132+K112+K113)/(1-I115))*J117</f>
        <v>0</v>
      </c>
    </row>
    <row r="118" spans="1:13" s="121" customFormat="1" ht="21.75" customHeight="1" thickTop="1" thickBot="1" x14ac:dyDescent="0.3">
      <c r="A118" s="154" t="s">
        <v>118</v>
      </c>
      <c r="B118" s="130"/>
      <c r="C118" s="130"/>
      <c r="D118" s="130"/>
      <c r="E118" s="130"/>
      <c r="F118" s="130"/>
      <c r="G118" s="130"/>
      <c r="H118" s="130"/>
      <c r="I118" s="130"/>
      <c r="J118" s="130"/>
      <c r="K118" s="131">
        <f>K112+K113+K115+K116+K117</f>
        <v>0</v>
      </c>
    </row>
    <row r="119" spans="1:13" s="121" customFormat="1" ht="37.15" customHeight="1" thickTop="1" thickBot="1" x14ac:dyDescent="0.3">
      <c r="A119" s="446" t="s">
        <v>159</v>
      </c>
      <c r="B119" s="447"/>
      <c r="C119" s="447"/>
      <c r="D119" s="447"/>
      <c r="E119" s="447"/>
      <c r="F119" s="447"/>
      <c r="G119" s="447"/>
      <c r="H119" s="447"/>
      <c r="I119" s="447"/>
      <c r="J119" s="447"/>
      <c r="K119" s="448"/>
    </row>
    <row r="120" spans="1:13" s="121" customFormat="1" ht="21.6" hidden="1" customHeight="1" x14ac:dyDescent="0.25">
      <c r="A120" s="449"/>
      <c r="B120" s="450"/>
      <c r="C120" s="450"/>
      <c r="D120" s="450"/>
      <c r="E120" s="450"/>
      <c r="F120" s="450"/>
      <c r="G120" s="450"/>
      <c r="H120" s="450"/>
      <c r="I120" s="450"/>
      <c r="J120" s="450"/>
      <c r="K120" s="451"/>
    </row>
    <row r="121" spans="1:13" s="121" customFormat="1" ht="21.6" hidden="1" customHeight="1" x14ac:dyDescent="0.25">
      <c r="A121" s="449"/>
      <c r="B121" s="450"/>
      <c r="C121" s="450"/>
      <c r="D121" s="450"/>
      <c r="E121" s="450"/>
      <c r="F121" s="450"/>
      <c r="G121" s="450"/>
      <c r="H121" s="450"/>
      <c r="I121" s="450"/>
      <c r="J121" s="450"/>
      <c r="K121" s="451"/>
    </row>
    <row r="122" spans="1:13" s="121" customFormat="1" ht="21.6" hidden="1" customHeight="1" x14ac:dyDescent="0.25">
      <c r="A122" s="449"/>
      <c r="B122" s="450"/>
      <c r="C122" s="450"/>
      <c r="D122" s="450"/>
      <c r="E122" s="450"/>
      <c r="F122" s="450"/>
      <c r="G122" s="450"/>
      <c r="H122" s="450"/>
      <c r="I122" s="450"/>
      <c r="J122" s="450"/>
      <c r="K122" s="451"/>
    </row>
    <row r="123" spans="1:13" s="121" customFormat="1" ht="21.6" hidden="1" customHeight="1" x14ac:dyDescent="0.25">
      <c r="A123" s="449"/>
      <c r="B123" s="450"/>
      <c r="C123" s="450"/>
      <c r="D123" s="450"/>
      <c r="E123" s="450"/>
      <c r="F123" s="450"/>
      <c r="G123" s="450"/>
      <c r="H123" s="450"/>
      <c r="I123" s="450"/>
      <c r="J123" s="450"/>
      <c r="K123" s="451"/>
    </row>
    <row r="124" spans="1:13" ht="21.6" hidden="1" customHeight="1" x14ac:dyDescent="0.2">
      <c r="A124" s="452"/>
      <c r="B124" s="453"/>
      <c r="C124" s="453"/>
      <c r="D124" s="453"/>
      <c r="E124" s="453"/>
      <c r="F124" s="453"/>
      <c r="G124" s="453"/>
      <c r="H124" s="453"/>
      <c r="I124" s="453"/>
      <c r="J124" s="453"/>
      <c r="K124" s="454"/>
    </row>
    <row r="125" spans="1:13" ht="21.75" customHeight="1" thickTop="1" thickBot="1" x14ac:dyDescent="0.25">
      <c r="A125" s="423" t="s">
        <v>120</v>
      </c>
      <c r="B125" s="424"/>
      <c r="C125" s="424"/>
      <c r="D125" s="424"/>
      <c r="E125" s="424"/>
      <c r="F125" s="424"/>
      <c r="G125" s="424"/>
      <c r="H125" s="424"/>
      <c r="I125" s="424"/>
      <c r="J125" s="424"/>
      <c r="K125" s="426"/>
    </row>
    <row r="126" spans="1:13" ht="21.75" customHeight="1" thickTop="1" thickBot="1" x14ac:dyDescent="0.25">
      <c r="A126" s="435" t="s">
        <v>121</v>
      </c>
      <c r="B126" s="436"/>
      <c r="C126" s="436"/>
      <c r="D126" s="436"/>
      <c r="E126" s="436"/>
      <c r="F126" s="436"/>
      <c r="G126" s="436"/>
      <c r="H126" s="436"/>
      <c r="I126" s="436"/>
      <c r="J126" s="437"/>
      <c r="K126" s="95" t="s">
        <v>99</v>
      </c>
    </row>
    <row r="127" spans="1:13" ht="21.75" customHeight="1" thickTop="1" thickBot="1" x14ac:dyDescent="0.25">
      <c r="A127" s="95" t="s">
        <v>23</v>
      </c>
      <c r="B127" s="427" t="s">
        <v>122</v>
      </c>
      <c r="C127" s="428"/>
      <c r="D127" s="428"/>
      <c r="E127" s="428"/>
      <c r="F127" s="428"/>
      <c r="G127" s="428"/>
      <c r="H127" s="428"/>
      <c r="I127" s="428"/>
      <c r="J127" s="429"/>
      <c r="K127" s="104">
        <f>K33</f>
        <v>0</v>
      </c>
    </row>
    <row r="128" spans="1:13" ht="21.75" customHeight="1" thickTop="1" thickBot="1" x14ac:dyDescent="0.25">
      <c r="A128" s="95" t="s">
        <v>25</v>
      </c>
      <c r="B128" s="438" t="s">
        <v>123</v>
      </c>
      <c r="C128" s="438"/>
      <c r="D128" s="438"/>
      <c r="E128" s="438"/>
      <c r="F128" s="438"/>
      <c r="G128" s="438"/>
      <c r="H128" s="438"/>
      <c r="I128" s="438"/>
      <c r="J128" s="438"/>
      <c r="K128" s="104">
        <f>K69</f>
        <v>0</v>
      </c>
    </row>
    <row r="129" spans="1:13" ht="21.75" customHeight="1" thickTop="1" thickBot="1" x14ac:dyDescent="0.25">
      <c r="A129" s="95" t="s">
        <v>28</v>
      </c>
      <c r="B129" s="427" t="s">
        <v>145</v>
      </c>
      <c r="C129" s="428"/>
      <c r="D129" s="428"/>
      <c r="E129" s="428"/>
      <c r="F129" s="428"/>
      <c r="G129" s="428"/>
      <c r="H129" s="428"/>
      <c r="I129" s="428"/>
      <c r="J129" s="429"/>
      <c r="K129" s="104">
        <f>K78</f>
        <v>0</v>
      </c>
    </row>
    <row r="130" spans="1:13" ht="21.75" customHeight="1" thickTop="1" thickBot="1" x14ac:dyDescent="0.25">
      <c r="A130" s="95" t="s">
        <v>33</v>
      </c>
      <c r="B130" s="427" t="s">
        <v>146</v>
      </c>
      <c r="C130" s="428"/>
      <c r="D130" s="428"/>
      <c r="E130" s="428"/>
      <c r="F130" s="428"/>
      <c r="G130" s="428"/>
      <c r="H130" s="428"/>
      <c r="I130" s="428"/>
      <c r="J130" s="429"/>
      <c r="K130" s="104">
        <f>K101</f>
        <v>0</v>
      </c>
    </row>
    <row r="131" spans="1:13" ht="21.75" customHeight="1" thickTop="1" thickBot="1" x14ac:dyDescent="0.25">
      <c r="A131" s="95" t="s">
        <v>35</v>
      </c>
      <c r="B131" s="427" t="s">
        <v>126</v>
      </c>
      <c r="C131" s="428"/>
      <c r="D131" s="428"/>
      <c r="E131" s="428"/>
      <c r="F131" s="428"/>
      <c r="G131" s="428"/>
      <c r="H131" s="428"/>
      <c r="I131" s="428"/>
      <c r="J131" s="429"/>
      <c r="K131" s="104">
        <f>K109</f>
        <v>0</v>
      </c>
    </row>
    <row r="132" spans="1:13" ht="21.75" customHeight="1" thickTop="1" thickBot="1" x14ac:dyDescent="0.25">
      <c r="A132" s="423" t="s">
        <v>127</v>
      </c>
      <c r="B132" s="424"/>
      <c r="C132" s="424"/>
      <c r="D132" s="424"/>
      <c r="E132" s="424"/>
      <c r="F132" s="424"/>
      <c r="G132" s="424"/>
      <c r="H132" s="424"/>
      <c r="I132" s="424"/>
      <c r="J132" s="426"/>
      <c r="K132" s="131">
        <f>SUM(K127:K131)</f>
        <v>0</v>
      </c>
      <c r="L132" s="156"/>
    </row>
    <row r="133" spans="1:13" s="121" customFormat="1" ht="21.75" customHeight="1" thickTop="1" thickBot="1" x14ac:dyDescent="0.3">
      <c r="A133" s="95" t="s">
        <v>37</v>
      </c>
      <c r="B133" s="427" t="s">
        <v>128</v>
      </c>
      <c r="C133" s="428"/>
      <c r="D133" s="428"/>
      <c r="E133" s="428"/>
      <c r="F133" s="428"/>
      <c r="G133" s="428"/>
      <c r="H133" s="428"/>
      <c r="I133" s="428"/>
      <c r="J133" s="429"/>
      <c r="K133" s="104">
        <f>K118</f>
        <v>0</v>
      </c>
    </row>
    <row r="134" spans="1:13" ht="34.15" customHeight="1" thickTop="1" thickBot="1" x14ac:dyDescent="0.25">
      <c r="A134" s="430" t="s">
        <v>129</v>
      </c>
      <c r="B134" s="431"/>
      <c r="C134" s="431"/>
      <c r="D134" s="431"/>
      <c r="E134" s="431"/>
      <c r="F134" s="431"/>
      <c r="G134" s="431"/>
      <c r="H134" s="431"/>
      <c r="I134" s="431"/>
      <c r="J134" s="432"/>
      <c r="K134" s="157">
        <f>SUM(K132+K133)</f>
        <v>0</v>
      </c>
    </row>
    <row r="135" spans="1:13" ht="21.75" customHeight="1" thickTop="1" thickBot="1" x14ac:dyDescent="0.25">
      <c r="A135" s="81"/>
      <c r="B135" s="82"/>
      <c r="C135" s="82"/>
      <c r="D135" s="82"/>
      <c r="E135" s="82"/>
      <c r="F135" s="82"/>
      <c r="G135" s="82"/>
      <c r="H135" s="82"/>
      <c r="I135" s="82"/>
      <c r="J135" s="82"/>
      <c r="K135" s="79"/>
    </row>
    <row r="136" spans="1:13" ht="21.75" customHeight="1" thickTop="1" thickBot="1" x14ac:dyDescent="0.25">
      <c r="A136" s="423" t="s">
        <v>130</v>
      </c>
      <c r="B136" s="424"/>
      <c r="C136" s="424"/>
      <c r="D136" s="424"/>
      <c r="E136" s="424"/>
      <c r="F136" s="424"/>
      <c r="G136" s="424"/>
      <c r="H136" s="424"/>
      <c r="I136" s="424"/>
      <c r="J136" s="424"/>
      <c r="K136" s="426"/>
    </row>
    <row r="137" spans="1:13" ht="45" customHeight="1" thickTop="1" thickBot="1" x14ac:dyDescent="0.25">
      <c r="A137" s="430" t="s">
        <v>131</v>
      </c>
      <c r="B137" s="431"/>
      <c r="C137" s="433"/>
      <c r="D137" s="434" t="s">
        <v>329</v>
      </c>
      <c r="E137" s="434"/>
      <c r="F137" s="434" t="s">
        <v>133</v>
      </c>
      <c r="G137" s="434"/>
      <c r="H137" s="434" t="s">
        <v>134</v>
      </c>
      <c r="I137" s="434"/>
      <c r="J137" s="158" t="s">
        <v>135</v>
      </c>
      <c r="K137" s="159" t="s">
        <v>136</v>
      </c>
    </row>
    <row r="138" spans="1:13" ht="21.75" customHeight="1" thickTop="1" thickBot="1" x14ac:dyDescent="0.25">
      <c r="A138" s="418" t="s">
        <v>193</v>
      </c>
      <c r="B138" s="419"/>
      <c r="C138" s="420"/>
      <c r="D138" s="421">
        <f>K134</f>
        <v>0</v>
      </c>
      <c r="E138" s="421"/>
      <c r="F138" s="422">
        <v>1</v>
      </c>
      <c r="G138" s="422"/>
      <c r="H138" s="421">
        <f>F138*D138</f>
        <v>0</v>
      </c>
      <c r="I138" s="421"/>
      <c r="J138" s="160">
        <f>'Quantitativo de pessoal'!L14</f>
        <v>1</v>
      </c>
      <c r="K138" s="161">
        <f>ROUND(J138*H138,2)</f>
        <v>0</v>
      </c>
    </row>
    <row r="139" spans="1:13" ht="36.75" customHeight="1" thickTop="1" thickBot="1" x14ac:dyDescent="0.25">
      <c r="A139" s="423" t="s">
        <v>137</v>
      </c>
      <c r="B139" s="424"/>
      <c r="C139" s="424"/>
      <c r="D139" s="424"/>
      <c r="E139" s="424"/>
      <c r="F139" s="424"/>
      <c r="G139" s="424"/>
      <c r="H139" s="424"/>
      <c r="I139" s="424"/>
      <c r="J139" s="425"/>
      <c r="K139" s="162">
        <f>K138</f>
        <v>0</v>
      </c>
    </row>
    <row r="140" spans="1:13" ht="36.75" customHeight="1" thickTop="1" thickBot="1" x14ac:dyDescent="0.25">
      <c r="A140" s="423" t="s">
        <v>138</v>
      </c>
      <c r="B140" s="424"/>
      <c r="C140" s="424"/>
      <c r="D140" s="424"/>
      <c r="E140" s="424"/>
      <c r="F140" s="424"/>
      <c r="G140" s="424"/>
      <c r="H140" s="424"/>
      <c r="I140" s="424"/>
      <c r="J140" s="426"/>
      <c r="K140" s="330">
        <f>K139*12</f>
        <v>0</v>
      </c>
    </row>
    <row r="141" spans="1:13" ht="16.5" thickTop="1" x14ac:dyDescent="0.2">
      <c r="K141" s="329" t="s">
        <v>139</v>
      </c>
      <c r="L141" s="163" t="e">
        <f>K134/K33</f>
        <v>#DIV/0!</v>
      </c>
      <c r="M141" s="111"/>
    </row>
    <row r="1048526" ht="12.75" customHeight="1" x14ac:dyDescent="0.2"/>
    <row r="1048527" ht="12.75" customHeight="1" x14ac:dyDescent="0.2"/>
    <row r="1048528" ht="12.75" customHeight="1" x14ac:dyDescent="0.2"/>
    <row r="1048529" ht="12.75" customHeight="1" x14ac:dyDescent="0.2"/>
    <row r="1048530" ht="12.75" customHeight="1" x14ac:dyDescent="0.2"/>
    <row r="1048531" ht="12.75" customHeight="1" x14ac:dyDescent="0.2"/>
    <row r="1048532" ht="12.75" customHeight="1" x14ac:dyDescent="0.2"/>
    <row r="1048533" ht="12.75" customHeight="1" x14ac:dyDescent="0.2"/>
    <row r="1048534" ht="12.75" customHeight="1" x14ac:dyDescent="0.2"/>
    <row r="1048535" ht="12.75" customHeight="1" x14ac:dyDescent="0.2"/>
    <row r="1048536" ht="12.75" customHeight="1" x14ac:dyDescent="0.2"/>
    <row r="1048537" ht="12.75" customHeight="1" x14ac:dyDescent="0.2"/>
    <row r="1048538" ht="12.75" customHeight="1" x14ac:dyDescent="0.2"/>
    <row r="1048539" ht="12.75" customHeight="1" x14ac:dyDescent="0.2"/>
    <row r="1048540" ht="12.75" customHeight="1" x14ac:dyDescent="0.2"/>
    <row r="1048541" ht="12.75" customHeight="1" x14ac:dyDescent="0.2"/>
    <row r="1048542" ht="12.75" customHeight="1" x14ac:dyDescent="0.2"/>
    <row r="1048543" ht="12.75" customHeight="1" x14ac:dyDescent="0.2"/>
    <row r="1048544" ht="12.75" customHeight="1" x14ac:dyDescent="0.2"/>
    <row r="1048545" ht="12.75" customHeight="1" x14ac:dyDescent="0.2"/>
    <row r="1048546" ht="12.75" customHeight="1" x14ac:dyDescent="0.2"/>
    <row r="1048547" ht="12.75" customHeight="1" x14ac:dyDescent="0.2"/>
    <row r="1048548" ht="12.75" customHeight="1" x14ac:dyDescent="0.2"/>
    <row r="1048549" ht="12.75" customHeight="1" x14ac:dyDescent="0.2"/>
    <row r="1048550" ht="12.75" customHeight="1" x14ac:dyDescent="0.2"/>
    <row r="1048551" ht="12.75" customHeight="1" x14ac:dyDescent="0.2"/>
    <row r="1048552" ht="12.75" customHeight="1" x14ac:dyDescent="0.2"/>
    <row r="1048553" ht="12.75" customHeight="1" x14ac:dyDescent="0.2"/>
    <row r="1048554" ht="12.75" customHeight="1" x14ac:dyDescent="0.2"/>
    <row r="1048555" ht="12.75" customHeight="1" x14ac:dyDescent="0.2"/>
    <row r="1048556" ht="12.75" customHeight="1" x14ac:dyDescent="0.2"/>
  </sheetData>
  <mergeCells count="137">
    <mergeCell ref="A138:C138"/>
    <mergeCell ref="D138:E138"/>
    <mergeCell ref="F138:G138"/>
    <mergeCell ref="H138:I138"/>
    <mergeCell ref="A139:J139"/>
    <mergeCell ref="A140:J140"/>
    <mergeCell ref="B133:J133"/>
    <mergeCell ref="A134:J134"/>
    <mergeCell ref="A136:K136"/>
    <mergeCell ref="A137:C137"/>
    <mergeCell ref="D137:E137"/>
    <mergeCell ref="F137:G137"/>
    <mergeCell ref="H137:I137"/>
    <mergeCell ref="B127:J127"/>
    <mergeCell ref="B128:J128"/>
    <mergeCell ref="B129:J129"/>
    <mergeCell ref="B130:J130"/>
    <mergeCell ref="B131:J131"/>
    <mergeCell ref="A132:J132"/>
    <mergeCell ref="A111:J111"/>
    <mergeCell ref="A114:A117"/>
    <mergeCell ref="I115:I117"/>
    <mergeCell ref="A119:K124"/>
    <mergeCell ref="A125:K125"/>
    <mergeCell ref="A126:J126"/>
    <mergeCell ref="A107:A108"/>
    <mergeCell ref="B107:C108"/>
    <mergeCell ref="D107:J107"/>
    <mergeCell ref="D108:J108"/>
    <mergeCell ref="A109:J109"/>
    <mergeCell ref="A110:K110"/>
    <mergeCell ref="A103:J103"/>
    <mergeCell ref="B104:J104"/>
    <mergeCell ref="B105:D105"/>
    <mergeCell ref="E105:J105"/>
    <mergeCell ref="B106:D106"/>
    <mergeCell ref="E106:J106"/>
    <mergeCell ref="A97:K97"/>
    <mergeCell ref="A98:K98"/>
    <mergeCell ref="B99:J99"/>
    <mergeCell ref="B100:J100"/>
    <mergeCell ref="B101:J101"/>
    <mergeCell ref="A102:K102"/>
    <mergeCell ref="B90:I90"/>
    <mergeCell ref="A91:I91"/>
    <mergeCell ref="A92:K93"/>
    <mergeCell ref="A94:K94"/>
    <mergeCell ref="B95:I95"/>
    <mergeCell ref="B96:I96"/>
    <mergeCell ref="B84:I84"/>
    <mergeCell ref="B85:I85"/>
    <mergeCell ref="B86:I86"/>
    <mergeCell ref="B87:I87"/>
    <mergeCell ref="B88:I88"/>
    <mergeCell ref="B89:I89"/>
    <mergeCell ref="B77:I77"/>
    <mergeCell ref="L77:M77"/>
    <mergeCell ref="A78:I78"/>
    <mergeCell ref="A79:K81"/>
    <mergeCell ref="A82:K82"/>
    <mergeCell ref="A83:K83"/>
    <mergeCell ref="B74:I74"/>
    <mergeCell ref="L74:M74"/>
    <mergeCell ref="B75:I75"/>
    <mergeCell ref="L75:M75"/>
    <mergeCell ref="B76:I76"/>
    <mergeCell ref="L76:M76"/>
    <mergeCell ref="B69:J69"/>
    <mergeCell ref="A70:K70"/>
    <mergeCell ref="A71:K71"/>
    <mergeCell ref="B72:I72"/>
    <mergeCell ref="L72:M72"/>
    <mergeCell ref="B73:I73"/>
    <mergeCell ref="L73:M73"/>
    <mergeCell ref="B62:J62"/>
    <mergeCell ref="A63:K64"/>
    <mergeCell ref="A65:K65"/>
    <mergeCell ref="B66:I66"/>
    <mergeCell ref="B67:I67"/>
    <mergeCell ref="B68:J68"/>
    <mergeCell ref="L58:O58"/>
    <mergeCell ref="B59:J59"/>
    <mergeCell ref="L59:O59"/>
    <mergeCell ref="B60:J60"/>
    <mergeCell ref="L60:O60"/>
    <mergeCell ref="B61:J61"/>
    <mergeCell ref="L61:O61"/>
    <mergeCell ref="B51:I51"/>
    <mergeCell ref="B52:I52"/>
    <mergeCell ref="A53:K55"/>
    <mergeCell ref="A56:K56"/>
    <mergeCell ref="B57:J57"/>
    <mergeCell ref="B58:J58"/>
    <mergeCell ref="B45:I45"/>
    <mergeCell ref="B46:E46"/>
    <mergeCell ref="H46:I46"/>
    <mergeCell ref="B47:I47"/>
    <mergeCell ref="B48:I48"/>
    <mergeCell ref="B50:I50"/>
    <mergeCell ref="B38:I38"/>
    <mergeCell ref="B39:I39"/>
    <mergeCell ref="B40:I40"/>
    <mergeCell ref="A41:K42"/>
    <mergeCell ref="A43:K43"/>
    <mergeCell ref="B44:I44"/>
    <mergeCell ref="B31:J31"/>
    <mergeCell ref="A32:K32"/>
    <mergeCell ref="A33:J33"/>
    <mergeCell ref="A34:K35"/>
    <mergeCell ref="A36:K36"/>
    <mergeCell ref="A37:K37"/>
    <mergeCell ref="A26:A27"/>
    <mergeCell ref="B26:D27"/>
    <mergeCell ref="K26:K27"/>
    <mergeCell ref="B28:J28"/>
    <mergeCell ref="B29:J29"/>
    <mergeCell ref="B30:J30"/>
    <mergeCell ref="A12:K14"/>
    <mergeCell ref="A15:K15"/>
    <mergeCell ref="B19:J19"/>
    <mergeCell ref="A20:K22"/>
    <mergeCell ref="A23:J23"/>
    <mergeCell ref="H25:J25"/>
    <mergeCell ref="A5:C5"/>
    <mergeCell ref="D5:I5"/>
    <mergeCell ref="B7:E7"/>
    <mergeCell ref="F7:K7"/>
    <mergeCell ref="B9:H9"/>
    <mergeCell ref="I9:K9"/>
    <mergeCell ref="A1:I1"/>
    <mergeCell ref="A2:C2"/>
    <mergeCell ref="D2:I2"/>
    <mergeCell ref="A3:C3"/>
    <mergeCell ref="D3:I3"/>
    <mergeCell ref="A4:C4"/>
    <mergeCell ref="D4:F4"/>
    <mergeCell ref="H4:I4"/>
  </mergeCells>
  <pageMargins left="0.511811024" right="0.511811024" top="0.78740157499999996" bottom="0.78740157499999996" header="0.31496062000000002" footer="0.31496062000000002"/>
  <pageSetup paperSize="9" scale="41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78ED2-F457-4328-A389-D8DDB04BE405}">
  <sheetPr>
    <pageSetUpPr fitToPage="1"/>
  </sheetPr>
  <dimension ref="A1:IV1048556"/>
  <sheetViews>
    <sheetView topLeftCell="A99" workbookViewId="0">
      <selection activeCell="K107" sqref="K107"/>
    </sheetView>
  </sheetViews>
  <sheetFormatPr defaultRowHeight="15.75" x14ac:dyDescent="0.2"/>
  <cols>
    <col min="1" max="10" width="12.42578125" style="76" customWidth="1"/>
    <col min="11" max="11" width="18.140625" style="76" bestFit="1" customWidth="1"/>
    <col min="12" max="12" width="18.28515625" style="76" customWidth="1"/>
    <col min="13" max="256" width="12.42578125" style="76" customWidth="1"/>
    <col min="257" max="1024" width="12.42578125" style="77" customWidth="1"/>
    <col min="1025" max="16384" width="9.140625" style="77"/>
  </cols>
  <sheetData>
    <row r="1" spans="1:11" ht="21.75" customHeight="1" thickTop="1" thickBot="1" x14ac:dyDescent="0.25">
      <c r="A1" s="423" t="s">
        <v>0</v>
      </c>
      <c r="B1" s="423"/>
      <c r="C1" s="423"/>
      <c r="D1" s="423"/>
      <c r="E1" s="423"/>
      <c r="F1" s="423"/>
      <c r="G1" s="423"/>
      <c r="H1" s="423"/>
      <c r="I1" s="442"/>
      <c r="J1" s="74"/>
      <c r="K1" s="75"/>
    </row>
    <row r="2" spans="1:11" ht="21.75" customHeight="1" thickTop="1" thickBot="1" x14ac:dyDescent="0.25">
      <c r="A2" s="534" t="s">
        <v>1</v>
      </c>
      <c r="B2" s="534"/>
      <c r="C2" s="534"/>
      <c r="D2" s="535" t="s">
        <v>330</v>
      </c>
      <c r="E2" s="535"/>
      <c r="F2" s="535"/>
      <c r="G2" s="535"/>
      <c r="H2" s="535"/>
      <c r="I2" s="536"/>
      <c r="J2" s="78"/>
      <c r="K2" s="79"/>
    </row>
    <row r="3" spans="1:11" ht="21.75" customHeight="1" thickTop="1" thickBot="1" x14ac:dyDescent="0.25">
      <c r="A3" s="534" t="s">
        <v>2</v>
      </c>
      <c r="B3" s="534"/>
      <c r="C3" s="534"/>
      <c r="D3" s="537" t="str">
        <f>'1 - Servente Sede'!D3</f>
        <v>Pregão Eletrônico nº XX/2020</v>
      </c>
      <c r="E3" s="537"/>
      <c r="F3" s="537"/>
      <c r="G3" s="537"/>
      <c r="H3" s="537"/>
      <c r="I3" s="538"/>
      <c r="J3" s="78"/>
      <c r="K3" s="79"/>
    </row>
    <row r="4" spans="1:11" ht="21.75" customHeight="1" thickTop="1" thickBot="1" x14ac:dyDescent="0.25">
      <c r="A4" s="534" t="s">
        <v>3</v>
      </c>
      <c r="B4" s="534"/>
      <c r="C4" s="534"/>
      <c r="D4" s="539"/>
      <c r="E4" s="540"/>
      <c r="F4" s="541"/>
      <c r="G4" s="80" t="s">
        <v>4</v>
      </c>
      <c r="H4" s="542"/>
      <c r="I4" s="536"/>
      <c r="J4" s="78"/>
      <c r="K4" s="79"/>
    </row>
    <row r="5" spans="1:11" ht="21.75" customHeight="1" thickTop="1" thickBot="1" x14ac:dyDescent="0.25">
      <c r="A5" s="526" t="s">
        <v>5</v>
      </c>
      <c r="B5" s="526"/>
      <c r="C5" s="526"/>
      <c r="D5" s="527" t="s">
        <v>413</v>
      </c>
      <c r="E5" s="527"/>
      <c r="F5" s="527"/>
      <c r="G5" s="527"/>
      <c r="H5" s="527"/>
      <c r="I5" s="527"/>
      <c r="J5" s="277"/>
      <c r="K5" s="79"/>
    </row>
    <row r="6" spans="1:11" ht="21.75" customHeight="1" thickTop="1" thickBot="1" x14ac:dyDescent="0.25">
      <c r="A6" s="81"/>
      <c r="B6" s="82"/>
      <c r="C6" s="82"/>
      <c r="D6" s="82"/>
      <c r="E6" s="82"/>
      <c r="F6" s="82"/>
      <c r="G6" s="82"/>
      <c r="H6" s="82"/>
      <c r="I6" s="279"/>
      <c r="J6" s="279"/>
      <c r="K6" s="278"/>
    </row>
    <row r="7" spans="1:11" ht="21.75" customHeight="1" thickTop="1" thickBot="1" x14ac:dyDescent="0.25">
      <c r="A7" s="274" t="s">
        <v>7</v>
      </c>
      <c r="B7" s="528" t="s">
        <v>8</v>
      </c>
      <c r="C7" s="528"/>
      <c r="D7" s="528"/>
      <c r="E7" s="528"/>
      <c r="F7" s="529" t="s">
        <v>140</v>
      </c>
      <c r="G7" s="529"/>
      <c r="H7" s="529"/>
      <c r="I7" s="529"/>
      <c r="J7" s="529"/>
      <c r="K7" s="529"/>
    </row>
    <row r="8" spans="1:11" ht="21.75" customHeight="1" thickTop="1" thickBot="1" x14ac:dyDescent="0.25">
      <c r="A8" s="274" t="s">
        <v>7</v>
      </c>
      <c r="B8" s="275" t="s">
        <v>9</v>
      </c>
      <c r="C8" s="84"/>
      <c r="D8" s="84"/>
      <c r="E8" s="84"/>
      <c r="F8" s="84"/>
      <c r="G8" s="84"/>
      <c r="H8" s="84"/>
      <c r="I8" s="84"/>
      <c r="J8" s="276"/>
      <c r="K8" s="85">
        <v>12</v>
      </c>
    </row>
    <row r="9" spans="1:11" ht="21.75" customHeight="1" thickTop="1" thickBot="1" x14ac:dyDescent="0.25">
      <c r="A9" s="83" t="s">
        <v>7</v>
      </c>
      <c r="B9" s="496" t="s">
        <v>10</v>
      </c>
      <c r="C9" s="428"/>
      <c r="D9" s="428"/>
      <c r="E9" s="428"/>
      <c r="F9" s="428"/>
      <c r="G9" s="428"/>
      <c r="H9" s="428"/>
      <c r="I9" s="543"/>
      <c r="J9" s="543"/>
      <c r="K9" s="544"/>
    </row>
    <row r="10" spans="1:11" ht="21.75" customHeight="1" thickTop="1" thickBot="1" x14ac:dyDescent="0.25">
      <c r="A10" s="83" t="s">
        <v>7</v>
      </c>
      <c r="B10" s="86" t="s">
        <v>11</v>
      </c>
      <c r="C10" s="86"/>
      <c r="D10" s="86"/>
      <c r="E10" s="86"/>
      <c r="F10" s="86"/>
      <c r="G10" s="86"/>
      <c r="H10" s="86"/>
      <c r="I10" s="86"/>
      <c r="J10" s="86"/>
      <c r="K10" s="87" t="s">
        <v>141</v>
      </c>
    </row>
    <row r="11" spans="1:11" ht="21.75" customHeight="1" thickTop="1" thickBot="1" x14ac:dyDescent="0.25">
      <c r="A11" s="83" t="s">
        <v>7</v>
      </c>
      <c r="B11" s="86" t="s">
        <v>142</v>
      </c>
      <c r="C11" s="86"/>
      <c r="D11" s="86"/>
      <c r="E11" s="86"/>
      <c r="F11" s="86"/>
      <c r="G11" s="86"/>
      <c r="H11" s="86"/>
      <c r="I11" s="86"/>
      <c r="J11" s="86"/>
      <c r="K11" s="88">
        <f>'Quantitativo de pessoal'!D13</f>
        <v>20173.649999999998</v>
      </c>
    </row>
    <row r="12" spans="1:11" ht="21.75" customHeight="1" thickTop="1" thickBot="1" x14ac:dyDescent="0.25">
      <c r="A12" s="530" t="s">
        <v>147</v>
      </c>
      <c r="B12" s="531"/>
      <c r="C12" s="531"/>
      <c r="D12" s="531"/>
      <c r="E12" s="531"/>
      <c r="F12" s="531"/>
      <c r="G12" s="531"/>
      <c r="H12" s="531"/>
      <c r="I12" s="531"/>
      <c r="J12" s="531"/>
      <c r="K12" s="532"/>
    </row>
    <row r="13" spans="1:11" ht="21.75" customHeight="1" thickTop="1" thickBot="1" x14ac:dyDescent="0.25">
      <c r="A13" s="533"/>
      <c r="B13" s="531"/>
      <c r="C13" s="531"/>
      <c r="D13" s="531"/>
      <c r="E13" s="531"/>
      <c r="F13" s="531"/>
      <c r="G13" s="531"/>
      <c r="H13" s="531"/>
      <c r="I13" s="531"/>
      <c r="J13" s="531"/>
      <c r="K13" s="532"/>
    </row>
    <row r="14" spans="1:11" ht="21.75" customHeight="1" thickTop="1" thickBot="1" x14ac:dyDescent="0.25">
      <c r="A14" s="533"/>
      <c r="B14" s="531"/>
      <c r="C14" s="531"/>
      <c r="D14" s="531"/>
      <c r="E14" s="531"/>
      <c r="F14" s="531"/>
      <c r="G14" s="531"/>
      <c r="H14" s="531"/>
      <c r="I14" s="531"/>
      <c r="J14" s="531"/>
      <c r="K14" s="532"/>
    </row>
    <row r="15" spans="1:11" ht="21.75" customHeight="1" thickTop="1" thickBot="1" x14ac:dyDescent="0.25">
      <c r="A15" s="442" t="s">
        <v>15</v>
      </c>
      <c r="B15" s="442"/>
      <c r="C15" s="442"/>
      <c r="D15" s="442"/>
      <c r="E15" s="442"/>
      <c r="F15" s="442"/>
      <c r="G15" s="442"/>
      <c r="H15" s="442"/>
      <c r="I15" s="442"/>
      <c r="J15" s="442"/>
      <c r="K15" s="442"/>
    </row>
    <row r="16" spans="1:11" ht="21.75" customHeight="1" thickTop="1" thickBot="1" x14ac:dyDescent="0.25">
      <c r="A16" s="100">
        <v>1</v>
      </c>
      <c r="B16" s="86" t="s">
        <v>16</v>
      </c>
      <c r="C16" s="86"/>
      <c r="D16" s="86"/>
      <c r="E16" s="86"/>
      <c r="F16" s="86"/>
      <c r="G16" s="86"/>
      <c r="H16" s="86"/>
      <c r="I16" s="86"/>
      <c r="J16" s="86"/>
      <c r="K16" s="90"/>
    </row>
    <row r="17" spans="1:18" ht="21.75" customHeight="1" thickTop="1" thickBot="1" x14ac:dyDescent="0.25">
      <c r="A17" s="100">
        <v>2</v>
      </c>
      <c r="B17" s="86" t="s">
        <v>17</v>
      </c>
      <c r="C17" s="86"/>
      <c r="D17" s="86"/>
      <c r="E17" s="86"/>
      <c r="F17" s="86"/>
      <c r="G17" s="86"/>
      <c r="H17" s="86"/>
      <c r="I17" s="86"/>
      <c r="J17" s="86"/>
      <c r="K17" s="91" t="s">
        <v>193</v>
      </c>
    </row>
    <row r="18" spans="1:18" ht="21.75" customHeight="1" thickTop="1" thickBot="1" x14ac:dyDescent="0.25">
      <c r="A18" s="100">
        <v>3</v>
      </c>
      <c r="B18" s="86" t="s">
        <v>18</v>
      </c>
      <c r="C18" s="86"/>
      <c r="D18" s="86"/>
      <c r="E18" s="86"/>
      <c r="F18" s="86"/>
      <c r="G18" s="86"/>
      <c r="H18" s="86"/>
      <c r="I18" s="86"/>
      <c r="J18" s="86"/>
      <c r="K18" s="92">
        <v>43862</v>
      </c>
    </row>
    <row r="19" spans="1:18" ht="21.75" customHeight="1" thickTop="1" thickBot="1" x14ac:dyDescent="0.25">
      <c r="A19" s="93">
        <v>4</v>
      </c>
      <c r="B19" s="509" t="s">
        <v>19</v>
      </c>
      <c r="C19" s="510"/>
      <c r="D19" s="510"/>
      <c r="E19" s="510"/>
      <c r="F19" s="510"/>
      <c r="G19" s="510"/>
      <c r="H19" s="510"/>
      <c r="I19" s="510"/>
      <c r="J19" s="510"/>
      <c r="K19" s="94" t="s">
        <v>143</v>
      </c>
    </row>
    <row r="20" spans="1:18" ht="21.75" customHeight="1" thickTop="1" x14ac:dyDescent="0.2">
      <c r="A20" s="511" t="s">
        <v>148</v>
      </c>
      <c r="B20" s="512"/>
      <c r="C20" s="512"/>
      <c r="D20" s="512"/>
      <c r="E20" s="512"/>
      <c r="F20" s="512"/>
      <c r="G20" s="512"/>
      <c r="H20" s="512"/>
      <c r="I20" s="512"/>
      <c r="J20" s="512"/>
      <c r="K20" s="513"/>
    </row>
    <row r="21" spans="1:18" ht="19.149999999999999" customHeight="1" thickBot="1" x14ac:dyDescent="0.25">
      <c r="A21" s="514"/>
      <c r="B21" s="515"/>
      <c r="C21" s="515"/>
      <c r="D21" s="515"/>
      <c r="E21" s="515"/>
      <c r="F21" s="515"/>
      <c r="G21" s="515"/>
      <c r="H21" s="515"/>
      <c r="I21" s="515"/>
      <c r="J21" s="515"/>
      <c r="K21" s="516"/>
    </row>
    <row r="22" spans="1:18" ht="21.6" hidden="1" customHeight="1" x14ac:dyDescent="0.2">
      <c r="A22" s="517"/>
      <c r="B22" s="518"/>
      <c r="C22" s="518"/>
      <c r="D22" s="518"/>
      <c r="E22" s="518"/>
      <c r="F22" s="518"/>
      <c r="G22" s="518"/>
      <c r="H22" s="518"/>
      <c r="I22" s="518"/>
      <c r="J22" s="518"/>
      <c r="K22" s="519"/>
    </row>
    <row r="23" spans="1:18" ht="21.75" customHeight="1" thickTop="1" thickBot="1" x14ac:dyDescent="0.25">
      <c r="A23" s="442" t="s">
        <v>21</v>
      </c>
      <c r="B23" s="442"/>
      <c r="C23" s="442"/>
      <c r="D23" s="442"/>
      <c r="E23" s="442"/>
      <c r="F23" s="442"/>
      <c r="G23" s="442"/>
      <c r="H23" s="442"/>
      <c r="I23" s="442"/>
      <c r="J23" s="442"/>
      <c r="K23" s="95" t="s">
        <v>22</v>
      </c>
    </row>
    <row r="24" spans="1:18" ht="21.75" customHeight="1" thickTop="1" thickBot="1" x14ac:dyDescent="0.25">
      <c r="A24" s="100" t="s">
        <v>23</v>
      </c>
      <c r="B24" s="86" t="s">
        <v>24</v>
      </c>
      <c r="C24" s="86"/>
      <c r="D24" s="86"/>
      <c r="E24" s="86"/>
      <c r="F24" s="86"/>
      <c r="G24" s="86"/>
      <c r="H24" s="86"/>
      <c r="I24" s="86"/>
      <c r="J24" s="96"/>
      <c r="K24" s="342">
        <f>K16</f>
        <v>0</v>
      </c>
    </row>
    <row r="25" spans="1:18" ht="21.75" customHeight="1" thickTop="1" thickBot="1" x14ac:dyDescent="0.25">
      <c r="A25" s="100" t="s">
        <v>25</v>
      </c>
      <c r="B25" s="98" t="s">
        <v>26</v>
      </c>
      <c r="C25" s="98"/>
      <c r="D25" s="98"/>
      <c r="E25" s="99" t="s">
        <v>27</v>
      </c>
      <c r="F25" s="99"/>
      <c r="G25" s="86"/>
      <c r="H25" s="520">
        <v>0</v>
      </c>
      <c r="I25" s="521"/>
      <c r="J25" s="522"/>
      <c r="K25" s="102">
        <f>K24*H25</f>
        <v>0</v>
      </c>
    </row>
    <row r="26" spans="1:18" ht="21.75" customHeight="1" thickTop="1" thickBot="1" x14ac:dyDescent="0.3">
      <c r="A26" s="523" t="s">
        <v>28</v>
      </c>
      <c r="B26" s="524" t="s">
        <v>29</v>
      </c>
      <c r="C26" s="524"/>
      <c r="D26" s="524"/>
      <c r="E26" s="99" t="s">
        <v>30</v>
      </c>
      <c r="F26" s="99"/>
      <c r="G26" s="86"/>
      <c r="H26" s="86"/>
      <c r="I26" s="86"/>
      <c r="J26" s="101"/>
      <c r="K26" s="525">
        <f>L27*0.4</f>
        <v>0</v>
      </c>
      <c r="L26"/>
      <c r="M26"/>
      <c r="N26"/>
      <c r="O26"/>
      <c r="P26"/>
      <c r="Q26"/>
      <c r="R26"/>
    </row>
    <row r="27" spans="1:18" ht="21.75" customHeight="1" thickTop="1" thickBot="1" x14ac:dyDescent="0.3">
      <c r="A27" s="523"/>
      <c r="B27" s="524"/>
      <c r="C27" s="524"/>
      <c r="D27" s="524"/>
      <c r="E27" s="99" t="s">
        <v>31</v>
      </c>
      <c r="F27" s="99"/>
      <c r="G27" s="86"/>
      <c r="H27" s="99" t="s">
        <v>32</v>
      </c>
      <c r="I27" s="86"/>
      <c r="J27" s="96"/>
      <c r="K27" s="525"/>
      <c r="L27"/>
      <c r="M27"/>
      <c r="N27"/>
      <c r="O27"/>
      <c r="P27"/>
      <c r="Q27"/>
      <c r="R27"/>
    </row>
    <row r="28" spans="1:18" ht="21.75" customHeight="1" thickTop="1" thickBot="1" x14ac:dyDescent="0.3">
      <c r="A28" s="100" t="s">
        <v>33</v>
      </c>
      <c r="B28" s="506" t="s">
        <v>34</v>
      </c>
      <c r="C28" s="506"/>
      <c r="D28" s="506"/>
      <c r="E28" s="507"/>
      <c r="F28" s="507"/>
      <c r="G28" s="507"/>
      <c r="H28" s="507"/>
      <c r="I28" s="507"/>
      <c r="J28" s="508"/>
      <c r="K28" s="102">
        <v>0</v>
      </c>
      <c r="L28"/>
      <c r="M28"/>
      <c r="N28"/>
      <c r="O28"/>
      <c r="P28"/>
      <c r="Q28"/>
      <c r="R28"/>
    </row>
    <row r="29" spans="1:18" ht="21.75" customHeight="1" thickTop="1" thickBot="1" x14ac:dyDescent="0.25">
      <c r="A29" s="100" t="s">
        <v>35</v>
      </c>
      <c r="B29" s="428" t="s">
        <v>36</v>
      </c>
      <c r="C29" s="428"/>
      <c r="D29" s="428"/>
      <c r="E29" s="428"/>
      <c r="F29" s="428"/>
      <c r="G29" s="428"/>
      <c r="H29" s="428"/>
      <c r="I29" s="428"/>
      <c r="J29" s="429"/>
      <c r="K29" s="102">
        <v>0</v>
      </c>
      <c r="L29" s="103"/>
    </row>
    <row r="30" spans="1:18" ht="21.75" customHeight="1" thickTop="1" thickBot="1" x14ac:dyDescent="0.25">
      <c r="A30" s="100" t="s">
        <v>37</v>
      </c>
      <c r="B30" s="428" t="s">
        <v>38</v>
      </c>
      <c r="C30" s="428"/>
      <c r="D30" s="428"/>
      <c r="E30" s="428"/>
      <c r="F30" s="428"/>
      <c r="G30" s="428"/>
      <c r="H30" s="428"/>
      <c r="I30" s="428"/>
      <c r="J30" s="429"/>
      <c r="K30" s="102">
        <v>0</v>
      </c>
    </row>
    <row r="31" spans="1:18" ht="21.75" customHeight="1" thickTop="1" thickBot="1" x14ac:dyDescent="0.25">
      <c r="A31" s="100" t="s">
        <v>39</v>
      </c>
      <c r="B31" s="428" t="s">
        <v>87</v>
      </c>
      <c r="C31" s="428"/>
      <c r="D31" s="428"/>
      <c r="E31" s="428"/>
      <c r="F31" s="428"/>
      <c r="G31" s="428"/>
      <c r="H31" s="428"/>
      <c r="I31" s="428"/>
      <c r="J31" s="429"/>
      <c r="K31" s="104">
        <v>0</v>
      </c>
    </row>
    <row r="32" spans="1:18" ht="21.6" hidden="1" customHeight="1" x14ac:dyDescent="0.2">
      <c r="A32" s="503"/>
      <c r="B32" s="504"/>
      <c r="C32" s="504"/>
      <c r="D32" s="504"/>
      <c r="E32" s="504"/>
      <c r="F32" s="504"/>
      <c r="G32" s="504"/>
      <c r="H32" s="504"/>
      <c r="I32" s="504"/>
      <c r="J32" s="504"/>
      <c r="K32" s="505"/>
    </row>
    <row r="33" spans="1:13" ht="21.75" customHeight="1" thickTop="1" thickBot="1" x14ac:dyDescent="0.25">
      <c r="A33" s="423" t="s">
        <v>41</v>
      </c>
      <c r="B33" s="424"/>
      <c r="C33" s="424"/>
      <c r="D33" s="424"/>
      <c r="E33" s="424"/>
      <c r="F33" s="424"/>
      <c r="G33" s="424"/>
      <c r="H33" s="424"/>
      <c r="I33" s="424"/>
      <c r="J33" s="426"/>
      <c r="K33" s="105">
        <f>SUM(K24:K31)</f>
        <v>0</v>
      </c>
      <c r="M33" s="106"/>
    </row>
    <row r="34" spans="1:13" ht="21.75" customHeight="1" thickTop="1" x14ac:dyDescent="0.2">
      <c r="A34" s="464" t="s">
        <v>149</v>
      </c>
      <c r="B34" s="465"/>
      <c r="C34" s="465"/>
      <c r="D34" s="465"/>
      <c r="E34" s="465"/>
      <c r="F34" s="465"/>
      <c r="G34" s="465"/>
      <c r="H34" s="465"/>
      <c r="I34" s="465"/>
      <c r="J34" s="465"/>
      <c r="K34" s="466"/>
    </row>
    <row r="35" spans="1:13" ht="55.5" customHeight="1" thickBot="1" x14ac:dyDescent="0.25">
      <c r="A35" s="467"/>
      <c r="B35" s="468"/>
      <c r="C35" s="468"/>
      <c r="D35" s="468"/>
      <c r="E35" s="468"/>
      <c r="F35" s="468"/>
      <c r="G35" s="468"/>
      <c r="H35" s="468"/>
      <c r="I35" s="468"/>
      <c r="J35" s="468"/>
      <c r="K35" s="469"/>
    </row>
    <row r="36" spans="1:13" ht="21.75" customHeight="1" thickTop="1" thickBot="1" x14ac:dyDescent="0.25">
      <c r="A36" s="423" t="s">
        <v>43</v>
      </c>
      <c r="B36" s="423"/>
      <c r="C36" s="423"/>
      <c r="D36" s="423"/>
      <c r="E36" s="423"/>
      <c r="F36" s="423"/>
      <c r="G36" s="423"/>
      <c r="H36" s="423"/>
      <c r="I36" s="423"/>
      <c r="J36" s="423"/>
      <c r="K36" s="442"/>
    </row>
    <row r="37" spans="1:13" ht="21.75" customHeight="1" thickTop="1" thickBot="1" x14ac:dyDescent="0.25">
      <c r="A37" s="423" t="s">
        <v>150</v>
      </c>
      <c r="B37" s="423"/>
      <c r="C37" s="423"/>
      <c r="D37" s="423"/>
      <c r="E37" s="423"/>
      <c r="F37" s="423"/>
      <c r="G37" s="423"/>
      <c r="H37" s="423"/>
      <c r="I37" s="423"/>
      <c r="J37" s="423"/>
      <c r="K37" s="442"/>
    </row>
    <row r="38" spans="1:13" ht="21.75" customHeight="1" thickTop="1" thickBot="1" x14ac:dyDescent="0.25">
      <c r="A38" s="107" t="s">
        <v>23</v>
      </c>
      <c r="B38" s="501" t="s">
        <v>45</v>
      </c>
      <c r="C38" s="501"/>
      <c r="D38" s="501"/>
      <c r="E38" s="501"/>
      <c r="F38" s="501"/>
      <c r="G38" s="501"/>
      <c r="H38" s="501"/>
      <c r="I38" s="501"/>
      <c r="J38" s="108">
        <v>8.3299999999999999E-2</v>
      </c>
      <c r="K38" s="109">
        <f>K33*(1/12)</f>
        <v>0</v>
      </c>
      <c r="L38" s="110"/>
    </row>
    <row r="39" spans="1:13" ht="21.75" customHeight="1" thickTop="1" thickBot="1" x14ac:dyDescent="0.25">
      <c r="A39" s="107" t="s">
        <v>25</v>
      </c>
      <c r="B39" s="501" t="s">
        <v>46</v>
      </c>
      <c r="C39" s="501"/>
      <c r="D39" s="501"/>
      <c r="E39" s="501"/>
      <c r="F39" s="501"/>
      <c r="G39" s="501"/>
      <c r="H39" s="501"/>
      <c r="I39" s="501"/>
      <c r="J39" s="108">
        <v>0.1111</v>
      </c>
      <c r="K39" s="109">
        <f>(K33*(1/12))+(K33*1/12*1/3)</f>
        <v>0</v>
      </c>
      <c r="L39" s="111"/>
    </row>
    <row r="40" spans="1:13" ht="21.75" customHeight="1" thickTop="1" thickBot="1" x14ac:dyDescent="0.25">
      <c r="A40" s="155"/>
      <c r="B40" s="502" t="s">
        <v>47</v>
      </c>
      <c r="C40" s="502"/>
      <c r="D40" s="502"/>
      <c r="E40" s="502"/>
      <c r="F40" s="502"/>
      <c r="G40" s="502"/>
      <c r="H40" s="502"/>
      <c r="I40" s="502"/>
      <c r="J40" s="113">
        <f>J38+J39</f>
        <v>0.19440000000000002</v>
      </c>
      <c r="K40" s="105">
        <f>ROUND(SUM(K38+K39),2)</f>
        <v>0</v>
      </c>
    </row>
    <row r="41" spans="1:13" ht="21.75" customHeight="1" thickTop="1" x14ac:dyDescent="0.2">
      <c r="A41" s="464" t="s">
        <v>151</v>
      </c>
      <c r="B41" s="465"/>
      <c r="C41" s="465"/>
      <c r="D41" s="465"/>
      <c r="E41" s="465"/>
      <c r="F41" s="465"/>
      <c r="G41" s="465"/>
      <c r="H41" s="465"/>
      <c r="I41" s="465"/>
      <c r="J41" s="465"/>
      <c r="K41" s="466"/>
    </row>
    <row r="42" spans="1:13" ht="55.15" customHeight="1" thickBot="1" x14ac:dyDescent="0.25">
      <c r="A42" s="467"/>
      <c r="B42" s="468"/>
      <c r="C42" s="468"/>
      <c r="D42" s="468"/>
      <c r="E42" s="468"/>
      <c r="F42" s="468"/>
      <c r="G42" s="468"/>
      <c r="H42" s="468"/>
      <c r="I42" s="468"/>
      <c r="J42" s="468"/>
      <c r="K42" s="469"/>
    </row>
    <row r="43" spans="1:13" ht="21.75" customHeight="1" thickTop="1" thickBot="1" x14ac:dyDescent="0.25">
      <c r="A43" s="423" t="s">
        <v>49</v>
      </c>
      <c r="B43" s="424"/>
      <c r="C43" s="424"/>
      <c r="D43" s="424"/>
      <c r="E43" s="424"/>
      <c r="F43" s="424"/>
      <c r="G43" s="424"/>
      <c r="H43" s="424"/>
      <c r="I43" s="424"/>
      <c r="J43" s="424"/>
      <c r="K43" s="426"/>
    </row>
    <row r="44" spans="1:13" ht="21.75" customHeight="1" thickTop="1" thickBot="1" x14ac:dyDescent="0.25">
      <c r="A44" s="100" t="s">
        <v>23</v>
      </c>
      <c r="B44" s="495" t="s">
        <v>50</v>
      </c>
      <c r="C44" s="495"/>
      <c r="D44" s="495"/>
      <c r="E44" s="495"/>
      <c r="F44" s="495"/>
      <c r="G44" s="495"/>
      <c r="H44" s="495"/>
      <c r="I44" s="495"/>
      <c r="J44" s="115">
        <v>0.2</v>
      </c>
      <c r="K44" s="102">
        <f>J44*(K33+K40)</f>
        <v>0</v>
      </c>
    </row>
    <row r="45" spans="1:13" ht="21.75" customHeight="1" thickTop="1" thickBot="1" x14ac:dyDescent="0.25">
      <c r="A45" s="100" t="s">
        <v>25</v>
      </c>
      <c r="B45" s="496" t="s">
        <v>54</v>
      </c>
      <c r="C45" s="428"/>
      <c r="D45" s="428"/>
      <c r="E45" s="428"/>
      <c r="F45" s="428"/>
      <c r="G45" s="428"/>
      <c r="H45" s="428"/>
      <c r="I45" s="497"/>
      <c r="J45" s="115">
        <v>2.5000000000000001E-2</v>
      </c>
      <c r="K45" s="102">
        <f>J45*(K33+K40)</f>
        <v>0</v>
      </c>
    </row>
    <row r="46" spans="1:13" ht="21.75" customHeight="1" thickTop="1" thickBot="1" x14ac:dyDescent="0.25">
      <c r="A46" s="100" t="s">
        <v>28</v>
      </c>
      <c r="B46" s="496" t="s">
        <v>243</v>
      </c>
      <c r="C46" s="428"/>
      <c r="D46" s="428"/>
      <c r="E46" s="498"/>
      <c r="F46" s="341">
        <v>0.03</v>
      </c>
      <c r="G46" s="281" t="s">
        <v>57</v>
      </c>
      <c r="H46" s="499">
        <v>1</v>
      </c>
      <c r="I46" s="500"/>
      <c r="J46" s="115">
        <f>F46*H46</f>
        <v>0.03</v>
      </c>
      <c r="K46" s="102">
        <f>J46*(K33+K40)</f>
        <v>0</v>
      </c>
    </row>
    <row r="47" spans="1:13" ht="21.75" customHeight="1" thickTop="1" thickBot="1" x14ac:dyDescent="0.25">
      <c r="A47" s="100" t="s">
        <v>33</v>
      </c>
      <c r="B47" s="496" t="s">
        <v>51</v>
      </c>
      <c r="C47" s="428"/>
      <c r="D47" s="428"/>
      <c r="E47" s="428"/>
      <c r="F47" s="428"/>
      <c r="G47" s="428"/>
      <c r="H47" s="428"/>
      <c r="I47" s="497"/>
      <c r="J47" s="115">
        <v>1.4999999999999999E-2</v>
      </c>
      <c r="K47" s="102">
        <f>J47*(K33+K40)</f>
        <v>0</v>
      </c>
    </row>
    <row r="48" spans="1:13" ht="21.75" customHeight="1" thickTop="1" thickBot="1" x14ac:dyDescent="0.25">
      <c r="A48" s="100" t="s">
        <v>35</v>
      </c>
      <c r="B48" s="496" t="s">
        <v>52</v>
      </c>
      <c r="C48" s="428"/>
      <c r="D48" s="428"/>
      <c r="E48" s="428"/>
      <c r="F48" s="428"/>
      <c r="G48" s="428"/>
      <c r="H48" s="428"/>
      <c r="I48" s="497"/>
      <c r="J48" s="115">
        <v>0.01</v>
      </c>
      <c r="K48" s="102">
        <f>J48*(K33+K40)</f>
        <v>0</v>
      </c>
    </row>
    <row r="49" spans="1:16" ht="21.75" customHeight="1" thickTop="1" thickBot="1" x14ac:dyDescent="0.25">
      <c r="A49" s="100" t="s">
        <v>37</v>
      </c>
      <c r="B49" s="86" t="s">
        <v>59</v>
      </c>
      <c r="C49" s="86"/>
      <c r="D49" s="86"/>
      <c r="E49" s="86"/>
      <c r="F49" s="86"/>
      <c r="G49" s="86"/>
      <c r="H49" s="86"/>
      <c r="I49" s="86"/>
      <c r="J49" s="115">
        <v>6.0000000000000001E-3</v>
      </c>
      <c r="K49" s="102">
        <f>J49*(K33+K40)</f>
        <v>0</v>
      </c>
    </row>
    <row r="50" spans="1:16" ht="21.75" customHeight="1" thickTop="1" thickBot="1" x14ac:dyDescent="0.25">
      <c r="A50" s="100" t="s">
        <v>39</v>
      </c>
      <c r="B50" s="496" t="s">
        <v>53</v>
      </c>
      <c r="C50" s="428"/>
      <c r="D50" s="428"/>
      <c r="E50" s="428"/>
      <c r="F50" s="428"/>
      <c r="G50" s="428"/>
      <c r="H50" s="428"/>
      <c r="I50" s="497"/>
      <c r="J50" s="116">
        <v>2E-3</v>
      </c>
      <c r="K50" s="102">
        <f>J50*(K$33+K$40)</f>
        <v>0</v>
      </c>
    </row>
    <row r="51" spans="1:16" ht="21.75" customHeight="1" thickTop="1" thickBot="1" x14ac:dyDescent="0.25">
      <c r="A51" s="100" t="s">
        <v>58</v>
      </c>
      <c r="B51" s="496" t="s">
        <v>55</v>
      </c>
      <c r="C51" s="428"/>
      <c r="D51" s="428"/>
      <c r="E51" s="428"/>
      <c r="F51" s="428"/>
      <c r="G51" s="428"/>
      <c r="H51" s="428"/>
      <c r="I51" s="497"/>
      <c r="J51" s="116">
        <v>0.08</v>
      </c>
      <c r="K51" s="408">
        <f>J51*(K$33+K$40)</f>
        <v>0</v>
      </c>
    </row>
    <row r="52" spans="1:16" ht="21.75" customHeight="1" thickTop="1" thickBot="1" x14ac:dyDescent="0.25">
      <c r="A52" s="154"/>
      <c r="B52" s="423" t="s">
        <v>47</v>
      </c>
      <c r="C52" s="424"/>
      <c r="D52" s="424"/>
      <c r="E52" s="424"/>
      <c r="F52" s="424"/>
      <c r="G52" s="424"/>
      <c r="H52" s="424"/>
      <c r="I52" s="426"/>
      <c r="J52" s="114">
        <f>SUM(J44:J51)</f>
        <v>0.36800000000000005</v>
      </c>
      <c r="K52" s="282">
        <f>SUM(K44:K51)</f>
        <v>0</v>
      </c>
    </row>
    <row r="53" spans="1:16" ht="21.75" customHeight="1" thickTop="1" x14ac:dyDescent="0.2">
      <c r="A53" s="486" t="s">
        <v>152</v>
      </c>
      <c r="B53" s="487"/>
      <c r="C53" s="487"/>
      <c r="D53" s="487"/>
      <c r="E53" s="487"/>
      <c r="F53" s="487"/>
      <c r="G53" s="487"/>
      <c r="H53" s="487"/>
      <c r="I53" s="487"/>
      <c r="J53" s="487"/>
      <c r="K53" s="488"/>
    </row>
    <row r="54" spans="1:16" ht="21.75" customHeight="1" x14ac:dyDescent="0.2">
      <c r="A54" s="489"/>
      <c r="B54" s="490"/>
      <c r="C54" s="490"/>
      <c r="D54" s="490"/>
      <c r="E54" s="490"/>
      <c r="F54" s="490"/>
      <c r="G54" s="490"/>
      <c r="H54" s="490"/>
      <c r="I54" s="490"/>
      <c r="J54" s="490"/>
      <c r="K54" s="491"/>
    </row>
    <row r="55" spans="1:16" ht="12.6" customHeight="1" thickBot="1" x14ac:dyDescent="0.25">
      <c r="A55" s="492"/>
      <c r="B55" s="493"/>
      <c r="C55" s="493"/>
      <c r="D55" s="493"/>
      <c r="E55" s="493"/>
      <c r="F55" s="493"/>
      <c r="G55" s="493"/>
      <c r="H55" s="493"/>
      <c r="I55" s="493"/>
      <c r="J55" s="493"/>
      <c r="K55" s="494"/>
    </row>
    <row r="56" spans="1:16" ht="21.75" customHeight="1" thickTop="1" thickBot="1" x14ac:dyDescent="0.25">
      <c r="A56" s="423" t="s">
        <v>61</v>
      </c>
      <c r="B56" s="424"/>
      <c r="C56" s="424"/>
      <c r="D56" s="424"/>
      <c r="E56" s="424"/>
      <c r="F56" s="424"/>
      <c r="G56" s="424"/>
      <c r="H56" s="424"/>
      <c r="I56" s="424"/>
      <c r="J56" s="424"/>
      <c r="K56" s="426"/>
    </row>
    <row r="57" spans="1:16" ht="21.75" customHeight="1" thickTop="1" thickBot="1" x14ac:dyDescent="0.25">
      <c r="A57" s="95" t="s">
        <v>23</v>
      </c>
      <c r="B57" s="459" t="s">
        <v>424</v>
      </c>
      <c r="C57" s="459"/>
      <c r="D57" s="459"/>
      <c r="E57" s="459"/>
      <c r="F57" s="459"/>
      <c r="G57" s="459"/>
      <c r="H57" s="459"/>
      <c r="I57" s="459"/>
      <c r="J57" s="459"/>
      <c r="K57" s="117">
        <v>0</v>
      </c>
      <c r="L57" s="111"/>
    </row>
    <row r="58" spans="1:16" ht="21.75" customHeight="1" thickTop="1" thickBot="1" x14ac:dyDescent="0.25">
      <c r="A58" s="95" t="s">
        <v>25</v>
      </c>
      <c r="B58" s="459" t="s">
        <v>423</v>
      </c>
      <c r="C58" s="459"/>
      <c r="D58" s="459"/>
      <c r="E58" s="459"/>
      <c r="F58" s="459"/>
      <c r="G58" s="459"/>
      <c r="H58" s="459"/>
      <c r="I58" s="459"/>
      <c r="J58" s="459"/>
      <c r="K58" s="109">
        <v>0</v>
      </c>
      <c r="L58" s="484"/>
      <c r="M58" s="485"/>
      <c r="N58" s="485"/>
      <c r="O58" s="485"/>
    </row>
    <row r="59" spans="1:16" ht="21.75" customHeight="1" thickTop="1" thickBot="1" x14ac:dyDescent="0.25">
      <c r="A59" s="95" t="s">
        <v>28</v>
      </c>
      <c r="B59" s="459" t="s">
        <v>421</v>
      </c>
      <c r="C59" s="459"/>
      <c r="D59" s="459"/>
      <c r="E59" s="459"/>
      <c r="F59" s="459"/>
      <c r="G59" s="459"/>
      <c r="H59" s="459"/>
      <c r="I59" s="459"/>
      <c r="J59" s="459"/>
      <c r="K59" s="109">
        <v>0</v>
      </c>
      <c r="L59" s="484"/>
      <c r="M59" s="485"/>
      <c r="N59" s="485"/>
      <c r="O59" s="485"/>
      <c r="P59" s="111"/>
    </row>
    <row r="60" spans="1:16" ht="21.75" customHeight="1" thickTop="1" thickBot="1" x14ac:dyDescent="0.25">
      <c r="A60" s="95" t="s">
        <v>33</v>
      </c>
      <c r="B60" s="459" t="s">
        <v>420</v>
      </c>
      <c r="C60" s="459"/>
      <c r="D60" s="459"/>
      <c r="E60" s="459"/>
      <c r="F60" s="459"/>
      <c r="G60" s="459"/>
      <c r="H60" s="459"/>
      <c r="I60" s="459"/>
      <c r="J60" s="459"/>
      <c r="K60" s="109">
        <v>0</v>
      </c>
      <c r="L60" s="484"/>
      <c r="M60" s="485"/>
      <c r="N60" s="485"/>
      <c r="O60" s="485"/>
    </row>
    <row r="61" spans="1:16" ht="21.75" customHeight="1" thickTop="1" thickBot="1" x14ac:dyDescent="0.25">
      <c r="A61" s="95" t="s">
        <v>35</v>
      </c>
      <c r="B61" s="459" t="s">
        <v>87</v>
      </c>
      <c r="C61" s="459"/>
      <c r="D61" s="459"/>
      <c r="E61" s="459"/>
      <c r="F61" s="459"/>
      <c r="G61" s="459"/>
      <c r="H61" s="459"/>
      <c r="I61" s="459"/>
      <c r="J61" s="459"/>
      <c r="K61" s="109">
        <v>0</v>
      </c>
      <c r="L61" s="484"/>
      <c r="M61" s="485"/>
      <c r="N61" s="485"/>
      <c r="O61" s="485"/>
    </row>
    <row r="62" spans="1:16" ht="21.75" customHeight="1" thickTop="1" thickBot="1" x14ac:dyDescent="0.25">
      <c r="A62" s="95"/>
      <c r="B62" s="442" t="s">
        <v>47</v>
      </c>
      <c r="C62" s="442"/>
      <c r="D62" s="442"/>
      <c r="E62" s="442"/>
      <c r="F62" s="442"/>
      <c r="G62" s="442"/>
      <c r="H62" s="442"/>
      <c r="I62" s="442"/>
      <c r="J62" s="442"/>
      <c r="K62" s="105">
        <f>SUM(K57:K61)</f>
        <v>0</v>
      </c>
    </row>
    <row r="63" spans="1:16" ht="21.75" customHeight="1" thickTop="1" x14ac:dyDescent="0.2">
      <c r="A63" s="464" t="s">
        <v>153</v>
      </c>
      <c r="B63" s="465"/>
      <c r="C63" s="465"/>
      <c r="D63" s="465"/>
      <c r="E63" s="465"/>
      <c r="F63" s="465"/>
      <c r="G63" s="465"/>
      <c r="H63" s="465"/>
      <c r="I63" s="465"/>
      <c r="J63" s="465"/>
      <c r="K63" s="466"/>
    </row>
    <row r="64" spans="1:16" ht="37.15" customHeight="1" thickBot="1" x14ac:dyDescent="0.25">
      <c r="A64" s="467"/>
      <c r="B64" s="468"/>
      <c r="C64" s="468"/>
      <c r="D64" s="468"/>
      <c r="E64" s="468"/>
      <c r="F64" s="468"/>
      <c r="G64" s="468"/>
      <c r="H64" s="468"/>
      <c r="I64" s="468"/>
      <c r="J64" s="468"/>
      <c r="K64" s="469"/>
    </row>
    <row r="65" spans="1:18" ht="21.75" customHeight="1" thickTop="1" thickBot="1" x14ac:dyDescent="0.25">
      <c r="A65" s="423" t="s">
        <v>64</v>
      </c>
      <c r="B65" s="424"/>
      <c r="C65" s="424"/>
      <c r="D65" s="424"/>
      <c r="E65" s="424"/>
      <c r="F65" s="424"/>
      <c r="G65" s="424"/>
      <c r="H65" s="424"/>
      <c r="I65" s="424"/>
      <c r="J65" s="424"/>
      <c r="K65" s="426"/>
    </row>
    <row r="66" spans="1:18" ht="21.75" customHeight="1" thickTop="1" thickBot="1" x14ac:dyDescent="0.25">
      <c r="A66" s="118" t="s">
        <v>65</v>
      </c>
      <c r="B66" s="455" t="s">
        <v>154</v>
      </c>
      <c r="C66" s="455"/>
      <c r="D66" s="455"/>
      <c r="E66" s="455"/>
      <c r="F66" s="455"/>
      <c r="G66" s="455"/>
      <c r="H66" s="455"/>
      <c r="I66" s="455"/>
      <c r="J66" s="119">
        <f>J40</f>
        <v>0.19440000000000002</v>
      </c>
      <c r="K66" s="120">
        <f>K40</f>
        <v>0</v>
      </c>
    </row>
    <row r="67" spans="1:18" ht="21.75" customHeight="1" thickTop="1" thickBot="1" x14ac:dyDescent="0.25">
      <c r="A67" s="118" t="s">
        <v>67</v>
      </c>
      <c r="B67" s="455" t="s">
        <v>68</v>
      </c>
      <c r="C67" s="455"/>
      <c r="D67" s="455"/>
      <c r="E67" s="455"/>
      <c r="F67" s="455"/>
      <c r="G67" s="455"/>
      <c r="H67" s="455"/>
      <c r="I67" s="455"/>
      <c r="J67" s="119">
        <f>J52</f>
        <v>0.36800000000000005</v>
      </c>
      <c r="K67" s="120">
        <f>K52</f>
        <v>0</v>
      </c>
    </row>
    <row r="68" spans="1:18" ht="21.75" customHeight="1" thickTop="1" thickBot="1" x14ac:dyDescent="0.25">
      <c r="A68" s="118" t="s">
        <v>69</v>
      </c>
      <c r="B68" s="455" t="s">
        <v>70</v>
      </c>
      <c r="C68" s="455"/>
      <c r="D68" s="455"/>
      <c r="E68" s="455"/>
      <c r="F68" s="455"/>
      <c r="G68" s="455"/>
      <c r="H68" s="455"/>
      <c r="I68" s="455"/>
      <c r="J68" s="455"/>
      <c r="K68" s="120">
        <f>K62</f>
        <v>0</v>
      </c>
    </row>
    <row r="69" spans="1:18" ht="21.75" customHeight="1" thickTop="1" thickBot="1" x14ac:dyDescent="0.25">
      <c r="A69" s="95"/>
      <c r="B69" s="442" t="s">
        <v>47</v>
      </c>
      <c r="C69" s="442"/>
      <c r="D69" s="442"/>
      <c r="E69" s="442"/>
      <c r="F69" s="442"/>
      <c r="G69" s="442"/>
      <c r="H69" s="442"/>
      <c r="I69" s="442"/>
      <c r="J69" s="442"/>
      <c r="K69" s="105">
        <f>ROUND((K66+K67+K68),2)</f>
        <v>0</v>
      </c>
    </row>
    <row r="70" spans="1:18" s="121" customFormat="1" ht="21.75" customHeight="1" thickTop="1" thickBot="1" x14ac:dyDescent="0.3">
      <c r="A70" s="482"/>
      <c r="B70" s="483"/>
      <c r="C70" s="483"/>
      <c r="D70" s="483"/>
      <c r="E70" s="483"/>
      <c r="F70" s="483"/>
      <c r="G70" s="483"/>
      <c r="H70" s="483"/>
      <c r="I70" s="483"/>
      <c r="J70" s="483"/>
      <c r="K70" s="483"/>
    </row>
    <row r="71" spans="1:18" s="121" customFormat="1" ht="21.75" customHeight="1" thickTop="1" thickBot="1" x14ac:dyDescent="0.3">
      <c r="A71" s="423" t="s">
        <v>71</v>
      </c>
      <c r="B71" s="424"/>
      <c r="C71" s="424"/>
      <c r="D71" s="424"/>
      <c r="E71" s="424"/>
      <c r="F71" s="424"/>
      <c r="G71" s="424"/>
      <c r="H71" s="424"/>
      <c r="I71" s="424"/>
      <c r="J71" s="424"/>
      <c r="K71" s="426"/>
    </row>
    <row r="72" spans="1:18" s="121" customFormat="1" ht="21.75" customHeight="1" thickTop="1" thickBot="1" x14ac:dyDescent="0.3">
      <c r="A72" s="122" t="s">
        <v>23</v>
      </c>
      <c r="B72" s="459" t="s">
        <v>72</v>
      </c>
      <c r="C72" s="459"/>
      <c r="D72" s="459"/>
      <c r="E72" s="459"/>
      <c r="F72" s="459"/>
      <c r="G72" s="459"/>
      <c r="H72" s="459"/>
      <c r="I72" s="459"/>
      <c r="J72" s="123">
        <f>L72</f>
        <v>4.1666666666666666E-3</v>
      </c>
      <c r="K72" s="124">
        <f>J72*$K$33</f>
        <v>0</v>
      </c>
      <c r="L72" s="478">
        <f>0.05*(1/12)</f>
        <v>4.1666666666666666E-3</v>
      </c>
      <c r="M72" s="479"/>
      <c r="N72" s="121" t="s">
        <v>73</v>
      </c>
    </row>
    <row r="73" spans="1:18" s="121" customFormat="1" ht="21.75" customHeight="1" thickTop="1" thickBot="1" x14ac:dyDescent="0.3">
      <c r="A73" s="122" t="s">
        <v>25</v>
      </c>
      <c r="B73" s="459" t="s">
        <v>74</v>
      </c>
      <c r="C73" s="459"/>
      <c r="D73" s="459"/>
      <c r="E73" s="459"/>
      <c r="F73" s="459"/>
      <c r="G73" s="459"/>
      <c r="H73" s="459"/>
      <c r="I73" s="459"/>
      <c r="J73" s="123">
        <f>L73</f>
        <v>3.3333333333333332E-4</v>
      </c>
      <c r="K73" s="124">
        <f t="shared" ref="K73:K75" si="0">J73*$K$33</f>
        <v>0</v>
      </c>
      <c r="L73" s="480">
        <f>0.08*J72</f>
        <v>3.3333333333333332E-4</v>
      </c>
      <c r="M73" s="481"/>
    </row>
    <row r="74" spans="1:18" s="121" customFormat="1" ht="28.15" customHeight="1" thickTop="1" thickBot="1" x14ac:dyDescent="0.3">
      <c r="A74" s="122" t="s">
        <v>28</v>
      </c>
      <c r="B74" s="472" t="s">
        <v>75</v>
      </c>
      <c r="C74" s="472"/>
      <c r="D74" s="472"/>
      <c r="E74" s="472"/>
      <c r="F74" s="472"/>
      <c r="G74" s="472"/>
      <c r="H74" s="472"/>
      <c r="I74" s="472"/>
      <c r="J74" s="125">
        <f>L74</f>
        <v>3.4799999999999998E-2</v>
      </c>
      <c r="K74" s="124">
        <f t="shared" si="0"/>
        <v>0</v>
      </c>
      <c r="L74" s="473">
        <f>(0.08*(0.4)*0.9)*((1+5/56+5/56)+(1/3*5/56))</f>
        <v>3.4799999999999998E-2</v>
      </c>
      <c r="M74" s="474"/>
      <c r="N74" s="126"/>
      <c r="O74" s="127"/>
      <c r="P74" s="127"/>
      <c r="Q74" s="127"/>
      <c r="R74" s="127"/>
    </row>
    <row r="75" spans="1:18" s="121" customFormat="1" ht="21.75" customHeight="1" thickTop="1" thickBot="1" x14ac:dyDescent="0.3">
      <c r="A75" s="122" t="s">
        <v>33</v>
      </c>
      <c r="B75" s="459" t="s">
        <v>76</v>
      </c>
      <c r="C75" s="459"/>
      <c r="D75" s="459"/>
      <c r="E75" s="459"/>
      <c r="F75" s="459"/>
      <c r="G75" s="459"/>
      <c r="H75" s="459"/>
      <c r="I75" s="459"/>
      <c r="J75" s="125">
        <f>L75</f>
        <v>1.9444444444444445E-2</v>
      </c>
      <c r="K75" s="124">
        <f t="shared" si="0"/>
        <v>0</v>
      </c>
      <c r="L75" s="473">
        <f>(7/30)/12</f>
        <v>1.9444444444444445E-2</v>
      </c>
      <c r="M75" s="474"/>
    </row>
    <row r="76" spans="1:18" s="121" customFormat="1" ht="30" customHeight="1" thickTop="1" thickBot="1" x14ac:dyDescent="0.3">
      <c r="A76" s="122" t="s">
        <v>35</v>
      </c>
      <c r="B76" s="459" t="s">
        <v>77</v>
      </c>
      <c r="C76" s="459"/>
      <c r="D76" s="459"/>
      <c r="E76" s="459"/>
      <c r="F76" s="459"/>
      <c r="G76" s="459"/>
      <c r="H76" s="459"/>
      <c r="I76" s="459"/>
      <c r="J76" s="123">
        <f>J52*J75</f>
        <v>7.1555555555555565E-3</v>
      </c>
      <c r="K76" s="124">
        <f>K33*J76</f>
        <v>0</v>
      </c>
      <c r="L76" s="470">
        <f>J75*J52</f>
        <v>7.1555555555555565E-3</v>
      </c>
      <c r="M76" s="471"/>
      <c r="N76" s="128"/>
    </row>
    <row r="77" spans="1:18" s="121" customFormat="1" ht="30" customHeight="1" thickTop="1" thickBot="1" x14ac:dyDescent="0.3">
      <c r="A77" s="122" t="s">
        <v>37</v>
      </c>
      <c r="B77" s="472" t="s">
        <v>78</v>
      </c>
      <c r="C77" s="472"/>
      <c r="D77" s="472"/>
      <c r="E77" s="472"/>
      <c r="F77" s="472"/>
      <c r="G77" s="472"/>
      <c r="H77" s="472"/>
      <c r="I77" s="472"/>
      <c r="J77" s="123">
        <f>L77</f>
        <v>6.2222222222222225E-4</v>
      </c>
      <c r="K77" s="124">
        <f>J77*(K33+K40)</f>
        <v>0</v>
      </c>
      <c r="L77" s="473">
        <f>0.08*(0.4)*J75</f>
        <v>6.2222222222222225E-4</v>
      </c>
      <c r="M77" s="474"/>
      <c r="O77" s="129"/>
    </row>
    <row r="78" spans="1:18" s="121" customFormat="1" ht="21.75" customHeight="1" thickTop="1" thickBot="1" x14ac:dyDescent="0.3">
      <c r="A78" s="423" t="s">
        <v>47</v>
      </c>
      <c r="B78" s="424"/>
      <c r="C78" s="424"/>
      <c r="D78" s="424"/>
      <c r="E78" s="424"/>
      <c r="F78" s="424"/>
      <c r="G78" s="424"/>
      <c r="H78" s="424"/>
      <c r="I78" s="424"/>
      <c r="J78" s="130"/>
      <c r="K78" s="131">
        <f>ROUND(K72+K73+K74+K75+K76+K77,2)</f>
        <v>0</v>
      </c>
    </row>
    <row r="79" spans="1:18" s="121" customFormat="1" ht="21.75" customHeight="1" thickTop="1" x14ac:dyDescent="0.25">
      <c r="A79" s="464" t="s">
        <v>155</v>
      </c>
      <c r="B79" s="465"/>
      <c r="C79" s="465"/>
      <c r="D79" s="465"/>
      <c r="E79" s="465"/>
      <c r="F79" s="465"/>
      <c r="G79" s="465"/>
      <c r="H79" s="465"/>
      <c r="I79" s="465"/>
      <c r="J79" s="465"/>
      <c r="K79" s="466"/>
    </row>
    <row r="80" spans="1:18" s="121" customFormat="1" ht="21.75" customHeight="1" x14ac:dyDescent="0.25">
      <c r="A80" s="475"/>
      <c r="B80" s="476"/>
      <c r="C80" s="476"/>
      <c r="D80" s="476"/>
      <c r="E80" s="476"/>
      <c r="F80" s="476"/>
      <c r="G80" s="476"/>
      <c r="H80" s="476"/>
      <c r="I80" s="476"/>
      <c r="J80" s="476"/>
      <c r="K80" s="477"/>
    </row>
    <row r="81" spans="1:18" s="121" customFormat="1" ht="12.6" customHeight="1" thickBot="1" x14ac:dyDescent="0.3">
      <c r="A81" s="467"/>
      <c r="B81" s="468"/>
      <c r="C81" s="468"/>
      <c r="D81" s="468"/>
      <c r="E81" s="468"/>
      <c r="F81" s="468"/>
      <c r="G81" s="468"/>
      <c r="H81" s="468"/>
      <c r="I81" s="468"/>
      <c r="J81" s="468"/>
      <c r="K81" s="469"/>
    </row>
    <row r="82" spans="1:18" s="121" customFormat="1" ht="21.75" customHeight="1" thickTop="1" thickBot="1" x14ac:dyDescent="0.3">
      <c r="A82" s="423" t="s">
        <v>80</v>
      </c>
      <c r="B82" s="424"/>
      <c r="C82" s="424"/>
      <c r="D82" s="424"/>
      <c r="E82" s="424"/>
      <c r="F82" s="424"/>
      <c r="G82" s="424"/>
      <c r="H82" s="424"/>
      <c r="I82" s="424"/>
      <c r="J82" s="424"/>
      <c r="K82" s="426"/>
    </row>
    <row r="83" spans="1:18" s="121" customFormat="1" ht="21.75" customHeight="1" thickTop="1" thickBot="1" x14ac:dyDescent="0.3">
      <c r="A83" s="423" t="s">
        <v>144</v>
      </c>
      <c r="B83" s="424"/>
      <c r="C83" s="424"/>
      <c r="D83" s="424"/>
      <c r="E83" s="424"/>
      <c r="F83" s="424"/>
      <c r="G83" s="424"/>
      <c r="H83" s="424"/>
      <c r="I83" s="424"/>
      <c r="J83" s="424"/>
      <c r="K83" s="426"/>
    </row>
    <row r="84" spans="1:18" s="121" customFormat="1" ht="21.75" customHeight="1" thickTop="1" thickBot="1" x14ac:dyDescent="0.3">
      <c r="A84" s="132" t="s">
        <v>23</v>
      </c>
      <c r="B84" s="459" t="s">
        <v>82</v>
      </c>
      <c r="C84" s="459"/>
      <c r="D84" s="459"/>
      <c r="E84" s="459"/>
      <c r="F84" s="459"/>
      <c r="G84" s="459"/>
      <c r="H84" s="459"/>
      <c r="I84" s="459"/>
      <c r="J84" s="125">
        <f>L84</f>
        <v>9.0909090909090912E-2</v>
      </c>
      <c r="K84" s="124">
        <f>J84*$K$33</f>
        <v>0</v>
      </c>
      <c r="L84" s="133">
        <f>(5/55)</f>
        <v>9.0909090909090912E-2</v>
      </c>
      <c r="M84" s="134"/>
    </row>
    <row r="85" spans="1:18" s="121" customFormat="1" ht="21.75" customHeight="1" thickTop="1" thickBot="1" x14ac:dyDescent="0.3">
      <c r="A85" s="132" t="s">
        <v>25</v>
      </c>
      <c r="B85" s="459" t="s">
        <v>83</v>
      </c>
      <c r="C85" s="459"/>
      <c r="D85" s="459"/>
      <c r="E85" s="459"/>
      <c r="F85" s="459"/>
      <c r="G85" s="459"/>
      <c r="H85" s="459"/>
      <c r="I85" s="459"/>
      <c r="J85" s="123">
        <f>L85</f>
        <v>1.3698630136986301E-2</v>
      </c>
      <c r="K85" s="124">
        <f t="shared" ref="K85:K89" si="1">J85*$K$33</f>
        <v>0</v>
      </c>
      <c r="L85" s="133">
        <f>5/365</f>
        <v>1.3698630136986301E-2</v>
      </c>
      <c r="M85" s="135"/>
      <c r="N85" s="136"/>
      <c r="O85" s="136"/>
      <c r="P85" s="136"/>
    </row>
    <row r="86" spans="1:18" s="121" customFormat="1" ht="21.75" customHeight="1" thickTop="1" thickBot="1" x14ac:dyDescent="0.3">
      <c r="A86" s="132" t="s">
        <v>28</v>
      </c>
      <c r="B86" s="459" t="s">
        <v>84</v>
      </c>
      <c r="C86" s="459"/>
      <c r="D86" s="459"/>
      <c r="E86" s="459"/>
      <c r="F86" s="459"/>
      <c r="G86" s="459"/>
      <c r="H86" s="459"/>
      <c r="I86" s="459"/>
      <c r="J86" s="123">
        <f>L86</f>
        <v>2.0547945205479451E-4</v>
      </c>
      <c r="K86" s="124">
        <f t="shared" si="1"/>
        <v>0</v>
      </c>
      <c r="L86" s="133">
        <f>5/365*0.015</f>
        <v>2.0547945205479451E-4</v>
      </c>
      <c r="M86" s="137"/>
    </row>
    <row r="87" spans="1:18" s="121" customFormat="1" ht="21.75" customHeight="1" thickTop="1" thickBot="1" x14ac:dyDescent="0.3">
      <c r="A87" s="132" t="s">
        <v>33</v>
      </c>
      <c r="B87" s="459" t="s">
        <v>85</v>
      </c>
      <c r="C87" s="459"/>
      <c r="D87" s="459"/>
      <c r="E87" s="459"/>
      <c r="F87" s="459"/>
      <c r="G87" s="459"/>
      <c r="H87" s="459"/>
      <c r="I87" s="459"/>
      <c r="J87" s="123">
        <f>L87</f>
        <v>3.2876712328767121E-3</v>
      </c>
      <c r="K87" s="124">
        <f t="shared" si="1"/>
        <v>0</v>
      </c>
      <c r="L87" s="133">
        <f>15/365*0.08</f>
        <v>3.2876712328767121E-3</v>
      </c>
      <c r="M87" s="137"/>
    </row>
    <row r="88" spans="1:18" s="121" customFormat="1" ht="21.75" customHeight="1" thickTop="1" thickBot="1" x14ac:dyDescent="0.3">
      <c r="A88" s="132" t="s">
        <v>35</v>
      </c>
      <c r="B88" s="459" t="s">
        <v>86</v>
      </c>
      <c r="C88" s="459"/>
      <c r="D88" s="459"/>
      <c r="E88" s="459"/>
      <c r="F88" s="459"/>
      <c r="G88" s="459"/>
      <c r="H88" s="459"/>
      <c r="I88" s="459"/>
      <c r="J88" s="123">
        <f>M88</f>
        <v>1.6133333333333334E-3</v>
      </c>
      <c r="K88" s="124">
        <f t="shared" si="1"/>
        <v>0</v>
      </c>
      <c r="L88"/>
      <c r="M88" s="138">
        <f>((0.121*4)/12*0.04)</f>
        <v>1.6133333333333334E-3</v>
      </c>
      <c r="N88" s="139"/>
      <c r="Q88" s="140"/>
      <c r="R88" s="141"/>
    </row>
    <row r="89" spans="1:18" s="121" customFormat="1" ht="21.75" customHeight="1" thickTop="1" thickBot="1" x14ac:dyDescent="0.3">
      <c r="A89" s="132" t="s">
        <v>37</v>
      </c>
      <c r="B89" s="459" t="s">
        <v>87</v>
      </c>
      <c r="C89" s="459"/>
      <c r="D89" s="459"/>
      <c r="E89" s="459"/>
      <c r="F89" s="459"/>
      <c r="G89" s="459"/>
      <c r="H89" s="459"/>
      <c r="I89" s="459"/>
      <c r="J89" s="125">
        <v>0</v>
      </c>
      <c r="K89" s="124">
        <f t="shared" si="1"/>
        <v>0</v>
      </c>
      <c r="L89"/>
      <c r="M89" s="137"/>
    </row>
    <row r="90" spans="1:18" s="121" customFormat="1" ht="21.75" customHeight="1" thickTop="1" thickBot="1" x14ac:dyDescent="0.3">
      <c r="A90" s="132" t="s">
        <v>39</v>
      </c>
      <c r="B90" s="459" t="s">
        <v>88</v>
      </c>
      <c r="C90" s="459"/>
      <c r="D90" s="459"/>
      <c r="E90" s="459"/>
      <c r="F90" s="459"/>
      <c r="G90" s="459"/>
      <c r="H90" s="459"/>
      <c r="I90" s="459"/>
      <c r="J90" s="125">
        <f>(J84+J85+J86+J87+J88+J89)*J52</f>
        <v>4.0374827463677876E-2</v>
      </c>
      <c r="K90" s="124">
        <f>K33*J90</f>
        <v>0</v>
      </c>
      <c r="L90" s="137"/>
      <c r="M90" s="137"/>
      <c r="Q90" s="142"/>
    </row>
    <row r="91" spans="1:18" s="121" customFormat="1" ht="21.75" customHeight="1" thickTop="1" thickBot="1" x14ac:dyDescent="0.3">
      <c r="A91" s="423" t="s">
        <v>47</v>
      </c>
      <c r="B91" s="424"/>
      <c r="C91" s="424"/>
      <c r="D91" s="424"/>
      <c r="E91" s="424"/>
      <c r="F91" s="424"/>
      <c r="G91" s="424"/>
      <c r="H91" s="424"/>
      <c r="I91" s="426"/>
      <c r="J91" s="143">
        <f>SUM(J84:J90)</f>
        <v>0.15008903252801992</v>
      </c>
      <c r="K91" s="131">
        <f>ROUND(K84+K85+K86+K87+K88+K90,2)</f>
        <v>0</v>
      </c>
    </row>
    <row r="92" spans="1:18" s="121" customFormat="1" ht="21.75" customHeight="1" thickTop="1" x14ac:dyDescent="0.25">
      <c r="A92" s="464" t="s">
        <v>156</v>
      </c>
      <c r="B92" s="465"/>
      <c r="C92" s="465"/>
      <c r="D92" s="465"/>
      <c r="E92" s="465"/>
      <c r="F92" s="465"/>
      <c r="G92" s="465"/>
      <c r="H92" s="465"/>
      <c r="I92" s="465"/>
      <c r="J92" s="465"/>
      <c r="K92" s="466"/>
    </row>
    <row r="93" spans="1:18" s="121" customFormat="1" ht="27" customHeight="1" thickBot="1" x14ac:dyDescent="0.3">
      <c r="A93" s="467"/>
      <c r="B93" s="468"/>
      <c r="C93" s="468"/>
      <c r="D93" s="468"/>
      <c r="E93" s="468"/>
      <c r="F93" s="468"/>
      <c r="G93" s="468"/>
      <c r="H93" s="468"/>
      <c r="I93" s="468"/>
      <c r="J93" s="468"/>
      <c r="K93" s="469"/>
    </row>
    <row r="94" spans="1:18" s="121" customFormat="1" ht="21.75" customHeight="1" thickTop="1" thickBot="1" x14ac:dyDescent="0.3">
      <c r="A94" s="423" t="s">
        <v>90</v>
      </c>
      <c r="B94" s="424"/>
      <c r="C94" s="424"/>
      <c r="D94" s="424"/>
      <c r="E94" s="424"/>
      <c r="F94" s="424"/>
      <c r="G94" s="424"/>
      <c r="H94" s="424"/>
      <c r="I94" s="424"/>
      <c r="J94" s="424"/>
      <c r="K94" s="426"/>
    </row>
    <row r="95" spans="1:18" s="121" customFormat="1" ht="21.75" customHeight="1" thickTop="1" thickBot="1" x14ac:dyDescent="0.25">
      <c r="A95" s="95" t="s">
        <v>23</v>
      </c>
      <c r="B95" s="459" t="s">
        <v>91</v>
      </c>
      <c r="C95" s="459"/>
      <c r="D95" s="459"/>
      <c r="E95" s="459"/>
      <c r="F95" s="459"/>
      <c r="G95" s="459"/>
      <c r="H95" s="459"/>
      <c r="I95" s="459"/>
      <c r="J95" s="144">
        <v>0</v>
      </c>
      <c r="K95" s="102">
        <f>J95*L95</f>
        <v>0</v>
      </c>
      <c r="L95" s="136"/>
      <c r="M95" s="127"/>
      <c r="R95" s="145"/>
    </row>
    <row r="96" spans="1:18" s="121" customFormat="1" ht="21.75" customHeight="1" thickTop="1" thickBot="1" x14ac:dyDescent="0.3">
      <c r="A96" s="95"/>
      <c r="B96" s="460" t="s">
        <v>47</v>
      </c>
      <c r="C96" s="460"/>
      <c r="D96" s="460"/>
      <c r="E96" s="460"/>
      <c r="F96" s="460"/>
      <c r="G96" s="460"/>
      <c r="H96" s="460"/>
      <c r="I96" s="460"/>
      <c r="J96" s="146"/>
      <c r="K96" s="102">
        <f>K95</f>
        <v>0</v>
      </c>
      <c r="L96" s="136"/>
    </row>
    <row r="97" spans="1:13" s="121" customFormat="1" ht="35.450000000000003" customHeight="1" thickTop="1" thickBot="1" x14ac:dyDescent="0.3">
      <c r="A97" s="439" t="s">
        <v>157</v>
      </c>
      <c r="B97" s="440"/>
      <c r="C97" s="440"/>
      <c r="D97" s="440"/>
      <c r="E97" s="440"/>
      <c r="F97" s="440"/>
      <c r="G97" s="440"/>
      <c r="H97" s="440"/>
      <c r="I97" s="440"/>
      <c r="J97" s="440"/>
      <c r="K97" s="441"/>
    </row>
    <row r="98" spans="1:13" s="121" customFormat="1" ht="21.75" customHeight="1" thickTop="1" thickBot="1" x14ac:dyDescent="0.3">
      <c r="A98" s="423" t="s">
        <v>93</v>
      </c>
      <c r="B98" s="424"/>
      <c r="C98" s="424"/>
      <c r="D98" s="424"/>
      <c r="E98" s="424"/>
      <c r="F98" s="424"/>
      <c r="G98" s="424"/>
      <c r="H98" s="424"/>
      <c r="I98" s="424"/>
      <c r="J98" s="424"/>
      <c r="K98" s="426"/>
    </row>
    <row r="99" spans="1:13" s="121" customFormat="1" ht="21.75" customHeight="1" thickTop="1" thickBot="1" x14ac:dyDescent="0.3">
      <c r="A99" s="95" t="s">
        <v>94</v>
      </c>
      <c r="B99" s="461" t="s">
        <v>95</v>
      </c>
      <c r="C99" s="462"/>
      <c r="D99" s="462"/>
      <c r="E99" s="462"/>
      <c r="F99" s="462"/>
      <c r="G99" s="462"/>
      <c r="H99" s="462"/>
      <c r="I99" s="462"/>
      <c r="J99" s="463"/>
      <c r="K99" s="104">
        <f>K91</f>
        <v>0</v>
      </c>
    </row>
    <row r="100" spans="1:13" s="121" customFormat="1" ht="21.75" customHeight="1" thickTop="1" thickBot="1" x14ac:dyDescent="0.3">
      <c r="A100" s="95" t="s">
        <v>96</v>
      </c>
      <c r="B100" s="461" t="s">
        <v>97</v>
      </c>
      <c r="C100" s="462"/>
      <c r="D100" s="462"/>
      <c r="E100" s="462"/>
      <c r="F100" s="462"/>
      <c r="G100" s="462"/>
      <c r="H100" s="462"/>
      <c r="I100" s="462"/>
      <c r="J100" s="463"/>
      <c r="K100" s="104">
        <f>K96</f>
        <v>0</v>
      </c>
    </row>
    <row r="101" spans="1:13" s="121" customFormat="1" ht="21.75" customHeight="1" thickTop="1" thickBot="1" x14ac:dyDescent="0.3">
      <c r="A101" s="95"/>
      <c r="B101" s="442" t="s">
        <v>47</v>
      </c>
      <c r="C101" s="442"/>
      <c r="D101" s="442"/>
      <c r="E101" s="442"/>
      <c r="F101" s="442"/>
      <c r="G101" s="442"/>
      <c r="H101" s="442"/>
      <c r="I101" s="442"/>
      <c r="J101" s="442"/>
      <c r="K101" s="131">
        <f>K99+K100</f>
        <v>0</v>
      </c>
    </row>
    <row r="102" spans="1:13" s="121" customFormat="1" ht="21.75" customHeight="1" thickTop="1" thickBot="1" x14ac:dyDescent="0.3">
      <c r="A102" s="439"/>
      <c r="B102" s="440"/>
      <c r="C102" s="440"/>
      <c r="D102" s="440"/>
      <c r="E102" s="440"/>
      <c r="F102" s="440"/>
      <c r="G102" s="440"/>
      <c r="H102" s="440"/>
      <c r="I102" s="440"/>
      <c r="J102" s="440"/>
      <c r="K102" s="441"/>
    </row>
    <row r="103" spans="1:13" ht="21.75" customHeight="1" thickTop="1" thickBot="1" x14ac:dyDescent="0.25">
      <c r="A103" s="423" t="s">
        <v>98</v>
      </c>
      <c r="B103" s="424"/>
      <c r="C103" s="424"/>
      <c r="D103" s="424"/>
      <c r="E103" s="424"/>
      <c r="F103" s="424"/>
      <c r="G103" s="424"/>
      <c r="H103" s="424"/>
      <c r="I103" s="424"/>
      <c r="J103" s="426"/>
      <c r="K103" s="95" t="s">
        <v>99</v>
      </c>
    </row>
    <row r="104" spans="1:13" ht="21.75" customHeight="1" thickTop="1" thickBot="1" x14ac:dyDescent="0.25">
      <c r="A104" s="95" t="s">
        <v>23</v>
      </c>
      <c r="B104" s="455" t="s">
        <v>100</v>
      </c>
      <c r="C104" s="455"/>
      <c r="D104" s="455"/>
      <c r="E104" s="455"/>
      <c r="F104" s="455"/>
      <c r="G104" s="455"/>
      <c r="H104" s="455"/>
      <c r="I104" s="455"/>
      <c r="J104" s="455"/>
      <c r="K104" s="147">
        <f>'Insumos Porto do Recife'!E68</f>
        <v>0</v>
      </c>
    </row>
    <row r="105" spans="1:13" ht="21.75" customHeight="1" thickTop="1" thickBot="1" x14ac:dyDescent="0.25">
      <c r="A105" s="95" t="s">
        <v>25</v>
      </c>
      <c r="B105" s="455" t="s">
        <v>101</v>
      </c>
      <c r="C105" s="455"/>
      <c r="D105" s="455"/>
      <c r="E105" s="456" t="s">
        <v>102</v>
      </c>
      <c r="F105" s="456"/>
      <c r="G105" s="456"/>
      <c r="H105" s="456"/>
      <c r="I105" s="456"/>
      <c r="J105" s="456"/>
      <c r="K105" s="147">
        <f>'Insumos Porto do Recife'!B54</f>
        <v>0</v>
      </c>
    </row>
    <row r="106" spans="1:13" ht="21.75" customHeight="1" thickTop="1" thickBot="1" x14ac:dyDescent="0.25">
      <c r="A106" s="95" t="s">
        <v>28</v>
      </c>
      <c r="B106" s="455" t="s">
        <v>103</v>
      </c>
      <c r="C106" s="455"/>
      <c r="D106" s="455"/>
      <c r="E106" s="456" t="s">
        <v>102</v>
      </c>
      <c r="F106" s="456"/>
      <c r="G106" s="456"/>
      <c r="H106" s="456"/>
      <c r="I106" s="456"/>
      <c r="J106" s="456"/>
      <c r="K106" s="147">
        <f>'Insumos Porto do Recife'!B53+'Insumos Porto do Recife'!B52</f>
        <v>0</v>
      </c>
    </row>
    <row r="107" spans="1:13" ht="21.75" customHeight="1" thickTop="1" thickBot="1" x14ac:dyDescent="0.25">
      <c r="A107" s="442" t="s">
        <v>33</v>
      </c>
      <c r="B107" s="457" t="s">
        <v>87</v>
      </c>
      <c r="C107" s="457"/>
      <c r="D107" s="458" t="s">
        <v>104</v>
      </c>
      <c r="E107" s="458"/>
      <c r="F107" s="458"/>
      <c r="G107" s="458"/>
      <c r="H107" s="458"/>
      <c r="I107" s="458"/>
      <c r="J107" s="458"/>
      <c r="K107" s="147">
        <v>0</v>
      </c>
    </row>
    <row r="108" spans="1:13" ht="21.75" customHeight="1" thickTop="1" thickBot="1" x14ac:dyDescent="0.25">
      <c r="A108" s="442"/>
      <c r="B108" s="457"/>
      <c r="C108" s="457"/>
      <c r="D108" s="458" t="s">
        <v>104</v>
      </c>
      <c r="E108" s="458"/>
      <c r="F108" s="458"/>
      <c r="G108" s="458"/>
      <c r="H108" s="458"/>
      <c r="I108" s="458"/>
      <c r="J108" s="458"/>
      <c r="K108" s="147">
        <f>J108*K33</f>
        <v>0</v>
      </c>
    </row>
    <row r="109" spans="1:13" s="121" customFormat="1" ht="21.75" customHeight="1" thickTop="1" thickBot="1" x14ac:dyDescent="0.3">
      <c r="A109" s="423" t="s">
        <v>105</v>
      </c>
      <c r="B109" s="424"/>
      <c r="C109" s="424"/>
      <c r="D109" s="424"/>
      <c r="E109" s="424"/>
      <c r="F109" s="424"/>
      <c r="G109" s="424"/>
      <c r="H109" s="424"/>
      <c r="I109" s="424"/>
      <c r="J109" s="426"/>
      <c r="K109" s="131">
        <f>SUM(K104:K108)</f>
        <v>0</v>
      </c>
    </row>
    <row r="110" spans="1:13" s="121" customFormat="1" ht="21.75" customHeight="1" thickTop="1" thickBot="1" x14ac:dyDescent="0.3">
      <c r="A110" s="439" t="s">
        <v>158</v>
      </c>
      <c r="B110" s="440"/>
      <c r="C110" s="440"/>
      <c r="D110" s="440"/>
      <c r="E110" s="440"/>
      <c r="F110" s="440"/>
      <c r="G110" s="440"/>
      <c r="H110" s="440"/>
      <c r="I110" s="440"/>
      <c r="J110" s="440"/>
      <c r="K110" s="441"/>
    </row>
    <row r="111" spans="1:13" s="121" customFormat="1" ht="21.75" customHeight="1" thickTop="1" thickBot="1" x14ac:dyDescent="0.3">
      <c r="A111" s="423" t="s">
        <v>107</v>
      </c>
      <c r="B111" s="424"/>
      <c r="C111" s="424"/>
      <c r="D111" s="424"/>
      <c r="E111" s="424"/>
      <c r="F111" s="424"/>
      <c r="G111" s="424"/>
      <c r="H111" s="424"/>
      <c r="I111" s="424"/>
      <c r="J111" s="426"/>
      <c r="K111" s="95" t="s">
        <v>22</v>
      </c>
    </row>
    <row r="112" spans="1:13" s="121" customFormat="1" ht="21.75" customHeight="1" thickTop="1" thickBot="1" x14ac:dyDescent="0.3">
      <c r="A112" s="95" t="s">
        <v>23</v>
      </c>
      <c r="B112" s="86" t="s">
        <v>108</v>
      </c>
      <c r="C112" s="86"/>
      <c r="D112" s="86"/>
      <c r="E112" s="86"/>
      <c r="F112" s="86"/>
      <c r="G112" s="86"/>
      <c r="H112" s="86"/>
      <c r="I112" s="86"/>
      <c r="J112" s="340">
        <v>0.03</v>
      </c>
      <c r="K112" s="124">
        <f>J112*K132</f>
        <v>0</v>
      </c>
      <c r="L112" s="137" t="s">
        <v>109</v>
      </c>
      <c r="M112" s="137"/>
    </row>
    <row r="113" spans="1:13" s="121" customFormat="1" ht="21.75" customHeight="1" thickTop="1" thickBot="1" x14ac:dyDescent="0.3">
      <c r="A113" s="95" t="s">
        <v>25</v>
      </c>
      <c r="B113" s="86" t="s">
        <v>110</v>
      </c>
      <c r="C113" s="86"/>
      <c r="D113" s="86"/>
      <c r="E113" s="86"/>
      <c r="F113" s="86"/>
      <c r="G113" s="86"/>
      <c r="H113" s="86"/>
      <c r="I113" s="86"/>
      <c r="J113" s="340">
        <v>6.7900000000000002E-2</v>
      </c>
      <c r="K113" s="124">
        <f>(K132+K112)*J113</f>
        <v>0</v>
      </c>
      <c r="L113" s="148"/>
      <c r="M113" s="137"/>
    </row>
    <row r="114" spans="1:13" s="121" customFormat="1" ht="21.75" customHeight="1" thickTop="1" thickBot="1" x14ac:dyDescent="0.3">
      <c r="A114" s="442" t="s">
        <v>28</v>
      </c>
      <c r="B114" s="86" t="s">
        <v>111</v>
      </c>
      <c r="C114" s="86"/>
      <c r="D114" s="86"/>
      <c r="E114" s="86"/>
      <c r="F114" s="86"/>
      <c r="G114" s="86"/>
      <c r="H114" s="86"/>
      <c r="I114" s="149" t="s">
        <v>112</v>
      </c>
      <c r="J114" s="136"/>
      <c r="K114" s="146"/>
    </row>
    <row r="115" spans="1:13" s="121" customFormat="1" ht="21.75" customHeight="1" thickTop="1" thickBot="1" x14ac:dyDescent="0.3">
      <c r="A115" s="442"/>
      <c r="B115" s="86"/>
      <c r="C115" s="150" t="s">
        <v>113</v>
      </c>
      <c r="D115" s="150"/>
      <c r="E115" s="150"/>
      <c r="F115" s="86" t="s">
        <v>114</v>
      </c>
      <c r="G115" s="151"/>
      <c r="H115" s="151"/>
      <c r="I115" s="443">
        <f>SUM(J115:J117)</f>
        <v>0.14250000000000002</v>
      </c>
      <c r="J115" s="152">
        <v>1.6500000000000001E-2</v>
      </c>
      <c r="K115" s="153">
        <f>((K132+K112+K113)/(1-I115))*J115</f>
        <v>0</v>
      </c>
    </row>
    <row r="116" spans="1:13" s="121" customFormat="1" ht="21.75" customHeight="1" thickTop="1" thickBot="1" x14ac:dyDescent="0.3">
      <c r="A116" s="442"/>
      <c r="B116" s="86"/>
      <c r="C116" s="86"/>
      <c r="D116" s="86"/>
      <c r="E116" s="86"/>
      <c r="F116" s="86" t="s">
        <v>115</v>
      </c>
      <c r="G116" s="151"/>
      <c r="H116" s="151"/>
      <c r="I116" s="444"/>
      <c r="J116" s="152">
        <v>7.5999999999999998E-2</v>
      </c>
      <c r="K116" s="153">
        <f>((K132+K112+K113)/(1-I115))*J116</f>
        <v>0</v>
      </c>
    </row>
    <row r="117" spans="1:13" s="121" customFormat="1" ht="21.75" customHeight="1" thickTop="1" thickBot="1" x14ac:dyDescent="0.3">
      <c r="A117" s="442"/>
      <c r="B117" s="150"/>
      <c r="C117" s="150" t="s">
        <v>116</v>
      </c>
      <c r="D117" s="150"/>
      <c r="E117" s="86"/>
      <c r="F117" s="86" t="s">
        <v>117</v>
      </c>
      <c r="G117" s="151"/>
      <c r="H117" s="151"/>
      <c r="I117" s="445"/>
      <c r="J117" s="152">
        <v>0.05</v>
      </c>
      <c r="K117" s="153">
        <f>((K132+K112+K113)/(1-I115))*J117</f>
        <v>0</v>
      </c>
    </row>
    <row r="118" spans="1:13" s="121" customFormat="1" ht="21.75" customHeight="1" thickTop="1" thickBot="1" x14ac:dyDescent="0.3">
      <c r="A118" s="154" t="s">
        <v>118</v>
      </c>
      <c r="B118" s="130"/>
      <c r="C118" s="130"/>
      <c r="D118" s="130"/>
      <c r="E118" s="130"/>
      <c r="F118" s="130"/>
      <c r="G118" s="130"/>
      <c r="H118" s="130"/>
      <c r="I118" s="130"/>
      <c r="J118" s="130"/>
      <c r="K118" s="131">
        <f>K112+K113+K115+K116+K117</f>
        <v>0</v>
      </c>
    </row>
    <row r="119" spans="1:13" s="121" customFormat="1" ht="37.15" customHeight="1" thickTop="1" thickBot="1" x14ac:dyDescent="0.3">
      <c r="A119" s="446" t="s">
        <v>159</v>
      </c>
      <c r="B119" s="447"/>
      <c r="C119" s="447"/>
      <c r="D119" s="447"/>
      <c r="E119" s="447"/>
      <c r="F119" s="447"/>
      <c r="G119" s="447"/>
      <c r="H119" s="447"/>
      <c r="I119" s="447"/>
      <c r="J119" s="447"/>
      <c r="K119" s="448"/>
    </row>
    <row r="120" spans="1:13" s="121" customFormat="1" ht="21.6" hidden="1" customHeight="1" x14ac:dyDescent="0.25">
      <c r="A120" s="449"/>
      <c r="B120" s="450"/>
      <c r="C120" s="450"/>
      <c r="D120" s="450"/>
      <c r="E120" s="450"/>
      <c r="F120" s="450"/>
      <c r="G120" s="450"/>
      <c r="H120" s="450"/>
      <c r="I120" s="450"/>
      <c r="J120" s="450"/>
      <c r="K120" s="451"/>
    </row>
    <row r="121" spans="1:13" s="121" customFormat="1" ht="21.6" hidden="1" customHeight="1" x14ac:dyDescent="0.25">
      <c r="A121" s="449"/>
      <c r="B121" s="450"/>
      <c r="C121" s="450"/>
      <c r="D121" s="450"/>
      <c r="E121" s="450"/>
      <c r="F121" s="450"/>
      <c r="G121" s="450"/>
      <c r="H121" s="450"/>
      <c r="I121" s="450"/>
      <c r="J121" s="450"/>
      <c r="K121" s="451"/>
    </row>
    <row r="122" spans="1:13" s="121" customFormat="1" ht="21.6" hidden="1" customHeight="1" x14ac:dyDescent="0.25">
      <c r="A122" s="449"/>
      <c r="B122" s="450"/>
      <c r="C122" s="450"/>
      <c r="D122" s="450"/>
      <c r="E122" s="450"/>
      <c r="F122" s="450"/>
      <c r="G122" s="450"/>
      <c r="H122" s="450"/>
      <c r="I122" s="450"/>
      <c r="J122" s="450"/>
      <c r="K122" s="451"/>
    </row>
    <row r="123" spans="1:13" s="121" customFormat="1" ht="21.6" hidden="1" customHeight="1" x14ac:dyDescent="0.25">
      <c r="A123" s="449"/>
      <c r="B123" s="450"/>
      <c r="C123" s="450"/>
      <c r="D123" s="450"/>
      <c r="E123" s="450"/>
      <c r="F123" s="450"/>
      <c r="G123" s="450"/>
      <c r="H123" s="450"/>
      <c r="I123" s="450"/>
      <c r="J123" s="450"/>
      <c r="K123" s="451"/>
    </row>
    <row r="124" spans="1:13" ht="21.6" hidden="1" customHeight="1" x14ac:dyDescent="0.2">
      <c r="A124" s="452"/>
      <c r="B124" s="453"/>
      <c r="C124" s="453"/>
      <c r="D124" s="453"/>
      <c r="E124" s="453"/>
      <c r="F124" s="453"/>
      <c r="G124" s="453"/>
      <c r="H124" s="453"/>
      <c r="I124" s="453"/>
      <c r="J124" s="453"/>
      <c r="K124" s="454"/>
    </row>
    <row r="125" spans="1:13" ht="21.75" customHeight="1" thickTop="1" thickBot="1" x14ac:dyDescent="0.25">
      <c r="A125" s="423" t="s">
        <v>120</v>
      </c>
      <c r="B125" s="424"/>
      <c r="C125" s="424"/>
      <c r="D125" s="424"/>
      <c r="E125" s="424"/>
      <c r="F125" s="424"/>
      <c r="G125" s="424"/>
      <c r="H125" s="424"/>
      <c r="I125" s="424"/>
      <c r="J125" s="424"/>
      <c r="K125" s="426"/>
    </row>
    <row r="126" spans="1:13" ht="21.75" customHeight="1" thickTop="1" thickBot="1" x14ac:dyDescent="0.25">
      <c r="A126" s="435" t="s">
        <v>121</v>
      </c>
      <c r="B126" s="436"/>
      <c r="C126" s="436"/>
      <c r="D126" s="436"/>
      <c r="E126" s="436"/>
      <c r="F126" s="436"/>
      <c r="G126" s="436"/>
      <c r="H126" s="436"/>
      <c r="I126" s="436"/>
      <c r="J126" s="437"/>
      <c r="K126" s="95" t="s">
        <v>99</v>
      </c>
    </row>
    <row r="127" spans="1:13" ht="21.75" customHeight="1" thickTop="1" thickBot="1" x14ac:dyDescent="0.25">
      <c r="A127" s="95" t="s">
        <v>23</v>
      </c>
      <c r="B127" s="427" t="s">
        <v>122</v>
      </c>
      <c r="C127" s="428"/>
      <c r="D127" s="428"/>
      <c r="E127" s="428"/>
      <c r="F127" s="428"/>
      <c r="G127" s="428"/>
      <c r="H127" s="428"/>
      <c r="I127" s="428"/>
      <c r="J127" s="429"/>
      <c r="K127" s="104">
        <f>K33</f>
        <v>0</v>
      </c>
    </row>
    <row r="128" spans="1:13" ht="21.75" customHeight="1" thickTop="1" thickBot="1" x14ac:dyDescent="0.25">
      <c r="A128" s="95" t="s">
        <v>25</v>
      </c>
      <c r="B128" s="438" t="s">
        <v>123</v>
      </c>
      <c r="C128" s="438"/>
      <c r="D128" s="438"/>
      <c r="E128" s="438"/>
      <c r="F128" s="438"/>
      <c r="G128" s="438"/>
      <c r="H128" s="438"/>
      <c r="I128" s="438"/>
      <c r="J128" s="438"/>
      <c r="K128" s="104">
        <f>K69</f>
        <v>0</v>
      </c>
    </row>
    <row r="129" spans="1:13" ht="21.75" customHeight="1" thickTop="1" thickBot="1" x14ac:dyDescent="0.25">
      <c r="A129" s="95" t="s">
        <v>28</v>
      </c>
      <c r="B129" s="427" t="s">
        <v>145</v>
      </c>
      <c r="C129" s="428"/>
      <c r="D129" s="428"/>
      <c r="E129" s="428"/>
      <c r="F129" s="428"/>
      <c r="G129" s="428"/>
      <c r="H129" s="428"/>
      <c r="I129" s="428"/>
      <c r="J129" s="429"/>
      <c r="K129" s="104">
        <f>K78</f>
        <v>0</v>
      </c>
    </row>
    <row r="130" spans="1:13" ht="21.75" customHeight="1" thickTop="1" thickBot="1" x14ac:dyDescent="0.25">
      <c r="A130" s="95" t="s">
        <v>33</v>
      </c>
      <c r="B130" s="427" t="s">
        <v>146</v>
      </c>
      <c r="C130" s="428"/>
      <c r="D130" s="428"/>
      <c r="E130" s="428"/>
      <c r="F130" s="428"/>
      <c r="G130" s="428"/>
      <c r="H130" s="428"/>
      <c r="I130" s="428"/>
      <c r="J130" s="429"/>
      <c r="K130" s="104">
        <f>K101</f>
        <v>0</v>
      </c>
    </row>
    <row r="131" spans="1:13" ht="21.75" customHeight="1" thickTop="1" thickBot="1" x14ac:dyDescent="0.25">
      <c r="A131" s="95" t="s">
        <v>35</v>
      </c>
      <c r="B131" s="427" t="s">
        <v>126</v>
      </c>
      <c r="C131" s="428"/>
      <c r="D131" s="428"/>
      <c r="E131" s="428"/>
      <c r="F131" s="428"/>
      <c r="G131" s="428"/>
      <c r="H131" s="428"/>
      <c r="I131" s="428"/>
      <c r="J131" s="429"/>
      <c r="K131" s="104">
        <f>K109</f>
        <v>0</v>
      </c>
    </row>
    <row r="132" spans="1:13" ht="21.75" customHeight="1" thickTop="1" thickBot="1" x14ac:dyDescent="0.25">
      <c r="A132" s="423" t="s">
        <v>127</v>
      </c>
      <c r="B132" s="424"/>
      <c r="C132" s="424"/>
      <c r="D132" s="424"/>
      <c r="E132" s="424"/>
      <c r="F132" s="424"/>
      <c r="G132" s="424"/>
      <c r="H132" s="424"/>
      <c r="I132" s="424"/>
      <c r="J132" s="426"/>
      <c r="K132" s="131">
        <f>SUM(K127:K131)</f>
        <v>0</v>
      </c>
      <c r="L132" s="156"/>
    </row>
    <row r="133" spans="1:13" s="121" customFormat="1" ht="21.75" customHeight="1" thickTop="1" thickBot="1" x14ac:dyDescent="0.3">
      <c r="A133" s="95" t="s">
        <v>37</v>
      </c>
      <c r="B133" s="427" t="s">
        <v>128</v>
      </c>
      <c r="C133" s="428"/>
      <c r="D133" s="428"/>
      <c r="E133" s="428"/>
      <c r="F133" s="428"/>
      <c r="G133" s="428"/>
      <c r="H133" s="428"/>
      <c r="I133" s="428"/>
      <c r="J133" s="429"/>
      <c r="K133" s="104">
        <f>K118</f>
        <v>0</v>
      </c>
    </row>
    <row r="134" spans="1:13" ht="34.15" customHeight="1" thickTop="1" thickBot="1" x14ac:dyDescent="0.25">
      <c r="A134" s="430" t="s">
        <v>129</v>
      </c>
      <c r="B134" s="431"/>
      <c r="C134" s="431"/>
      <c r="D134" s="431"/>
      <c r="E134" s="431"/>
      <c r="F134" s="431"/>
      <c r="G134" s="431"/>
      <c r="H134" s="431"/>
      <c r="I134" s="431"/>
      <c r="J134" s="432"/>
      <c r="K134" s="157">
        <f>SUM(K132+K133)</f>
        <v>0</v>
      </c>
    </row>
    <row r="135" spans="1:13" ht="21.75" customHeight="1" thickTop="1" thickBot="1" x14ac:dyDescent="0.25">
      <c r="A135" s="81"/>
      <c r="B135" s="82"/>
      <c r="C135" s="82"/>
      <c r="D135" s="82"/>
      <c r="E135" s="82"/>
      <c r="F135" s="82"/>
      <c r="G135" s="82"/>
      <c r="H135" s="82"/>
      <c r="I135" s="82"/>
      <c r="J135" s="82"/>
      <c r="K135" s="79"/>
    </row>
    <row r="136" spans="1:13" ht="21.75" customHeight="1" thickTop="1" thickBot="1" x14ac:dyDescent="0.25">
      <c r="A136" s="423" t="s">
        <v>130</v>
      </c>
      <c r="B136" s="424"/>
      <c r="C136" s="424"/>
      <c r="D136" s="424"/>
      <c r="E136" s="424"/>
      <c r="F136" s="424"/>
      <c r="G136" s="424"/>
      <c r="H136" s="424"/>
      <c r="I136" s="424"/>
      <c r="J136" s="424"/>
      <c r="K136" s="426"/>
    </row>
    <row r="137" spans="1:13" ht="45" customHeight="1" thickTop="1" thickBot="1" x14ac:dyDescent="0.25">
      <c r="A137" s="430" t="s">
        <v>131</v>
      </c>
      <c r="B137" s="431"/>
      <c r="C137" s="433"/>
      <c r="D137" s="434" t="s">
        <v>329</v>
      </c>
      <c r="E137" s="434"/>
      <c r="F137" s="434" t="s">
        <v>133</v>
      </c>
      <c r="G137" s="434"/>
      <c r="H137" s="434" t="s">
        <v>134</v>
      </c>
      <c r="I137" s="434"/>
      <c r="J137" s="158" t="s">
        <v>135</v>
      </c>
      <c r="K137" s="159" t="s">
        <v>136</v>
      </c>
    </row>
    <row r="138" spans="1:13" ht="21.75" customHeight="1" thickTop="1" thickBot="1" x14ac:dyDescent="0.25">
      <c r="A138" s="418" t="s">
        <v>193</v>
      </c>
      <c r="B138" s="419"/>
      <c r="C138" s="420"/>
      <c r="D138" s="421">
        <f>K134</f>
        <v>0</v>
      </c>
      <c r="E138" s="421"/>
      <c r="F138" s="422">
        <v>1</v>
      </c>
      <c r="G138" s="422"/>
      <c r="H138" s="421">
        <f>F138*D138</f>
        <v>0</v>
      </c>
      <c r="I138" s="421"/>
      <c r="J138" s="160">
        <f>'Quantitativo de pessoal'!J14</f>
        <v>1</v>
      </c>
      <c r="K138" s="161">
        <f>ROUND(J138*H138,2)</f>
        <v>0</v>
      </c>
    </row>
    <row r="139" spans="1:13" ht="36.75" customHeight="1" thickTop="1" thickBot="1" x14ac:dyDescent="0.25">
      <c r="A139" s="423" t="s">
        <v>137</v>
      </c>
      <c r="B139" s="424"/>
      <c r="C139" s="424"/>
      <c r="D139" s="424"/>
      <c r="E139" s="424"/>
      <c r="F139" s="424"/>
      <c r="G139" s="424"/>
      <c r="H139" s="424"/>
      <c r="I139" s="424"/>
      <c r="J139" s="425"/>
      <c r="K139" s="162">
        <f>K138</f>
        <v>0</v>
      </c>
    </row>
    <row r="140" spans="1:13" ht="36.75" customHeight="1" thickTop="1" thickBot="1" x14ac:dyDescent="0.25">
      <c r="A140" s="423" t="s">
        <v>138</v>
      </c>
      <c r="B140" s="424"/>
      <c r="C140" s="424"/>
      <c r="D140" s="424"/>
      <c r="E140" s="424"/>
      <c r="F140" s="424"/>
      <c r="G140" s="424"/>
      <c r="H140" s="424"/>
      <c r="I140" s="424"/>
      <c r="J140" s="426"/>
      <c r="K140" s="330">
        <f>K139*12</f>
        <v>0</v>
      </c>
    </row>
    <row r="141" spans="1:13" ht="16.5" thickTop="1" x14ac:dyDescent="0.2">
      <c r="K141" s="329" t="s">
        <v>139</v>
      </c>
      <c r="L141" s="163" t="e">
        <f>K134/K33</f>
        <v>#DIV/0!</v>
      </c>
      <c r="M141" s="111"/>
    </row>
    <row r="1048526" ht="12.75" customHeight="1" x14ac:dyDescent="0.2"/>
    <row r="1048527" ht="12.75" customHeight="1" x14ac:dyDescent="0.2"/>
    <row r="1048528" ht="12.75" customHeight="1" x14ac:dyDescent="0.2"/>
    <row r="1048529" ht="12.75" customHeight="1" x14ac:dyDescent="0.2"/>
    <row r="1048530" ht="12.75" customHeight="1" x14ac:dyDescent="0.2"/>
    <row r="1048531" ht="12.75" customHeight="1" x14ac:dyDescent="0.2"/>
    <row r="1048532" ht="12.75" customHeight="1" x14ac:dyDescent="0.2"/>
    <row r="1048533" ht="12.75" customHeight="1" x14ac:dyDescent="0.2"/>
    <row r="1048534" ht="12.75" customHeight="1" x14ac:dyDescent="0.2"/>
    <row r="1048535" ht="12.75" customHeight="1" x14ac:dyDescent="0.2"/>
    <row r="1048536" ht="12.75" customHeight="1" x14ac:dyDescent="0.2"/>
    <row r="1048537" ht="12.75" customHeight="1" x14ac:dyDescent="0.2"/>
    <row r="1048538" ht="12.75" customHeight="1" x14ac:dyDescent="0.2"/>
    <row r="1048539" ht="12.75" customHeight="1" x14ac:dyDescent="0.2"/>
    <row r="1048540" ht="12.75" customHeight="1" x14ac:dyDescent="0.2"/>
    <row r="1048541" ht="12.75" customHeight="1" x14ac:dyDescent="0.2"/>
    <row r="1048542" ht="12.75" customHeight="1" x14ac:dyDescent="0.2"/>
    <row r="1048543" ht="12.75" customHeight="1" x14ac:dyDescent="0.2"/>
    <row r="1048544" ht="12.75" customHeight="1" x14ac:dyDescent="0.2"/>
    <row r="1048545" ht="12.75" customHeight="1" x14ac:dyDescent="0.2"/>
    <row r="1048546" ht="12.75" customHeight="1" x14ac:dyDescent="0.2"/>
    <row r="1048547" ht="12.75" customHeight="1" x14ac:dyDescent="0.2"/>
    <row r="1048548" ht="12.75" customHeight="1" x14ac:dyDescent="0.2"/>
    <row r="1048549" ht="12.75" customHeight="1" x14ac:dyDescent="0.2"/>
    <row r="1048550" ht="12.75" customHeight="1" x14ac:dyDescent="0.2"/>
    <row r="1048551" ht="12.75" customHeight="1" x14ac:dyDescent="0.2"/>
    <row r="1048552" ht="12.75" customHeight="1" x14ac:dyDescent="0.2"/>
    <row r="1048553" ht="12.75" customHeight="1" x14ac:dyDescent="0.2"/>
    <row r="1048554" ht="12.75" customHeight="1" x14ac:dyDescent="0.2"/>
    <row r="1048555" ht="12.75" customHeight="1" x14ac:dyDescent="0.2"/>
    <row r="1048556" ht="12.75" customHeight="1" x14ac:dyDescent="0.2"/>
  </sheetData>
  <mergeCells count="137">
    <mergeCell ref="A138:C138"/>
    <mergeCell ref="D138:E138"/>
    <mergeCell ref="F138:G138"/>
    <mergeCell ref="H138:I138"/>
    <mergeCell ref="A139:J139"/>
    <mergeCell ref="A140:J140"/>
    <mergeCell ref="B133:J133"/>
    <mergeCell ref="A134:J134"/>
    <mergeCell ref="A136:K136"/>
    <mergeCell ref="A137:C137"/>
    <mergeCell ref="D137:E137"/>
    <mergeCell ref="F137:G137"/>
    <mergeCell ref="H137:I137"/>
    <mergeCell ref="B127:J127"/>
    <mergeCell ref="B128:J128"/>
    <mergeCell ref="B129:J129"/>
    <mergeCell ref="B130:J130"/>
    <mergeCell ref="B131:J131"/>
    <mergeCell ref="A132:J132"/>
    <mergeCell ref="A111:J111"/>
    <mergeCell ref="A114:A117"/>
    <mergeCell ref="I115:I117"/>
    <mergeCell ref="A119:K124"/>
    <mergeCell ref="A125:K125"/>
    <mergeCell ref="A126:J126"/>
    <mergeCell ref="A107:A108"/>
    <mergeCell ref="B107:C108"/>
    <mergeCell ref="D107:J107"/>
    <mergeCell ref="D108:J108"/>
    <mergeCell ref="A109:J109"/>
    <mergeCell ref="A110:K110"/>
    <mergeCell ref="A103:J103"/>
    <mergeCell ref="B104:J104"/>
    <mergeCell ref="B105:D105"/>
    <mergeCell ref="E105:J105"/>
    <mergeCell ref="B106:D106"/>
    <mergeCell ref="E106:J106"/>
    <mergeCell ref="A97:K97"/>
    <mergeCell ref="A98:K98"/>
    <mergeCell ref="B99:J99"/>
    <mergeCell ref="B100:J100"/>
    <mergeCell ref="B101:J101"/>
    <mergeCell ref="A102:K102"/>
    <mergeCell ref="B90:I90"/>
    <mergeCell ref="A91:I91"/>
    <mergeCell ref="A92:K93"/>
    <mergeCell ref="A94:K94"/>
    <mergeCell ref="B95:I95"/>
    <mergeCell ref="B96:I96"/>
    <mergeCell ref="B84:I84"/>
    <mergeCell ref="B85:I85"/>
    <mergeCell ref="B86:I86"/>
    <mergeCell ref="B87:I87"/>
    <mergeCell ref="B88:I88"/>
    <mergeCell ref="B89:I89"/>
    <mergeCell ref="B77:I77"/>
    <mergeCell ref="L77:M77"/>
    <mergeCell ref="A78:I78"/>
    <mergeCell ref="A79:K81"/>
    <mergeCell ref="A82:K82"/>
    <mergeCell ref="A83:K83"/>
    <mergeCell ref="B74:I74"/>
    <mergeCell ref="L74:M74"/>
    <mergeCell ref="B75:I75"/>
    <mergeCell ref="L75:M75"/>
    <mergeCell ref="B76:I76"/>
    <mergeCell ref="L76:M76"/>
    <mergeCell ref="B69:J69"/>
    <mergeCell ref="A70:K70"/>
    <mergeCell ref="A71:K71"/>
    <mergeCell ref="B72:I72"/>
    <mergeCell ref="L72:M72"/>
    <mergeCell ref="B73:I73"/>
    <mergeCell ref="L73:M73"/>
    <mergeCell ref="B62:J62"/>
    <mergeCell ref="A63:K64"/>
    <mergeCell ref="A65:K65"/>
    <mergeCell ref="B66:I66"/>
    <mergeCell ref="B67:I67"/>
    <mergeCell ref="B68:J68"/>
    <mergeCell ref="L58:O58"/>
    <mergeCell ref="B59:J59"/>
    <mergeCell ref="L59:O59"/>
    <mergeCell ref="B60:J60"/>
    <mergeCell ref="L60:O60"/>
    <mergeCell ref="B61:J61"/>
    <mergeCell ref="L61:O61"/>
    <mergeCell ref="B51:I51"/>
    <mergeCell ref="B52:I52"/>
    <mergeCell ref="A53:K55"/>
    <mergeCell ref="A56:K56"/>
    <mergeCell ref="B57:J57"/>
    <mergeCell ref="B58:J58"/>
    <mergeCell ref="B45:I45"/>
    <mergeCell ref="B46:E46"/>
    <mergeCell ref="H46:I46"/>
    <mergeCell ref="B47:I47"/>
    <mergeCell ref="B48:I48"/>
    <mergeCell ref="B50:I50"/>
    <mergeCell ref="B38:I38"/>
    <mergeCell ref="B39:I39"/>
    <mergeCell ref="B40:I40"/>
    <mergeCell ref="A41:K42"/>
    <mergeCell ref="A43:K43"/>
    <mergeCell ref="B44:I44"/>
    <mergeCell ref="B31:J31"/>
    <mergeCell ref="A32:K32"/>
    <mergeCell ref="A33:J33"/>
    <mergeCell ref="A34:K35"/>
    <mergeCell ref="A36:K36"/>
    <mergeCell ref="A37:K37"/>
    <mergeCell ref="A26:A27"/>
    <mergeCell ref="B26:D27"/>
    <mergeCell ref="K26:K27"/>
    <mergeCell ref="B28:J28"/>
    <mergeCell ref="B29:J29"/>
    <mergeCell ref="B30:J30"/>
    <mergeCell ref="A12:K14"/>
    <mergeCell ref="A15:K15"/>
    <mergeCell ref="B19:J19"/>
    <mergeCell ref="A20:K22"/>
    <mergeCell ref="A23:J23"/>
    <mergeCell ref="H25:J25"/>
    <mergeCell ref="A5:C5"/>
    <mergeCell ref="D5:I5"/>
    <mergeCell ref="B7:E7"/>
    <mergeCell ref="F7:K7"/>
    <mergeCell ref="B9:H9"/>
    <mergeCell ref="I9:K9"/>
    <mergeCell ref="A1:I1"/>
    <mergeCell ref="A2:C2"/>
    <mergeCell ref="D2:I2"/>
    <mergeCell ref="A3:C3"/>
    <mergeCell ref="D3:I3"/>
    <mergeCell ref="A4:C4"/>
    <mergeCell ref="D4:F4"/>
    <mergeCell ref="H4:I4"/>
  </mergeCells>
  <pageMargins left="0.511811024" right="0.511811024" top="0.78740157499999996" bottom="0.78740157499999996" header="0.31496062000000002" footer="0.31496062000000002"/>
  <pageSetup paperSize="9" scale="41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5A0DCA-3F3A-4876-A3A9-9F22658704D6}">
  <sheetPr>
    <pageSetUpPr fitToPage="1"/>
  </sheetPr>
  <dimension ref="A1:IV1048556"/>
  <sheetViews>
    <sheetView topLeftCell="A98" workbookViewId="0">
      <selection activeCell="K107" sqref="K107"/>
    </sheetView>
  </sheetViews>
  <sheetFormatPr defaultRowHeight="15.75" x14ac:dyDescent="0.2"/>
  <cols>
    <col min="1" max="10" width="12.42578125" style="76" customWidth="1"/>
    <col min="11" max="11" width="18.140625" style="76" bestFit="1" customWidth="1"/>
    <col min="12" max="12" width="18.28515625" style="76" customWidth="1"/>
    <col min="13" max="256" width="12.42578125" style="76" customWidth="1"/>
    <col min="257" max="1024" width="12.42578125" style="77" customWidth="1"/>
    <col min="1025" max="16384" width="9.140625" style="77"/>
  </cols>
  <sheetData>
    <row r="1" spans="1:11" ht="21.75" customHeight="1" thickTop="1" thickBot="1" x14ac:dyDescent="0.25">
      <c r="A1" s="423" t="s">
        <v>0</v>
      </c>
      <c r="B1" s="423"/>
      <c r="C1" s="423"/>
      <c r="D1" s="423"/>
      <c r="E1" s="423"/>
      <c r="F1" s="423"/>
      <c r="G1" s="423"/>
      <c r="H1" s="423"/>
      <c r="I1" s="442"/>
      <c r="J1" s="74"/>
      <c r="K1" s="75"/>
    </row>
    <row r="2" spans="1:11" ht="21.75" customHeight="1" thickTop="1" thickBot="1" x14ac:dyDescent="0.25">
      <c r="A2" s="534" t="s">
        <v>1</v>
      </c>
      <c r="B2" s="534"/>
      <c r="C2" s="534"/>
      <c r="D2" s="535" t="s">
        <v>330</v>
      </c>
      <c r="E2" s="535"/>
      <c r="F2" s="535"/>
      <c r="G2" s="535"/>
      <c r="H2" s="535"/>
      <c r="I2" s="536"/>
      <c r="J2" s="78"/>
      <c r="K2" s="79"/>
    </row>
    <row r="3" spans="1:11" ht="21.75" customHeight="1" thickTop="1" thickBot="1" x14ac:dyDescent="0.25">
      <c r="A3" s="534" t="s">
        <v>2</v>
      </c>
      <c r="B3" s="534"/>
      <c r="C3" s="534"/>
      <c r="D3" s="537" t="str">
        <f>'1 - Servente Sede'!D3</f>
        <v>Pregão Eletrônico nº XX/2020</v>
      </c>
      <c r="E3" s="537"/>
      <c r="F3" s="537"/>
      <c r="G3" s="537"/>
      <c r="H3" s="537"/>
      <c r="I3" s="538"/>
      <c r="J3" s="78"/>
      <c r="K3" s="79"/>
    </row>
    <row r="4" spans="1:11" ht="21.75" customHeight="1" thickTop="1" thickBot="1" x14ac:dyDescent="0.25">
      <c r="A4" s="534" t="s">
        <v>3</v>
      </c>
      <c r="B4" s="534"/>
      <c r="C4" s="534"/>
      <c r="D4" s="539"/>
      <c r="E4" s="540"/>
      <c r="F4" s="541"/>
      <c r="G4" s="80" t="s">
        <v>4</v>
      </c>
      <c r="H4" s="542"/>
      <c r="I4" s="536"/>
      <c r="J4" s="78"/>
      <c r="K4" s="79"/>
    </row>
    <row r="5" spans="1:11" ht="21.75" customHeight="1" thickTop="1" thickBot="1" x14ac:dyDescent="0.25">
      <c r="A5" s="526" t="s">
        <v>5</v>
      </c>
      <c r="B5" s="526"/>
      <c r="C5" s="526"/>
      <c r="D5" s="527" t="s">
        <v>414</v>
      </c>
      <c r="E5" s="527"/>
      <c r="F5" s="527"/>
      <c r="G5" s="527"/>
      <c r="H5" s="527"/>
      <c r="I5" s="527"/>
      <c r="J5" s="277"/>
      <c r="K5" s="79"/>
    </row>
    <row r="6" spans="1:11" ht="21.75" customHeight="1" thickTop="1" thickBot="1" x14ac:dyDescent="0.25">
      <c r="A6" s="81"/>
      <c r="B6" s="82"/>
      <c r="C6" s="82"/>
      <c r="D6" s="82"/>
      <c r="E6" s="82"/>
      <c r="F6" s="82"/>
      <c r="G6" s="82"/>
      <c r="H6" s="82"/>
      <c r="I6" s="279"/>
      <c r="J6" s="279"/>
      <c r="K6" s="278"/>
    </row>
    <row r="7" spans="1:11" ht="21.75" customHeight="1" thickTop="1" thickBot="1" x14ac:dyDescent="0.25">
      <c r="A7" s="274" t="s">
        <v>7</v>
      </c>
      <c r="B7" s="528" t="s">
        <v>8</v>
      </c>
      <c r="C7" s="528"/>
      <c r="D7" s="528"/>
      <c r="E7" s="528"/>
      <c r="F7" s="529" t="s">
        <v>140</v>
      </c>
      <c r="G7" s="529"/>
      <c r="H7" s="529"/>
      <c r="I7" s="529"/>
      <c r="J7" s="529"/>
      <c r="K7" s="529"/>
    </row>
    <row r="8" spans="1:11" ht="21.75" customHeight="1" thickTop="1" thickBot="1" x14ac:dyDescent="0.25">
      <c r="A8" s="274" t="s">
        <v>7</v>
      </c>
      <c r="B8" s="275" t="s">
        <v>9</v>
      </c>
      <c r="C8" s="84"/>
      <c r="D8" s="84"/>
      <c r="E8" s="84"/>
      <c r="F8" s="84"/>
      <c r="G8" s="84"/>
      <c r="H8" s="84"/>
      <c r="I8" s="84"/>
      <c r="J8" s="276"/>
      <c r="K8" s="85">
        <v>12</v>
      </c>
    </row>
    <row r="9" spans="1:11" ht="21.75" customHeight="1" thickTop="1" thickBot="1" x14ac:dyDescent="0.25">
      <c r="A9" s="83" t="s">
        <v>7</v>
      </c>
      <c r="B9" s="496" t="s">
        <v>10</v>
      </c>
      <c r="C9" s="428"/>
      <c r="D9" s="428"/>
      <c r="E9" s="428"/>
      <c r="F9" s="428"/>
      <c r="G9" s="428"/>
      <c r="H9" s="428"/>
      <c r="I9" s="543"/>
      <c r="J9" s="543"/>
      <c r="K9" s="544"/>
    </row>
    <row r="10" spans="1:11" ht="21.75" customHeight="1" thickTop="1" thickBot="1" x14ac:dyDescent="0.25">
      <c r="A10" s="83" t="s">
        <v>7</v>
      </c>
      <c r="B10" s="86" t="s">
        <v>11</v>
      </c>
      <c r="C10" s="86"/>
      <c r="D10" s="86"/>
      <c r="E10" s="86"/>
      <c r="F10" s="86"/>
      <c r="G10" s="86"/>
      <c r="H10" s="86"/>
      <c r="I10" s="86"/>
      <c r="J10" s="86"/>
      <c r="K10" s="87" t="s">
        <v>141</v>
      </c>
    </row>
    <row r="11" spans="1:11" ht="21.75" customHeight="1" thickTop="1" thickBot="1" x14ac:dyDescent="0.25">
      <c r="A11" s="83" t="s">
        <v>7</v>
      </c>
      <c r="B11" s="86" t="s">
        <v>142</v>
      </c>
      <c r="C11" s="86"/>
      <c r="D11" s="86"/>
      <c r="E11" s="86"/>
      <c r="F11" s="86"/>
      <c r="G11" s="86"/>
      <c r="H11" s="86"/>
      <c r="I11" s="86"/>
      <c r="J11" s="86"/>
      <c r="K11" s="88">
        <f>'Quantitativo de pessoal'!D13</f>
        <v>20173.649999999998</v>
      </c>
    </row>
    <row r="12" spans="1:11" ht="21.75" customHeight="1" thickTop="1" thickBot="1" x14ac:dyDescent="0.25">
      <c r="A12" s="530" t="s">
        <v>147</v>
      </c>
      <c r="B12" s="531"/>
      <c r="C12" s="531"/>
      <c r="D12" s="531"/>
      <c r="E12" s="531"/>
      <c r="F12" s="531"/>
      <c r="G12" s="531"/>
      <c r="H12" s="531"/>
      <c r="I12" s="531"/>
      <c r="J12" s="531"/>
      <c r="K12" s="532"/>
    </row>
    <row r="13" spans="1:11" ht="21.75" customHeight="1" thickTop="1" thickBot="1" x14ac:dyDescent="0.25">
      <c r="A13" s="533"/>
      <c r="B13" s="531"/>
      <c r="C13" s="531"/>
      <c r="D13" s="531"/>
      <c r="E13" s="531"/>
      <c r="F13" s="531"/>
      <c r="G13" s="531"/>
      <c r="H13" s="531"/>
      <c r="I13" s="531"/>
      <c r="J13" s="531"/>
      <c r="K13" s="532"/>
    </row>
    <row r="14" spans="1:11" ht="21.75" customHeight="1" thickTop="1" thickBot="1" x14ac:dyDescent="0.25">
      <c r="A14" s="533"/>
      <c r="B14" s="531"/>
      <c r="C14" s="531"/>
      <c r="D14" s="531"/>
      <c r="E14" s="531"/>
      <c r="F14" s="531"/>
      <c r="G14" s="531"/>
      <c r="H14" s="531"/>
      <c r="I14" s="531"/>
      <c r="J14" s="531"/>
      <c r="K14" s="532"/>
    </row>
    <row r="15" spans="1:11" ht="21.75" customHeight="1" thickTop="1" thickBot="1" x14ac:dyDescent="0.25">
      <c r="A15" s="442" t="s">
        <v>15</v>
      </c>
      <c r="B15" s="442"/>
      <c r="C15" s="442"/>
      <c r="D15" s="442"/>
      <c r="E15" s="442"/>
      <c r="F15" s="442"/>
      <c r="G15" s="442"/>
      <c r="H15" s="442"/>
      <c r="I15" s="442"/>
      <c r="J15" s="442"/>
      <c r="K15" s="442"/>
    </row>
    <row r="16" spans="1:11" ht="21.75" customHeight="1" thickTop="1" thickBot="1" x14ac:dyDescent="0.25">
      <c r="A16" s="100">
        <v>1</v>
      </c>
      <c r="B16" s="86" t="s">
        <v>16</v>
      </c>
      <c r="C16" s="86"/>
      <c r="D16" s="86"/>
      <c r="E16" s="86"/>
      <c r="F16" s="86"/>
      <c r="G16" s="86"/>
      <c r="H16" s="86"/>
      <c r="I16" s="86"/>
      <c r="J16" s="86"/>
      <c r="K16" s="90"/>
    </row>
    <row r="17" spans="1:18" ht="21.75" customHeight="1" thickTop="1" thickBot="1" x14ac:dyDescent="0.25">
      <c r="A17" s="100">
        <v>2</v>
      </c>
      <c r="B17" s="86" t="s">
        <v>17</v>
      </c>
      <c r="C17" s="86"/>
      <c r="D17" s="86"/>
      <c r="E17" s="86"/>
      <c r="F17" s="86"/>
      <c r="G17" s="86"/>
      <c r="H17" s="86"/>
      <c r="I17" s="86"/>
      <c r="J17" s="86"/>
      <c r="K17" s="91" t="s">
        <v>193</v>
      </c>
    </row>
    <row r="18" spans="1:18" ht="21.75" customHeight="1" thickTop="1" thickBot="1" x14ac:dyDescent="0.25">
      <c r="A18" s="100">
        <v>3</v>
      </c>
      <c r="B18" s="86" t="s">
        <v>18</v>
      </c>
      <c r="C18" s="86"/>
      <c r="D18" s="86"/>
      <c r="E18" s="86"/>
      <c r="F18" s="86"/>
      <c r="G18" s="86"/>
      <c r="H18" s="86"/>
      <c r="I18" s="86"/>
      <c r="J18" s="86"/>
      <c r="K18" s="92">
        <v>43862</v>
      </c>
    </row>
    <row r="19" spans="1:18" ht="21.75" customHeight="1" thickTop="1" thickBot="1" x14ac:dyDescent="0.25">
      <c r="A19" s="93">
        <v>4</v>
      </c>
      <c r="B19" s="509" t="s">
        <v>19</v>
      </c>
      <c r="C19" s="510"/>
      <c r="D19" s="510"/>
      <c r="E19" s="510"/>
      <c r="F19" s="510"/>
      <c r="G19" s="510"/>
      <c r="H19" s="510"/>
      <c r="I19" s="510"/>
      <c r="J19" s="510"/>
      <c r="K19" s="94" t="s">
        <v>143</v>
      </c>
    </row>
    <row r="20" spans="1:18" ht="21.75" customHeight="1" thickTop="1" x14ac:dyDescent="0.2">
      <c r="A20" s="511" t="s">
        <v>148</v>
      </c>
      <c r="B20" s="512"/>
      <c r="C20" s="512"/>
      <c r="D20" s="512"/>
      <c r="E20" s="512"/>
      <c r="F20" s="512"/>
      <c r="G20" s="512"/>
      <c r="H20" s="512"/>
      <c r="I20" s="512"/>
      <c r="J20" s="512"/>
      <c r="K20" s="513"/>
    </row>
    <row r="21" spans="1:18" ht="19.149999999999999" customHeight="1" thickBot="1" x14ac:dyDescent="0.25">
      <c r="A21" s="514"/>
      <c r="B21" s="515"/>
      <c r="C21" s="515"/>
      <c r="D21" s="515"/>
      <c r="E21" s="515"/>
      <c r="F21" s="515"/>
      <c r="G21" s="515"/>
      <c r="H21" s="515"/>
      <c r="I21" s="515"/>
      <c r="J21" s="515"/>
      <c r="K21" s="516"/>
    </row>
    <row r="22" spans="1:18" ht="21.6" hidden="1" customHeight="1" x14ac:dyDescent="0.2">
      <c r="A22" s="517"/>
      <c r="B22" s="518"/>
      <c r="C22" s="518"/>
      <c r="D22" s="518"/>
      <c r="E22" s="518"/>
      <c r="F22" s="518"/>
      <c r="G22" s="518"/>
      <c r="H22" s="518"/>
      <c r="I22" s="518"/>
      <c r="J22" s="518"/>
      <c r="K22" s="519"/>
    </row>
    <row r="23" spans="1:18" ht="21.75" customHeight="1" thickTop="1" thickBot="1" x14ac:dyDescent="0.25">
      <c r="A23" s="442" t="s">
        <v>21</v>
      </c>
      <c r="B23" s="442"/>
      <c r="C23" s="442"/>
      <c r="D23" s="442"/>
      <c r="E23" s="442"/>
      <c r="F23" s="442"/>
      <c r="G23" s="442"/>
      <c r="H23" s="442"/>
      <c r="I23" s="442"/>
      <c r="J23" s="442"/>
      <c r="K23" s="95" t="s">
        <v>22</v>
      </c>
    </row>
    <row r="24" spans="1:18" ht="21.75" customHeight="1" thickTop="1" thickBot="1" x14ac:dyDescent="0.25">
      <c r="A24" s="100" t="s">
        <v>23</v>
      </c>
      <c r="B24" s="86" t="s">
        <v>24</v>
      </c>
      <c r="C24" s="86"/>
      <c r="D24" s="86"/>
      <c r="E24" s="86"/>
      <c r="F24" s="86"/>
      <c r="G24" s="86"/>
      <c r="H24" s="86"/>
      <c r="I24" s="86"/>
      <c r="J24" s="96"/>
      <c r="K24" s="342">
        <f>K16</f>
        <v>0</v>
      </c>
    </row>
    <row r="25" spans="1:18" ht="21.75" customHeight="1" thickTop="1" thickBot="1" x14ac:dyDescent="0.25">
      <c r="A25" s="100" t="s">
        <v>25</v>
      </c>
      <c r="B25" s="98" t="s">
        <v>26</v>
      </c>
      <c r="C25" s="98"/>
      <c r="D25" s="98"/>
      <c r="E25" s="99" t="s">
        <v>27</v>
      </c>
      <c r="F25" s="99"/>
      <c r="G25" s="86"/>
      <c r="H25" s="520">
        <v>0</v>
      </c>
      <c r="I25" s="521"/>
      <c r="J25" s="522"/>
      <c r="K25" s="102">
        <f>K24*H25</f>
        <v>0</v>
      </c>
    </row>
    <row r="26" spans="1:18" ht="21.75" customHeight="1" thickTop="1" thickBot="1" x14ac:dyDescent="0.3">
      <c r="A26" s="523" t="s">
        <v>28</v>
      </c>
      <c r="B26" s="524" t="s">
        <v>29</v>
      </c>
      <c r="C26" s="524"/>
      <c r="D26" s="524"/>
      <c r="E26" s="99" t="s">
        <v>30</v>
      </c>
      <c r="F26" s="99"/>
      <c r="G26" s="86"/>
      <c r="H26" s="86"/>
      <c r="I26" s="86"/>
      <c r="J26" s="101"/>
      <c r="K26" s="525">
        <f>L27*0.4</f>
        <v>0</v>
      </c>
      <c r="L26"/>
      <c r="M26"/>
      <c r="N26"/>
      <c r="O26"/>
      <c r="P26"/>
      <c r="Q26"/>
      <c r="R26"/>
    </row>
    <row r="27" spans="1:18" ht="21.75" customHeight="1" thickTop="1" thickBot="1" x14ac:dyDescent="0.3">
      <c r="A27" s="523"/>
      <c r="B27" s="524"/>
      <c r="C27" s="524"/>
      <c r="D27" s="524"/>
      <c r="E27" s="99" t="s">
        <v>31</v>
      </c>
      <c r="F27" s="99"/>
      <c r="G27" s="86"/>
      <c r="H27" s="99" t="s">
        <v>32</v>
      </c>
      <c r="I27" s="86"/>
      <c r="J27" s="96"/>
      <c r="K27" s="525"/>
      <c r="L27"/>
      <c r="M27"/>
      <c r="N27"/>
      <c r="O27"/>
      <c r="P27"/>
      <c r="Q27"/>
      <c r="R27"/>
    </row>
    <row r="28" spans="1:18" ht="21.75" customHeight="1" thickTop="1" thickBot="1" x14ac:dyDescent="0.3">
      <c r="A28" s="100" t="s">
        <v>33</v>
      </c>
      <c r="B28" s="506" t="s">
        <v>34</v>
      </c>
      <c r="C28" s="506"/>
      <c r="D28" s="506"/>
      <c r="E28" s="507"/>
      <c r="F28" s="507"/>
      <c r="G28" s="507"/>
      <c r="H28" s="507"/>
      <c r="I28" s="507"/>
      <c r="J28" s="508"/>
      <c r="K28" s="102">
        <v>0</v>
      </c>
      <c r="L28"/>
      <c r="M28"/>
      <c r="N28"/>
      <c r="O28"/>
      <c r="P28"/>
      <c r="Q28"/>
      <c r="R28"/>
    </row>
    <row r="29" spans="1:18" ht="21.75" customHeight="1" thickTop="1" thickBot="1" x14ac:dyDescent="0.25">
      <c r="A29" s="100" t="s">
        <v>35</v>
      </c>
      <c r="B29" s="428" t="s">
        <v>36</v>
      </c>
      <c r="C29" s="428"/>
      <c r="D29" s="428"/>
      <c r="E29" s="428"/>
      <c r="F29" s="428"/>
      <c r="G29" s="428"/>
      <c r="H29" s="428"/>
      <c r="I29" s="428"/>
      <c r="J29" s="429"/>
      <c r="K29" s="102">
        <v>0</v>
      </c>
      <c r="L29" s="103"/>
    </row>
    <row r="30" spans="1:18" ht="21.75" customHeight="1" thickTop="1" thickBot="1" x14ac:dyDescent="0.25">
      <c r="A30" s="100" t="s">
        <v>37</v>
      </c>
      <c r="B30" s="428" t="s">
        <v>38</v>
      </c>
      <c r="C30" s="428"/>
      <c r="D30" s="428"/>
      <c r="E30" s="428"/>
      <c r="F30" s="428"/>
      <c r="G30" s="428"/>
      <c r="H30" s="428"/>
      <c r="I30" s="428"/>
      <c r="J30" s="429"/>
      <c r="K30" s="102">
        <v>0</v>
      </c>
    </row>
    <row r="31" spans="1:18" ht="21.75" customHeight="1" thickTop="1" thickBot="1" x14ac:dyDescent="0.25">
      <c r="A31" s="100" t="s">
        <v>39</v>
      </c>
      <c r="B31" s="428" t="s">
        <v>87</v>
      </c>
      <c r="C31" s="428"/>
      <c r="D31" s="428"/>
      <c r="E31" s="428"/>
      <c r="F31" s="428"/>
      <c r="G31" s="428"/>
      <c r="H31" s="428"/>
      <c r="I31" s="428"/>
      <c r="J31" s="429"/>
      <c r="K31" s="104">
        <v>0</v>
      </c>
    </row>
    <row r="32" spans="1:18" ht="21.6" hidden="1" customHeight="1" x14ac:dyDescent="0.2">
      <c r="A32" s="503"/>
      <c r="B32" s="504"/>
      <c r="C32" s="504"/>
      <c r="D32" s="504"/>
      <c r="E32" s="504"/>
      <c r="F32" s="504"/>
      <c r="G32" s="504"/>
      <c r="H32" s="504"/>
      <c r="I32" s="504"/>
      <c r="J32" s="504"/>
      <c r="K32" s="505"/>
    </row>
    <row r="33" spans="1:13" ht="21.75" customHeight="1" thickTop="1" thickBot="1" x14ac:dyDescent="0.25">
      <c r="A33" s="423" t="s">
        <v>41</v>
      </c>
      <c r="B33" s="424"/>
      <c r="C33" s="424"/>
      <c r="D33" s="424"/>
      <c r="E33" s="424"/>
      <c r="F33" s="424"/>
      <c r="G33" s="424"/>
      <c r="H33" s="424"/>
      <c r="I33" s="424"/>
      <c r="J33" s="426"/>
      <c r="K33" s="105">
        <f>SUM(K24:K31)</f>
        <v>0</v>
      </c>
      <c r="M33" s="106"/>
    </row>
    <row r="34" spans="1:13" ht="21.75" customHeight="1" thickTop="1" x14ac:dyDescent="0.2">
      <c r="A34" s="464" t="s">
        <v>149</v>
      </c>
      <c r="B34" s="465"/>
      <c r="C34" s="465"/>
      <c r="D34" s="465"/>
      <c r="E34" s="465"/>
      <c r="F34" s="465"/>
      <c r="G34" s="465"/>
      <c r="H34" s="465"/>
      <c r="I34" s="465"/>
      <c r="J34" s="465"/>
      <c r="K34" s="466"/>
    </row>
    <row r="35" spans="1:13" ht="55.5" customHeight="1" thickBot="1" x14ac:dyDescent="0.25">
      <c r="A35" s="467"/>
      <c r="B35" s="468"/>
      <c r="C35" s="468"/>
      <c r="D35" s="468"/>
      <c r="E35" s="468"/>
      <c r="F35" s="468"/>
      <c r="G35" s="468"/>
      <c r="H35" s="468"/>
      <c r="I35" s="468"/>
      <c r="J35" s="468"/>
      <c r="K35" s="469"/>
    </row>
    <row r="36" spans="1:13" ht="21.75" customHeight="1" thickTop="1" thickBot="1" x14ac:dyDescent="0.25">
      <c r="A36" s="423" t="s">
        <v>43</v>
      </c>
      <c r="B36" s="423"/>
      <c r="C36" s="423"/>
      <c r="D36" s="423"/>
      <c r="E36" s="423"/>
      <c r="F36" s="423"/>
      <c r="G36" s="423"/>
      <c r="H36" s="423"/>
      <c r="I36" s="423"/>
      <c r="J36" s="423"/>
      <c r="K36" s="442"/>
    </row>
    <row r="37" spans="1:13" ht="21.75" customHeight="1" thickTop="1" thickBot="1" x14ac:dyDescent="0.25">
      <c r="A37" s="423" t="s">
        <v>150</v>
      </c>
      <c r="B37" s="423"/>
      <c r="C37" s="423"/>
      <c r="D37" s="423"/>
      <c r="E37" s="423"/>
      <c r="F37" s="423"/>
      <c r="G37" s="423"/>
      <c r="H37" s="423"/>
      <c r="I37" s="423"/>
      <c r="J37" s="423"/>
      <c r="K37" s="442"/>
    </row>
    <row r="38" spans="1:13" ht="21.75" customHeight="1" thickTop="1" thickBot="1" x14ac:dyDescent="0.25">
      <c r="A38" s="107" t="s">
        <v>23</v>
      </c>
      <c r="B38" s="501" t="s">
        <v>45</v>
      </c>
      <c r="C38" s="501"/>
      <c r="D38" s="501"/>
      <c r="E38" s="501"/>
      <c r="F38" s="501"/>
      <c r="G38" s="501"/>
      <c r="H38" s="501"/>
      <c r="I38" s="501"/>
      <c r="J38" s="108">
        <v>8.3299999999999999E-2</v>
      </c>
      <c r="K38" s="109">
        <f>K33*(1/12)</f>
        <v>0</v>
      </c>
      <c r="L38" s="110"/>
    </row>
    <row r="39" spans="1:13" ht="21.75" customHeight="1" thickTop="1" thickBot="1" x14ac:dyDescent="0.25">
      <c r="A39" s="107" t="s">
        <v>25</v>
      </c>
      <c r="B39" s="501" t="s">
        <v>46</v>
      </c>
      <c r="C39" s="501"/>
      <c r="D39" s="501"/>
      <c r="E39" s="501"/>
      <c r="F39" s="501"/>
      <c r="G39" s="501"/>
      <c r="H39" s="501"/>
      <c r="I39" s="501"/>
      <c r="J39" s="108">
        <v>0.1111</v>
      </c>
      <c r="K39" s="109">
        <f>(K33*(1/12))+(K33*1/12*1/3)</f>
        <v>0</v>
      </c>
      <c r="L39" s="111"/>
    </row>
    <row r="40" spans="1:13" ht="21.75" customHeight="1" thickTop="1" thickBot="1" x14ac:dyDescent="0.25">
      <c r="A40" s="155"/>
      <c r="B40" s="502" t="s">
        <v>47</v>
      </c>
      <c r="C40" s="502"/>
      <c r="D40" s="502"/>
      <c r="E40" s="502"/>
      <c r="F40" s="502"/>
      <c r="G40" s="502"/>
      <c r="H40" s="502"/>
      <c r="I40" s="502"/>
      <c r="J40" s="113">
        <f>J38+J39</f>
        <v>0.19440000000000002</v>
      </c>
      <c r="K40" s="105">
        <f>ROUND(SUM(K38+K39),2)</f>
        <v>0</v>
      </c>
    </row>
    <row r="41" spans="1:13" ht="21.75" customHeight="1" thickTop="1" x14ac:dyDescent="0.2">
      <c r="A41" s="464" t="s">
        <v>151</v>
      </c>
      <c r="B41" s="465"/>
      <c r="C41" s="465"/>
      <c r="D41" s="465"/>
      <c r="E41" s="465"/>
      <c r="F41" s="465"/>
      <c r="G41" s="465"/>
      <c r="H41" s="465"/>
      <c r="I41" s="465"/>
      <c r="J41" s="465"/>
      <c r="K41" s="466"/>
    </row>
    <row r="42" spans="1:13" ht="55.15" customHeight="1" thickBot="1" x14ac:dyDescent="0.25">
      <c r="A42" s="467"/>
      <c r="B42" s="468"/>
      <c r="C42" s="468"/>
      <c r="D42" s="468"/>
      <c r="E42" s="468"/>
      <c r="F42" s="468"/>
      <c r="G42" s="468"/>
      <c r="H42" s="468"/>
      <c r="I42" s="468"/>
      <c r="J42" s="468"/>
      <c r="K42" s="469"/>
    </row>
    <row r="43" spans="1:13" ht="21.75" customHeight="1" thickTop="1" thickBot="1" x14ac:dyDescent="0.25">
      <c r="A43" s="423" t="s">
        <v>49</v>
      </c>
      <c r="B43" s="424"/>
      <c r="C43" s="424"/>
      <c r="D43" s="424"/>
      <c r="E43" s="424"/>
      <c r="F43" s="424"/>
      <c r="G43" s="424"/>
      <c r="H43" s="424"/>
      <c r="I43" s="424"/>
      <c r="J43" s="424"/>
      <c r="K43" s="426"/>
    </row>
    <row r="44" spans="1:13" ht="21.75" customHeight="1" thickTop="1" thickBot="1" x14ac:dyDescent="0.25">
      <c r="A44" s="100" t="s">
        <v>23</v>
      </c>
      <c r="B44" s="495" t="s">
        <v>50</v>
      </c>
      <c r="C44" s="495"/>
      <c r="D44" s="495"/>
      <c r="E44" s="495"/>
      <c r="F44" s="495"/>
      <c r="G44" s="495"/>
      <c r="H44" s="495"/>
      <c r="I44" s="495"/>
      <c r="J44" s="115">
        <v>0.2</v>
      </c>
      <c r="K44" s="102">
        <f>J44*(K33+K40)</f>
        <v>0</v>
      </c>
    </row>
    <row r="45" spans="1:13" ht="21.75" customHeight="1" thickTop="1" thickBot="1" x14ac:dyDescent="0.25">
      <c r="A45" s="100" t="s">
        <v>25</v>
      </c>
      <c r="B45" s="496" t="s">
        <v>54</v>
      </c>
      <c r="C45" s="428"/>
      <c r="D45" s="428"/>
      <c r="E45" s="428"/>
      <c r="F45" s="428"/>
      <c r="G45" s="428"/>
      <c r="H45" s="428"/>
      <c r="I45" s="497"/>
      <c r="J45" s="115">
        <v>2.5000000000000001E-2</v>
      </c>
      <c r="K45" s="102">
        <f>J45*(K33+K40)</f>
        <v>0</v>
      </c>
    </row>
    <row r="46" spans="1:13" ht="21.75" customHeight="1" thickTop="1" thickBot="1" x14ac:dyDescent="0.25">
      <c r="A46" s="100" t="s">
        <v>28</v>
      </c>
      <c r="B46" s="496" t="s">
        <v>243</v>
      </c>
      <c r="C46" s="428"/>
      <c r="D46" s="428"/>
      <c r="E46" s="498"/>
      <c r="F46" s="341">
        <v>0.03</v>
      </c>
      <c r="G46" s="281" t="s">
        <v>57</v>
      </c>
      <c r="H46" s="499">
        <v>1</v>
      </c>
      <c r="I46" s="500"/>
      <c r="J46" s="115">
        <f>F46*H46</f>
        <v>0.03</v>
      </c>
      <c r="K46" s="102">
        <f>J46*(K33+K40)</f>
        <v>0</v>
      </c>
    </row>
    <row r="47" spans="1:13" ht="21.75" customHeight="1" thickTop="1" thickBot="1" x14ac:dyDescent="0.25">
      <c r="A47" s="100" t="s">
        <v>33</v>
      </c>
      <c r="B47" s="496" t="s">
        <v>51</v>
      </c>
      <c r="C47" s="428"/>
      <c r="D47" s="428"/>
      <c r="E47" s="428"/>
      <c r="F47" s="428"/>
      <c r="G47" s="428"/>
      <c r="H47" s="428"/>
      <c r="I47" s="497"/>
      <c r="J47" s="115">
        <v>1.4999999999999999E-2</v>
      </c>
      <c r="K47" s="102">
        <f>J47*(K33+K40)</f>
        <v>0</v>
      </c>
    </row>
    <row r="48" spans="1:13" ht="21.75" customHeight="1" thickTop="1" thickBot="1" x14ac:dyDescent="0.25">
      <c r="A48" s="100" t="s">
        <v>35</v>
      </c>
      <c r="B48" s="496" t="s">
        <v>52</v>
      </c>
      <c r="C48" s="428"/>
      <c r="D48" s="428"/>
      <c r="E48" s="428"/>
      <c r="F48" s="428"/>
      <c r="G48" s="428"/>
      <c r="H48" s="428"/>
      <c r="I48" s="497"/>
      <c r="J48" s="115">
        <v>0.01</v>
      </c>
      <c r="K48" s="102">
        <f>J48*(K33+K40)</f>
        <v>0</v>
      </c>
    </row>
    <row r="49" spans="1:16" ht="21.75" customHeight="1" thickTop="1" thickBot="1" x14ac:dyDescent="0.25">
      <c r="A49" s="100" t="s">
        <v>37</v>
      </c>
      <c r="B49" s="86" t="s">
        <v>59</v>
      </c>
      <c r="C49" s="86"/>
      <c r="D49" s="86"/>
      <c r="E49" s="86"/>
      <c r="F49" s="86"/>
      <c r="G49" s="86"/>
      <c r="H49" s="86"/>
      <c r="I49" s="86"/>
      <c r="J49" s="115">
        <v>6.0000000000000001E-3</v>
      </c>
      <c r="K49" s="102">
        <f>J49*(K33+K40)</f>
        <v>0</v>
      </c>
    </row>
    <row r="50" spans="1:16" ht="21.75" customHeight="1" thickTop="1" thickBot="1" x14ac:dyDescent="0.25">
      <c r="A50" s="100" t="s">
        <v>39</v>
      </c>
      <c r="B50" s="496" t="s">
        <v>53</v>
      </c>
      <c r="C50" s="428"/>
      <c r="D50" s="428"/>
      <c r="E50" s="428"/>
      <c r="F50" s="428"/>
      <c r="G50" s="428"/>
      <c r="H50" s="428"/>
      <c r="I50" s="497"/>
      <c r="J50" s="116">
        <v>2E-3</v>
      </c>
      <c r="K50" s="102">
        <f>J50*(K$33+K$40)</f>
        <v>0</v>
      </c>
    </row>
    <row r="51" spans="1:16" ht="21.75" customHeight="1" thickTop="1" thickBot="1" x14ac:dyDescent="0.25">
      <c r="A51" s="100" t="s">
        <v>58</v>
      </c>
      <c r="B51" s="496" t="s">
        <v>55</v>
      </c>
      <c r="C51" s="428"/>
      <c r="D51" s="428"/>
      <c r="E51" s="428"/>
      <c r="F51" s="428"/>
      <c r="G51" s="428"/>
      <c r="H51" s="428"/>
      <c r="I51" s="497"/>
      <c r="J51" s="116">
        <v>0.08</v>
      </c>
      <c r="K51" s="408">
        <f>J51*(K$33+K$40)</f>
        <v>0</v>
      </c>
    </row>
    <row r="52" spans="1:16" ht="21.75" customHeight="1" thickTop="1" thickBot="1" x14ac:dyDescent="0.25">
      <c r="A52" s="154"/>
      <c r="B52" s="423" t="s">
        <v>47</v>
      </c>
      <c r="C52" s="424"/>
      <c r="D52" s="424"/>
      <c r="E52" s="424"/>
      <c r="F52" s="424"/>
      <c r="G52" s="424"/>
      <c r="H52" s="424"/>
      <c r="I52" s="426"/>
      <c r="J52" s="114">
        <f>SUM(J44:J51)</f>
        <v>0.36800000000000005</v>
      </c>
      <c r="K52" s="282">
        <f>SUM(K44:K51)</f>
        <v>0</v>
      </c>
    </row>
    <row r="53" spans="1:16" ht="21.75" customHeight="1" thickTop="1" x14ac:dyDescent="0.2">
      <c r="A53" s="486" t="s">
        <v>152</v>
      </c>
      <c r="B53" s="487"/>
      <c r="C53" s="487"/>
      <c r="D53" s="487"/>
      <c r="E53" s="487"/>
      <c r="F53" s="487"/>
      <c r="G53" s="487"/>
      <c r="H53" s="487"/>
      <c r="I53" s="487"/>
      <c r="J53" s="487"/>
      <c r="K53" s="488"/>
    </row>
    <row r="54" spans="1:16" ht="21.75" customHeight="1" x14ac:dyDescent="0.2">
      <c r="A54" s="489"/>
      <c r="B54" s="490"/>
      <c r="C54" s="490"/>
      <c r="D54" s="490"/>
      <c r="E54" s="490"/>
      <c r="F54" s="490"/>
      <c r="G54" s="490"/>
      <c r="H54" s="490"/>
      <c r="I54" s="490"/>
      <c r="J54" s="490"/>
      <c r="K54" s="491"/>
    </row>
    <row r="55" spans="1:16" ht="12.6" customHeight="1" thickBot="1" x14ac:dyDescent="0.25">
      <c r="A55" s="492"/>
      <c r="B55" s="493"/>
      <c r="C55" s="493"/>
      <c r="D55" s="493"/>
      <c r="E55" s="493"/>
      <c r="F55" s="493"/>
      <c r="G55" s="493"/>
      <c r="H55" s="493"/>
      <c r="I55" s="493"/>
      <c r="J55" s="493"/>
      <c r="K55" s="494"/>
    </row>
    <row r="56" spans="1:16" ht="21.75" customHeight="1" thickTop="1" thickBot="1" x14ac:dyDescent="0.25">
      <c r="A56" s="423" t="s">
        <v>61</v>
      </c>
      <c r="B56" s="424"/>
      <c r="C56" s="424"/>
      <c r="D56" s="424"/>
      <c r="E56" s="424"/>
      <c r="F56" s="424"/>
      <c r="G56" s="424"/>
      <c r="H56" s="424"/>
      <c r="I56" s="424"/>
      <c r="J56" s="424"/>
      <c r="K56" s="426"/>
    </row>
    <row r="57" spans="1:16" ht="21.75" customHeight="1" thickTop="1" thickBot="1" x14ac:dyDescent="0.25">
      <c r="A57" s="95" t="s">
        <v>23</v>
      </c>
      <c r="B57" s="459" t="s">
        <v>424</v>
      </c>
      <c r="C57" s="459"/>
      <c r="D57" s="459"/>
      <c r="E57" s="459"/>
      <c r="F57" s="459"/>
      <c r="G57" s="459"/>
      <c r="H57" s="459"/>
      <c r="I57" s="459"/>
      <c r="J57" s="459"/>
      <c r="K57" s="117">
        <v>0</v>
      </c>
      <c r="L57" s="111"/>
    </row>
    <row r="58" spans="1:16" ht="21.75" customHeight="1" thickTop="1" thickBot="1" x14ac:dyDescent="0.25">
      <c r="A58" s="95" t="s">
        <v>25</v>
      </c>
      <c r="B58" s="459" t="s">
        <v>423</v>
      </c>
      <c r="C58" s="459"/>
      <c r="D58" s="459"/>
      <c r="E58" s="459"/>
      <c r="F58" s="459"/>
      <c r="G58" s="459"/>
      <c r="H58" s="459"/>
      <c r="I58" s="459"/>
      <c r="J58" s="459"/>
      <c r="K58" s="109">
        <v>0</v>
      </c>
      <c r="L58" s="484"/>
      <c r="M58" s="485"/>
      <c r="N58" s="485"/>
      <c r="O58" s="485"/>
    </row>
    <row r="59" spans="1:16" ht="21.75" customHeight="1" thickTop="1" thickBot="1" x14ac:dyDescent="0.25">
      <c r="A59" s="95" t="s">
        <v>28</v>
      </c>
      <c r="B59" s="459" t="s">
        <v>421</v>
      </c>
      <c r="C59" s="459"/>
      <c r="D59" s="459"/>
      <c r="E59" s="459"/>
      <c r="F59" s="459"/>
      <c r="G59" s="459"/>
      <c r="H59" s="459"/>
      <c r="I59" s="459"/>
      <c r="J59" s="459"/>
      <c r="K59" s="109">
        <v>0</v>
      </c>
      <c r="L59" s="484"/>
      <c r="M59" s="485"/>
      <c r="N59" s="485"/>
      <c r="O59" s="485"/>
      <c r="P59" s="111"/>
    </row>
    <row r="60" spans="1:16" ht="21.75" customHeight="1" thickTop="1" thickBot="1" x14ac:dyDescent="0.25">
      <c r="A60" s="95" t="s">
        <v>33</v>
      </c>
      <c r="B60" s="459" t="s">
        <v>420</v>
      </c>
      <c r="C60" s="459"/>
      <c r="D60" s="459"/>
      <c r="E60" s="459"/>
      <c r="F60" s="459"/>
      <c r="G60" s="459"/>
      <c r="H60" s="459"/>
      <c r="I60" s="459"/>
      <c r="J60" s="459"/>
      <c r="K60" s="109">
        <v>0</v>
      </c>
      <c r="L60" s="484"/>
      <c r="M60" s="485"/>
      <c r="N60" s="485"/>
      <c r="O60" s="485"/>
    </row>
    <row r="61" spans="1:16" ht="21.75" customHeight="1" thickTop="1" thickBot="1" x14ac:dyDescent="0.25">
      <c r="A61" s="95" t="s">
        <v>35</v>
      </c>
      <c r="B61" s="459" t="s">
        <v>87</v>
      </c>
      <c r="C61" s="459"/>
      <c r="D61" s="459"/>
      <c r="E61" s="459"/>
      <c r="F61" s="459"/>
      <c r="G61" s="459"/>
      <c r="H61" s="459"/>
      <c r="I61" s="459"/>
      <c r="J61" s="459"/>
      <c r="K61" s="109">
        <v>0</v>
      </c>
      <c r="L61" s="484"/>
      <c r="M61" s="485"/>
      <c r="N61" s="485"/>
      <c r="O61" s="485"/>
    </row>
    <row r="62" spans="1:16" ht="21.75" customHeight="1" thickTop="1" thickBot="1" x14ac:dyDescent="0.25">
      <c r="A62" s="95"/>
      <c r="B62" s="442" t="s">
        <v>47</v>
      </c>
      <c r="C62" s="442"/>
      <c r="D62" s="442"/>
      <c r="E62" s="442"/>
      <c r="F62" s="442"/>
      <c r="G62" s="442"/>
      <c r="H62" s="442"/>
      <c r="I62" s="442"/>
      <c r="J62" s="442"/>
      <c r="K62" s="105">
        <f>SUM(K57:K61)</f>
        <v>0</v>
      </c>
    </row>
    <row r="63" spans="1:16" ht="21.75" customHeight="1" thickTop="1" x14ac:dyDescent="0.2">
      <c r="A63" s="464" t="s">
        <v>153</v>
      </c>
      <c r="B63" s="465"/>
      <c r="C63" s="465"/>
      <c r="D63" s="465"/>
      <c r="E63" s="465"/>
      <c r="F63" s="465"/>
      <c r="G63" s="465"/>
      <c r="H63" s="465"/>
      <c r="I63" s="465"/>
      <c r="J63" s="465"/>
      <c r="K63" s="466"/>
    </row>
    <row r="64" spans="1:16" ht="37.15" customHeight="1" thickBot="1" x14ac:dyDescent="0.25">
      <c r="A64" s="467"/>
      <c r="B64" s="468"/>
      <c r="C64" s="468"/>
      <c r="D64" s="468"/>
      <c r="E64" s="468"/>
      <c r="F64" s="468"/>
      <c r="G64" s="468"/>
      <c r="H64" s="468"/>
      <c r="I64" s="468"/>
      <c r="J64" s="468"/>
      <c r="K64" s="469"/>
    </row>
    <row r="65" spans="1:18" ht="21.75" customHeight="1" thickTop="1" thickBot="1" x14ac:dyDescent="0.25">
      <c r="A65" s="423" t="s">
        <v>64</v>
      </c>
      <c r="B65" s="424"/>
      <c r="C65" s="424"/>
      <c r="D65" s="424"/>
      <c r="E65" s="424"/>
      <c r="F65" s="424"/>
      <c r="G65" s="424"/>
      <c r="H65" s="424"/>
      <c r="I65" s="424"/>
      <c r="J65" s="424"/>
      <c r="K65" s="426"/>
    </row>
    <row r="66" spans="1:18" ht="21.75" customHeight="1" thickTop="1" thickBot="1" x14ac:dyDescent="0.25">
      <c r="A66" s="118" t="s">
        <v>65</v>
      </c>
      <c r="B66" s="455" t="s">
        <v>154</v>
      </c>
      <c r="C66" s="455"/>
      <c r="D66" s="455"/>
      <c r="E66" s="455"/>
      <c r="F66" s="455"/>
      <c r="G66" s="455"/>
      <c r="H66" s="455"/>
      <c r="I66" s="455"/>
      <c r="J66" s="119">
        <f>J40</f>
        <v>0.19440000000000002</v>
      </c>
      <c r="K66" s="120">
        <f>K40</f>
        <v>0</v>
      </c>
    </row>
    <row r="67" spans="1:18" ht="21.75" customHeight="1" thickTop="1" thickBot="1" x14ac:dyDescent="0.25">
      <c r="A67" s="118" t="s">
        <v>67</v>
      </c>
      <c r="B67" s="455" t="s">
        <v>68</v>
      </c>
      <c r="C67" s="455"/>
      <c r="D67" s="455"/>
      <c r="E67" s="455"/>
      <c r="F67" s="455"/>
      <c r="G67" s="455"/>
      <c r="H67" s="455"/>
      <c r="I67" s="455"/>
      <c r="J67" s="119">
        <f>J52</f>
        <v>0.36800000000000005</v>
      </c>
      <c r="K67" s="120">
        <f>K52</f>
        <v>0</v>
      </c>
    </row>
    <row r="68" spans="1:18" ht="21.75" customHeight="1" thickTop="1" thickBot="1" x14ac:dyDescent="0.25">
      <c r="A68" s="118" t="s">
        <v>69</v>
      </c>
      <c r="B68" s="455" t="s">
        <v>70</v>
      </c>
      <c r="C68" s="455"/>
      <c r="D68" s="455"/>
      <c r="E68" s="455"/>
      <c r="F68" s="455"/>
      <c r="G68" s="455"/>
      <c r="H68" s="455"/>
      <c r="I68" s="455"/>
      <c r="J68" s="455"/>
      <c r="K68" s="120">
        <f>K62</f>
        <v>0</v>
      </c>
    </row>
    <row r="69" spans="1:18" ht="21.75" customHeight="1" thickTop="1" thickBot="1" x14ac:dyDescent="0.25">
      <c r="A69" s="95"/>
      <c r="B69" s="442" t="s">
        <v>47</v>
      </c>
      <c r="C69" s="442"/>
      <c r="D69" s="442"/>
      <c r="E69" s="442"/>
      <c r="F69" s="442"/>
      <c r="G69" s="442"/>
      <c r="H69" s="442"/>
      <c r="I69" s="442"/>
      <c r="J69" s="442"/>
      <c r="K69" s="105">
        <f>ROUND((K66+K67+K68),2)</f>
        <v>0</v>
      </c>
    </row>
    <row r="70" spans="1:18" s="121" customFormat="1" ht="21.75" customHeight="1" thickTop="1" thickBot="1" x14ac:dyDescent="0.3">
      <c r="A70" s="482"/>
      <c r="B70" s="483"/>
      <c r="C70" s="483"/>
      <c r="D70" s="483"/>
      <c r="E70" s="483"/>
      <c r="F70" s="483"/>
      <c r="G70" s="483"/>
      <c r="H70" s="483"/>
      <c r="I70" s="483"/>
      <c r="J70" s="483"/>
      <c r="K70" s="483"/>
    </row>
    <row r="71" spans="1:18" s="121" customFormat="1" ht="21.75" customHeight="1" thickTop="1" thickBot="1" x14ac:dyDescent="0.3">
      <c r="A71" s="423" t="s">
        <v>71</v>
      </c>
      <c r="B71" s="424"/>
      <c r="C71" s="424"/>
      <c r="D71" s="424"/>
      <c r="E71" s="424"/>
      <c r="F71" s="424"/>
      <c r="G71" s="424"/>
      <c r="H71" s="424"/>
      <c r="I71" s="424"/>
      <c r="J71" s="424"/>
      <c r="K71" s="426"/>
    </row>
    <row r="72" spans="1:18" s="121" customFormat="1" ht="21.75" customHeight="1" thickTop="1" thickBot="1" x14ac:dyDescent="0.3">
      <c r="A72" s="122" t="s">
        <v>23</v>
      </c>
      <c r="B72" s="459" t="s">
        <v>72</v>
      </c>
      <c r="C72" s="459"/>
      <c r="D72" s="459"/>
      <c r="E72" s="459"/>
      <c r="F72" s="459"/>
      <c r="G72" s="459"/>
      <c r="H72" s="459"/>
      <c r="I72" s="459"/>
      <c r="J72" s="123">
        <f>L72</f>
        <v>4.1666666666666666E-3</v>
      </c>
      <c r="K72" s="124">
        <f>J72*$K$33</f>
        <v>0</v>
      </c>
      <c r="L72" s="478">
        <f>0.05*(1/12)</f>
        <v>4.1666666666666666E-3</v>
      </c>
      <c r="M72" s="479"/>
      <c r="N72" s="121" t="s">
        <v>73</v>
      </c>
    </row>
    <row r="73" spans="1:18" s="121" customFormat="1" ht="21.75" customHeight="1" thickTop="1" thickBot="1" x14ac:dyDescent="0.3">
      <c r="A73" s="122" t="s">
        <v>25</v>
      </c>
      <c r="B73" s="459" t="s">
        <v>74</v>
      </c>
      <c r="C73" s="459"/>
      <c r="D73" s="459"/>
      <c r="E73" s="459"/>
      <c r="F73" s="459"/>
      <c r="G73" s="459"/>
      <c r="H73" s="459"/>
      <c r="I73" s="459"/>
      <c r="J73" s="123">
        <f>L73</f>
        <v>3.3333333333333332E-4</v>
      </c>
      <c r="K73" s="124">
        <f t="shared" ref="K73:K75" si="0">J73*$K$33</f>
        <v>0</v>
      </c>
      <c r="L73" s="480">
        <f>0.08*J72</f>
        <v>3.3333333333333332E-4</v>
      </c>
      <c r="M73" s="481"/>
    </row>
    <row r="74" spans="1:18" s="121" customFormat="1" ht="28.15" customHeight="1" thickTop="1" thickBot="1" x14ac:dyDescent="0.3">
      <c r="A74" s="122" t="s">
        <v>28</v>
      </c>
      <c r="B74" s="472" t="s">
        <v>75</v>
      </c>
      <c r="C74" s="472"/>
      <c r="D74" s="472"/>
      <c r="E74" s="472"/>
      <c r="F74" s="472"/>
      <c r="G74" s="472"/>
      <c r="H74" s="472"/>
      <c r="I74" s="472"/>
      <c r="J74" s="125">
        <f>L74</f>
        <v>3.4799999999999998E-2</v>
      </c>
      <c r="K74" s="124">
        <f t="shared" si="0"/>
        <v>0</v>
      </c>
      <c r="L74" s="473">
        <f>(0.08*(0.4)*0.9)*((1+5/56+5/56)+(1/3*5/56))</f>
        <v>3.4799999999999998E-2</v>
      </c>
      <c r="M74" s="474"/>
      <c r="N74" s="126"/>
      <c r="O74" s="127"/>
      <c r="P74" s="127"/>
      <c r="Q74" s="127"/>
      <c r="R74" s="127"/>
    </row>
    <row r="75" spans="1:18" s="121" customFormat="1" ht="21.75" customHeight="1" thickTop="1" thickBot="1" x14ac:dyDescent="0.3">
      <c r="A75" s="122" t="s">
        <v>33</v>
      </c>
      <c r="B75" s="459" t="s">
        <v>76</v>
      </c>
      <c r="C75" s="459"/>
      <c r="D75" s="459"/>
      <c r="E75" s="459"/>
      <c r="F75" s="459"/>
      <c r="G75" s="459"/>
      <c r="H75" s="459"/>
      <c r="I75" s="459"/>
      <c r="J75" s="125">
        <f>L75</f>
        <v>1.9444444444444445E-2</v>
      </c>
      <c r="K75" s="124">
        <f t="shared" si="0"/>
        <v>0</v>
      </c>
      <c r="L75" s="473">
        <f>(7/30)/12</f>
        <v>1.9444444444444445E-2</v>
      </c>
      <c r="M75" s="474"/>
    </row>
    <row r="76" spans="1:18" s="121" customFormat="1" ht="30" customHeight="1" thickTop="1" thickBot="1" x14ac:dyDescent="0.3">
      <c r="A76" s="122" t="s">
        <v>35</v>
      </c>
      <c r="B76" s="459" t="s">
        <v>77</v>
      </c>
      <c r="C76" s="459"/>
      <c r="D76" s="459"/>
      <c r="E76" s="459"/>
      <c r="F76" s="459"/>
      <c r="G76" s="459"/>
      <c r="H76" s="459"/>
      <c r="I76" s="459"/>
      <c r="J76" s="123">
        <f>J52*J75</f>
        <v>7.1555555555555565E-3</v>
      </c>
      <c r="K76" s="124">
        <f>K33*J76</f>
        <v>0</v>
      </c>
      <c r="L76" s="470">
        <f>J75*J52</f>
        <v>7.1555555555555565E-3</v>
      </c>
      <c r="M76" s="471"/>
      <c r="N76" s="128"/>
    </row>
    <row r="77" spans="1:18" s="121" customFormat="1" ht="30" customHeight="1" thickTop="1" thickBot="1" x14ac:dyDescent="0.3">
      <c r="A77" s="122" t="s">
        <v>37</v>
      </c>
      <c r="B77" s="472" t="s">
        <v>78</v>
      </c>
      <c r="C77" s="472"/>
      <c r="D77" s="472"/>
      <c r="E77" s="472"/>
      <c r="F77" s="472"/>
      <c r="G77" s="472"/>
      <c r="H77" s="472"/>
      <c r="I77" s="472"/>
      <c r="J77" s="123">
        <f>L77</f>
        <v>6.2222222222222225E-4</v>
      </c>
      <c r="K77" s="124">
        <f>J77*(K33+K40)</f>
        <v>0</v>
      </c>
      <c r="L77" s="473">
        <f>0.08*(0.4)*J75</f>
        <v>6.2222222222222225E-4</v>
      </c>
      <c r="M77" s="474"/>
      <c r="O77" s="129"/>
    </row>
    <row r="78" spans="1:18" s="121" customFormat="1" ht="21.75" customHeight="1" thickTop="1" thickBot="1" x14ac:dyDescent="0.3">
      <c r="A78" s="423" t="s">
        <v>47</v>
      </c>
      <c r="B78" s="424"/>
      <c r="C78" s="424"/>
      <c r="D78" s="424"/>
      <c r="E78" s="424"/>
      <c r="F78" s="424"/>
      <c r="G78" s="424"/>
      <c r="H78" s="424"/>
      <c r="I78" s="424"/>
      <c r="J78" s="130"/>
      <c r="K78" s="131">
        <f>ROUND(K72+K73+K74+K75+K76+K77,2)</f>
        <v>0</v>
      </c>
    </row>
    <row r="79" spans="1:18" s="121" customFormat="1" ht="21.75" customHeight="1" thickTop="1" x14ac:dyDescent="0.25">
      <c r="A79" s="464" t="s">
        <v>155</v>
      </c>
      <c r="B79" s="465"/>
      <c r="C79" s="465"/>
      <c r="D79" s="465"/>
      <c r="E79" s="465"/>
      <c r="F79" s="465"/>
      <c r="G79" s="465"/>
      <c r="H79" s="465"/>
      <c r="I79" s="465"/>
      <c r="J79" s="465"/>
      <c r="K79" s="466"/>
    </row>
    <row r="80" spans="1:18" s="121" customFormat="1" ht="21.75" customHeight="1" x14ac:dyDescent="0.25">
      <c r="A80" s="475"/>
      <c r="B80" s="476"/>
      <c r="C80" s="476"/>
      <c r="D80" s="476"/>
      <c r="E80" s="476"/>
      <c r="F80" s="476"/>
      <c r="G80" s="476"/>
      <c r="H80" s="476"/>
      <c r="I80" s="476"/>
      <c r="J80" s="476"/>
      <c r="K80" s="477"/>
    </row>
    <row r="81" spans="1:18" s="121" customFormat="1" ht="12.6" customHeight="1" thickBot="1" x14ac:dyDescent="0.3">
      <c r="A81" s="467"/>
      <c r="B81" s="468"/>
      <c r="C81" s="468"/>
      <c r="D81" s="468"/>
      <c r="E81" s="468"/>
      <c r="F81" s="468"/>
      <c r="G81" s="468"/>
      <c r="H81" s="468"/>
      <c r="I81" s="468"/>
      <c r="J81" s="468"/>
      <c r="K81" s="469"/>
    </row>
    <row r="82" spans="1:18" s="121" customFormat="1" ht="21.75" customHeight="1" thickTop="1" thickBot="1" x14ac:dyDescent="0.3">
      <c r="A82" s="423" t="s">
        <v>80</v>
      </c>
      <c r="B82" s="424"/>
      <c r="C82" s="424"/>
      <c r="D82" s="424"/>
      <c r="E82" s="424"/>
      <c r="F82" s="424"/>
      <c r="G82" s="424"/>
      <c r="H82" s="424"/>
      <c r="I82" s="424"/>
      <c r="J82" s="424"/>
      <c r="K82" s="426"/>
    </row>
    <row r="83" spans="1:18" s="121" customFormat="1" ht="21.75" customHeight="1" thickTop="1" thickBot="1" x14ac:dyDescent="0.3">
      <c r="A83" s="423" t="s">
        <v>144</v>
      </c>
      <c r="B83" s="424"/>
      <c r="C83" s="424"/>
      <c r="D83" s="424"/>
      <c r="E83" s="424"/>
      <c r="F83" s="424"/>
      <c r="G83" s="424"/>
      <c r="H83" s="424"/>
      <c r="I83" s="424"/>
      <c r="J83" s="424"/>
      <c r="K83" s="426"/>
    </row>
    <row r="84" spans="1:18" s="121" customFormat="1" ht="21.75" customHeight="1" thickTop="1" thickBot="1" x14ac:dyDescent="0.3">
      <c r="A84" s="132" t="s">
        <v>23</v>
      </c>
      <c r="B84" s="459" t="s">
        <v>82</v>
      </c>
      <c r="C84" s="459"/>
      <c r="D84" s="459"/>
      <c r="E84" s="459"/>
      <c r="F84" s="459"/>
      <c r="G84" s="459"/>
      <c r="H84" s="459"/>
      <c r="I84" s="459"/>
      <c r="J84" s="125">
        <f>L84</f>
        <v>9.0909090909090912E-2</v>
      </c>
      <c r="K84" s="124">
        <f>J84*$K$33</f>
        <v>0</v>
      </c>
      <c r="L84" s="133">
        <f>(5/55)</f>
        <v>9.0909090909090912E-2</v>
      </c>
      <c r="M84" s="134"/>
    </row>
    <row r="85" spans="1:18" s="121" customFormat="1" ht="21.75" customHeight="1" thickTop="1" thickBot="1" x14ac:dyDescent="0.3">
      <c r="A85" s="132" t="s">
        <v>25</v>
      </c>
      <c r="B85" s="459" t="s">
        <v>83</v>
      </c>
      <c r="C85" s="459"/>
      <c r="D85" s="459"/>
      <c r="E85" s="459"/>
      <c r="F85" s="459"/>
      <c r="G85" s="459"/>
      <c r="H85" s="459"/>
      <c r="I85" s="459"/>
      <c r="J85" s="123">
        <f>L85</f>
        <v>1.3698630136986301E-2</v>
      </c>
      <c r="K85" s="124">
        <f t="shared" ref="K85:K89" si="1">J85*$K$33</f>
        <v>0</v>
      </c>
      <c r="L85" s="133">
        <f>5/365</f>
        <v>1.3698630136986301E-2</v>
      </c>
      <c r="M85" s="135"/>
      <c r="N85" s="136"/>
      <c r="O85" s="136"/>
      <c r="P85" s="136"/>
    </row>
    <row r="86" spans="1:18" s="121" customFormat="1" ht="21.75" customHeight="1" thickTop="1" thickBot="1" x14ac:dyDescent="0.3">
      <c r="A86" s="132" t="s">
        <v>28</v>
      </c>
      <c r="B86" s="459" t="s">
        <v>84</v>
      </c>
      <c r="C86" s="459"/>
      <c r="D86" s="459"/>
      <c r="E86" s="459"/>
      <c r="F86" s="459"/>
      <c r="G86" s="459"/>
      <c r="H86" s="459"/>
      <c r="I86" s="459"/>
      <c r="J86" s="123">
        <f>L86</f>
        <v>2.0547945205479451E-4</v>
      </c>
      <c r="K86" s="124">
        <f t="shared" si="1"/>
        <v>0</v>
      </c>
      <c r="L86" s="133">
        <f>5/365*0.015</f>
        <v>2.0547945205479451E-4</v>
      </c>
      <c r="M86" s="137"/>
    </row>
    <row r="87" spans="1:18" s="121" customFormat="1" ht="21.75" customHeight="1" thickTop="1" thickBot="1" x14ac:dyDescent="0.3">
      <c r="A87" s="132" t="s">
        <v>33</v>
      </c>
      <c r="B87" s="459" t="s">
        <v>85</v>
      </c>
      <c r="C87" s="459"/>
      <c r="D87" s="459"/>
      <c r="E87" s="459"/>
      <c r="F87" s="459"/>
      <c r="G87" s="459"/>
      <c r="H87" s="459"/>
      <c r="I87" s="459"/>
      <c r="J87" s="123">
        <f>L87</f>
        <v>3.2876712328767121E-3</v>
      </c>
      <c r="K87" s="124">
        <f t="shared" si="1"/>
        <v>0</v>
      </c>
      <c r="L87" s="133">
        <f>15/365*0.08</f>
        <v>3.2876712328767121E-3</v>
      </c>
      <c r="M87" s="137"/>
    </row>
    <row r="88" spans="1:18" s="121" customFormat="1" ht="21.75" customHeight="1" thickTop="1" thickBot="1" x14ac:dyDescent="0.3">
      <c r="A88" s="132" t="s">
        <v>35</v>
      </c>
      <c r="B88" s="459" t="s">
        <v>86</v>
      </c>
      <c r="C88" s="459"/>
      <c r="D88" s="459"/>
      <c r="E88" s="459"/>
      <c r="F88" s="459"/>
      <c r="G88" s="459"/>
      <c r="H88" s="459"/>
      <c r="I88" s="459"/>
      <c r="J88" s="123">
        <f>M88</f>
        <v>1.6133333333333334E-3</v>
      </c>
      <c r="K88" s="124">
        <f t="shared" si="1"/>
        <v>0</v>
      </c>
      <c r="L88"/>
      <c r="M88" s="138">
        <f>((0.121*4)/12*0.04)</f>
        <v>1.6133333333333334E-3</v>
      </c>
      <c r="N88" s="139"/>
      <c r="Q88" s="140"/>
      <c r="R88" s="141"/>
    </row>
    <row r="89" spans="1:18" s="121" customFormat="1" ht="21.75" customHeight="1" thickTop="1" thickBot="1" x14ac:dyDescent="0.3">
      <c r="A89" s="132" t="s">
        <v>37</v>
      </c>
      <c r="B89" s="459" t="s">
        <v>87</v>
      </c>
      <c r="C89" s="459"/>
      <c r="D89" s="459"/>
      <c r="E89" s="459"/>
      <c r="F89" s="459"/>
      <c r="G89" s="459"/>
      <c r="H89" s="459"/>
      <c r="I89" s="459"/>
      <c r="J89" s="125">
        <v>0</v>
      </c>
      <c r="K89" s="124">
        <f t="shared" si="1"/>
        <v>0</v>
      </c>
      <c r="L89"/>
      <c r="M89" s="137"/>
    </row>
    <row r="90" spans="1:18" s="121" customFormat="1" ht="21.75" customHeight="1" thickTop="1" thickBot="1" x14ac:dyDescent="0.3">
      <c r="A90" s="132" t="s">
        <v>39</v>
      </c>
      <c r="B90" s="459" t="s">
        <v>88</v>
      </c>
      <c r="C90" s="459"/>
      <c r="D90" s="459"/>
      <c r="E90" s="459"/>
      <c r="F90" s="459"/>
      <c r="G90" s="459"/>
      <c r="H90" s="459"/>
      <c r="I90" s="459"/>
      <c r="J90" s="125">
        <f>(J84+J85+J86+J87+J88+J89)*J52</f>
        <v>4.0374827463677876E-2</v>
      </c>
      <c r="K90" s="124">
        <f>K33*J90</f>
        <v>0</v>
      </c>
      <c r="L90" s="137"/>
      <c r="M90" s="137"/>
      <c r="Q90" s="142"/>
    </row>
    <row r="91" spans="1:18" s="121" customFormat="1" ht="21.75" customHeight="1" thickTop="1" thickBot="1" x14ac:dyDescent="0.3">
      <c r="A91" s="423" t="s">
        <v>47</v>
      </c>
      <c r="B91" s="424"/>
      <c r="C91" s="424"/>
      <c r="D91" s="424"/>
      <c r="E91" s="424"/>
      <c r="F91" s="424"/>
      <c r="G91" s="424"/>
      <c r="H91" s="424"/>
      <c r="I91" s="426"/>
      <c r="J91" s="143">
        <f>SUM(J84:J90)</f>
        <v>0.15008903252801992</v>
      </c>
      <c r="K91" s="131">
        <f>ROUND(K84+K85+K86+K87+K88+K90,2)</f>
        <v>0</v>
      </c>
    </row>
    <row r="92" spans="1:18" s="121" customFormat="1" ht="21.75" customHeight="1" thickTop="1" x14ac:dyDescent="0.25">
      <c r="A92" s="464" t="s">
        <v>156</v>
      </c>
      <c r="B92" s="465"/>
      <c r="C92" s="465"/>
      <c r="D92" s="465"/>
      <c r="E92" s="465"/>
      <c r="F92" s="465"/>
      <c r="G92" s="465"/>
      <c r="H92" s="465"/>
      <c r="I92" s="465"/>
      <c r="J92" s="465"/>
      <c r="K92" s="466"/>
    </row>
    <row r="93" spans="1:18" s="121" customFormat="1" ht="27" customHeight="1" thickBot="1" x14ac:dyDescent="0.3">
      <c r="A93" s="467"/>
      <c r="B93" s="468"/>
      <c r="C93" s="468"/>
      <c r="D93" s="468"/>
      <c r="E93" s="468"/>
      <c r="F93" s="468"/>
      <c r="G93" s="468"/>
      <c r="H93" s="468"/>
      <c r="I93" s="468"/>
      <c r="J93" s="468"/>
      <c r="K93" s="469"/>
    </row>
    <row r="94" spans="1:18" s="121" customFormat="1" ht="21.75" customHeight="1" thickTop="1" thickBot="1" x14ac:dyDescent="0.3">
      <c r="A94" s="423" t="s">
        <v>90</v>
      </c>
      <c r="B94" s="424"/>
      <c r="C94" s="424"/>
      <c r="D94" s="424"/>
      <c r="E94" s="424"/>
      <c r="F94" s="424"/>
      <c r="G94" s="424"/>
      <c r="H94" s="424"/>
      <c r="I94" s="424"/>
      <c r="J94" s="424"/>
      <c r="K94" s="426"/>
    </row>
    <row r="95" spans="1:18" s="121" customFormat="1" ht="21.75" customHeight="1" thickTop="1" thickBot="1" x14ac:dyDescent="0.25">
      <c r="A95" s="95" t="s">
        <v>23</v>
      </c>
      <c r="B95" s="459" t="s">
        <v>91</v>
      </c>
      <c r="C95" s="459"/>
      <c r="D95" s="459"/>
      <c r="E95" s="459"/>
      <c r="F95" s="459"/>
      <c r="G95" s="459"/>
      <c r="H95" s="459"/>
      <c r="I95" s="459"/>
      <c r="J95" s="144">
        <v>0</v>
      </c>
      <c r="K95" s="102">
        <f>J95*L95</f>
        <v>0</v>
      </c>
      <c r="L95" s="136"/>
      <c r="M95" s="127"/>
      <c r="R95" s="145"/>
    </row>
    <row r="96" spans="1:18" s="121" customFormat="1" ht="21.75" customHeight="1" thickTop="1" thickBot="1" x14ac:dyDescent="0.3">
      <c r="A96" s="95"/>
      <c r="B96" s="460" t="s">
        <v>47</v>
      </c>
      <c r="C96" s="460"/>
      <c r="D96" s="460"/>
      <c r="E96" s="460"/>
      <c r="F96" s="460"/>
      <c r="G96" s="460"/>
      <c r="H96" s="460"/>
      <c r="I96" s="460"/>
      <c r="J96" s="146"/>
      <c r="K96" s="102">
        <f>K95</f>
        <v>0</v>
      </c>
      <c r="L96" s="136"/>
    </row>
    <row r="97" spans="1:13" s="121" customFormat="1" ht="35.450000000000003" customHeight="1" thickTop="1" thickBot="1" x14ac:dyDescent="0.3">
      <c r="A97" s="439" t="s">
        <v>157</v>
      </c>
      <c r="B97" s="440"/>
      <c r="C97" s="440"/>
      <c r="D97" s="440"/>
      <c r="E97" s="440"/>
      <c r="F97" s="440"/>
      <c r="G97" s="440"/>
      <c r="H97" s="440"/>
      <c r="I97" s="440"/>
      <c r="J97" s="440"/>
      <c r="K97" s="441"/>
    </row>
    <row r="98" spans="1:13" s="121" customFormat="1" ht="21.75" customHeight="1" thickTop="1" thickBot="1" x14ac:dyDescent="0.3">
      <c r="A98" s="423" t="s">
        <v>93</v>
      </c>
      <c r="B98" s="424"/>
      <c r="C98" s="424"/>
      <c r="D98" s="424"/>
      <c r="E98" s="424"/>
      <c r="F98" s="424"/>
      <c r="G98" s="424"/>
      <c r="H98" s="424"/>
      <c r="I98" s="424"/>
      <c r="J98" s="424"/>
      <c r="K98" s="426"/>
    </row>
    <row r="99" spans="1:13" s="121" customFormat="1" ht="21.75" customHeight="1" thickTop="1" thickBot="1" x14ac:dyDescent="0.3">
      <c r="A99" s="95" t="s">
        <v>94</v>
      </c>
      <c r="B99" s="461" t="s">
        <v>95</v>
      </c>
      <c r="C99" s="462"/>
      <c r="D99" s="462"/>
      <c r="E99" s="462"/>
      <c r="F99" s="462"/>
      <c r="G99" s="462"/>
      <c r="H99" s="462"/>
      <c r="I99" s="462"/>
      <c r="J99" s="463"/>
      <c r="K99" s="104">
        <f>K91</f>
        <v>0</v>
      </c>
    </row>
    <row r="100" spans="1:13" s="121" customFormat="1" ht="21.75" customHeight="1" thickTop="1" thickBot="1" x14ac:dyDescent="0.3">
      <c r="A100" s="95" t="s">
        <v>96</v>
      </c>
      <c r="B100" s="461" t="s">
        <v>97</v>
      </c>
      <c r="C100" s="462"/>
      <c r="D100" s="462"/>
      <c r="E100" s="462"/>
      <c r="F100" s="462"/>
      <c r="G100" s="462"/>
      <c r="H100" s="462"/>
      <c r="I100" s="462"/>
      <c r="J100" s="463"/>
      <c r="K100" s="104">
        <f>K96</f>
        <v>0</v>
      </c>
    </row>
    <row r="101" spans="1:13" s="121" customFormat="1" ht="21.75" customHeight="1" thickTop="1" thickBot="1" x14ac:dyDescent="0.3">
      <c r="A101" s="95"/>
      <c r="B101" s="442" t="s">
        <v>47</v>
      </c>
      <c r="C101" s="442"/>
      <c r="D101" s="442"/>
      <c r="E101" s="442"/>
      <c r="F101" s="442"/>
      <c r="G101" s="442"/>
      <c r="H101" s="442"/>
      <c r="I101" s="442"/>
      <c r="J101" s="442"/>
      <c r="K101" s="131">
        <f>K99+K100</f>
        <v>0</v>
      </c>
    </row>
    <row r="102" spans="1:13" s="121" customFormat="1" ht="21.75" customHeight="1" thickTop="1" thickBot="1" x14ac:dyDescent="0.3">
      <c r="A102" s="439"/>
      <c r="B102" s="440"/>
      <c r="C102" s="440"/>
      <c r="D102" s="440"/>
      <c r="E102" s="440"/>
      <c r="F102" s="440"/>
      <c r="G102" s="440"/>
      <c r="H102" s="440"/>
      <c r="I102" s="440"/>
      <c r="J102" s="440"/>
      <c r="K102" s="441"/>
    </row>
    <row r="103" spans="1:13" ht="21.75" customHeight="1" thickTop="1" thickBot="1" x14ac:dyDescent="0.25">
      <c r="A103" s="423" t="s">
        <v>98</v>
      </c>
      <c r="B103" s="424"/>
      <c r="C103" s="424"/>
      <c r="D103" s="424"/>
      <c r="E103" s="424"/>
      <c r="F103" s="424"/>
      <c r="G103" s="424"/>
      <c r="H103" s="424"/>
      <c r="I103" s="424"/>
      <c r="J103" s="426"/>
      <c r="K103" s="95" t="s">
        <v>99</v>
      </c>
    </row>
    <row r="104" spans="1:13" ht="21.75" customHeight="1" thickTop="1" thickBot="1" x14ac:dyDescent="0.25">
      <c r="A104" s="95" t="s">
        <v>23</v>
      </c>
      <c r="B104" s="455" t="s">
        <v>100</v>
      </c>
      <c r="C104" s="455"/>
      <c r="D104" s="455"/>
      <c r="E104" s="455"/>
      <c r="F104" s="455"/>
      <c r="G104" s="455"/>
      <c r="H104" s="455"/>
      <c r="I104" s="455"/>
      <c r="J104" s="455"/>
      <c r="K104" s="147">
        <f>'Insumos Petrolina'!E68</f>
        <v>0</v>
      </c>
    </row>
    <row r="105" spans="1:13" ht="21.75" customHeight="1" thickTop="1" thickBot="1" x14ac:dyDescent="0.25">
      <c r="A105" s="95" t="s">
        <v>25</v>
      </c>
      <c r="B105" s="455" t="s">
        <v>101</v>
      </c>
      <c r="C105" s="455"/>
      <c r="D105" s="455"/>
      <c r="E105" s="456" t="s">
        <v>102</v>
      </c>
      <c r="F105" s="456"/>
      <c r="G105" s="456"/>
      <c r="H105" s="456"/>
      <c r="I105" s="456"/>
      <c r="J105" s="456"/>
      <c r="K105" s="147">
        <f>'Insumos Petrolina'!B54</f>
        <v>0</v>
      </c>
    </row>
    <row r="106" spans="1:13" ht="21.75" customHeight="1" thickTop="1" thickBot="1" x14ac:dyDescent="0.25">
      <c r="A106" s="95" t="s">
        <v>28</v>
      </c>
      <c r="B106" s="455" t="s">
        <v>103</v>
      </c>
      <c r="C106" s="455"/>
      <c r="D106" s="455"/>
      <c r="E106" s="456" t="s">
        <v>102</v>
      </c>
      <c r="F106" s="456"/>
      <c r="G106" s="456"/>
      <c r="H106" s="456"/>
      <c r="I106" s="456"/>
      <c r="J106" s="456"/>
      <c r="K106" s="147">
        <f>'Insumos Petrolina'!B53+'Insumos Petrolina'!B52</f>
        <v>0</v>
      </c>
    </row>
    <row r="107" spans="1:13" ht="21.75" customHeight="1" thickTop="1" thickBot="1" x14ac:dyDescent="0.25">
      <c r="A107" s="442" t="s">
        <v>33</v>
      </c>
      <c r="B107" s="457" t="s">
        <v>87</v>
      </c>
      <c r="C107" s="457"/>
      <c r="D107" s="458" t="s">
        <v>104</v>
      </c>
      <c r="E107" s="458"/>
      <c r="F107" s="458"/>
      <c r="G107" s="458"/>
      <c r="H107" s="458"/>
      <c r="I107" s="458"/>
      <c r="J107" s="458"/>
      <c r="K107" s="147">
        <v>0</v>
      </c>
    </row>
    <row r="108" spans="1:13" ht="21.75" customHeight="1" thickTop="1" thickBot="1" x14ac:dyDescent="0.25">
      <c r="A108" s="442"/>
      <c r="B108" s="457"/>
      <c r="C108" s="457"/>
      <c r="D108" s="458" t="s">
        <v>104</v>
      </c>
      <c r="E108" s="458"/>
      <c r="F108" s="458"/>
      <c r="G108" s="458"/>
      <c r="H108" s="458"/>
      <c r="I108" s="458"/>
      <c r="J108" s="458"/>
      <c r="K108" s="147">
        <f>J108*K33</f>
        <v>0</v>
      </c>
    </row>
    <row r="109" spans="1:13" s="121" customFormat="1" ht="21.75" customHeight="1" thickTop="1" thickBot="1" x14ac:dyDescent="0.3">
      <c r="A109" s="423" t="s">
        <v>105</v>
      </c>
      <c r="B109" s="424"/>
      <c r="C109" s="424"/>
      <c r="D109" s="424"/>
      <c r="E109" s="424"/>
      <c r="F109" s="424"/>
      <c r="G109" s="424"/>
      <c r="H109" s="424"/>
      <c r="I109" s="424"/>
      <c r="J109" s="426"/>
      <c r="K109" s="131">
        <f>SUM(K104:K108)</f>
        <v>0</v>
      </c>
    </row>
    <row r="110" spans="1:13" s="121" customFormat="1" ht="21.75" customHeight="1" thickTop="1" thickBot="1" x14ac:dyDescent="0.3">
      <c r="A110" s="439" t="s">
        <v>158</v>
      </c>
      <c r="B110" s="440"/>
      <c r="C110" s="440"/>
      <c r="D110" s="440"/>
      <c r="E110" s="440"/>
      <c r="F110" s="440"/>
      <c r="G110" s="440"/>
      <c r="H110" s="440"/>
      <c r="I110" s="440"/>
      <c r="J110" s="440"/>
      <c r="K110" s="441"/>
    </row>
    <row r="111" spans="1:13" s="121" customFormat="1" ht="21.75" customHeight="1" thickTop="1" thickBot="1" x14ac:dyDescent="0.3">
      <c r="A111" s="423" t="s">
        <v>107</v>
      </c>
      <c r="B111" s="424"/>
      <c r="C111" s="424"/>
      <c r="D111" s="424"/>
      <c r="E111" s="424"/>
      <c r="F111" s="424"/>
      <c r="G111" s="424"/>
      <c r="H111" s="424"/>
      <c r="I111" s="424"/>
      <c r="J111" s="426"/>
      <c r="K111" s="95" t="s">
        <v>22</v>
      </c>
    </row>
    <row r="112" spans="1:13" s="121" customFormat="1" ht="21.75" customHeight="1" thickTop="1" thickBot="1" x14ac:dyDescent="0.3">
      <c r="A112" s="95" t="s">
        <v>23</v>
      </c>
      <c r="B112" s="86" t="s">
        <v>108</v>
      </c>
      <c r="C112" s="86"/>
      <c r="D112" s="86"/>
      <c r="E112" s="86"/>
      <c r="F112" s="86"/>
      <c r="G112" s="86"/>
      <c r="H112" s="86"/>
      <c r="I112" s="86"/>
      <c r="J112" s="340">
        <v>0.03</v>
      </c>
      <c r="K112" s="124">
        <f>J112*K132</f>
        <v>0</v>
      </c>
      <c r="L112" s="137" t="s">
        <v>109</v>
      </c>
      <c r="M112" s="137"/>
    </row>
    <row r="113" spans="1:13" s="121" customFormat="1" ht="21.75" customHeight="1" thickTop="1" thickBot="1" x14ac:dyDescent="0.3">
      <c r="A113" s="95" t="s">
        <v>25</v>
      </c>
      <c r="B113" s="86" t="s">
        <v>110</v>
      </c>
      <c r="C113" s="86"/>
      <c r="D113" s="86"/>
      <c r="E113" s="86"/>
      <c r="F113" s="86"/>
      <c r="G113" s="86"/>
      <c r="H113" s="86"/>
      <c r="I113" s="86"/>
      <c r="J113" s="340">
        <v>6.7900000000000002E-2</v>
      </c>
      <c r="K113" s="124">
        <f>(K132+K112)*J113</f>
        <v>0</v>
      </c>
      <c r="L113" s="148"/>
      <c r="M113" s="137"/>
    </row>
    <row r="114" spans="1:13" s="121" customFormat="1" ht="21.75" customHeight="1" thickTop="1" thickBot="1" x14ac:dyDescent="0.3">
      <c r="A114" s="442" t="s">
        <v>28</v>
      </c>
      <c r="B114" s="86" t="s">
        <v>111</v>
      </c>
      <c r="C114" s="86"/>
      <c r="D114" s="86"/>
      <c r="E114" s="86"/>
      <c r="F114" s="86"/>
      <c r="G114" s="86"/>
      <c r="H114" s="86"/>
      <c r="I114" s="149" t="s">
        <v>112</v>
      </c>
      <c r="J114" s="136"/>
      <c r="K114" s="146"/>
    </row>
    <row r="115" spans="1:13" s="121" customFormat="1" ht="21.75" customHeight="1" thickTop="1" thickBot="1" x14ac:dyDescent="0.3">
      <c r="A115" s="442"/>
      <c r="B115" s="86"/>
      <c r="C115" s="150" t="s">
        <v>113</v>
      </c>
      <c r="D115" s="150"/>
      <c r="E115" s="150"/>
      <c r="F115" s="86" t="s">
        <v>114</v>
      </c>
      <c r="G115" s="151"/>
      <c r="H115" s="151"/>
      <c r="I115" s="443">
        <f>SUM(J115:J117)</f>
        <v>0.14250000000000002</v>
      </c>
      <c r="J115" s="152">
        <v>1.6500000000000001E-2</v>
      </c>
      <c r="K115" s="153">
        <f>((K132+K112+K113)/(1-I115))*J115</f>
        <v>0</v>
      </c>
    </row>
    <row r="116" spans="1:13" s="121" customFormat="1" ht="21.75" customHeight="1" thickTop="1" thickBot="1" x14ac:dyDescent="0.3">
      <c r="A116" s="442"/>
      <c r="B116" s="86"/>
      <c r="C116" s="86"/>
      <c r="D116" s="86"/>
      <c r="E116" s="86"/>
      <c r="F116" s="86" t="s">
        <v>115</v>
      </c>
      <c r="G116" s="151"/>
      <c r="H116" s="151"/>
      <c r="I116" s="444"/>
      <c r="J116" s="152">
        <v>7.5999999999999998E-2</v>
      </c>
      <c r="K116" s="153">
        <f>((K132+K112+K113)/(1-I115))*J116</f>
        <v>0</v>
      </c>
    </row>
    <row r="117" spans="1:13" s="121" customFormat="1" ht="21.75" customHeight="1" thickTop="1" thickBot="1" x14ac:dyDescent="0.3">
      <c r="A117" s="442"/>
      <c r="B117" s="150"/>
      <c r="C117" s="150" t="s">
        <v>116</v>
      </c>
      <c r="D117" s="150"/>
      <c r="E117" s="86"/>
      <c r="F117" s="86" t="s">
        <v>117</v>
      </c>
      <c r="G117" s="151"/>
      <c r="H117" s="151"/>
      <c r="I117" s="445"/>
      <c r="J117" s="152">
        <v>0.05</v>
      </c>
      <c r="K117" s="153">
        <f>((K132+K112+K113)/(1-I115))*J117</f>
        <v>0</v>
      </c>
    </row>
    <row r="118" spans="1:13" s="121" customFormat="1" ht="21.75" customHeight="1" thickTop="1" thickBot="1" x14ac:dyDescent="0.3">
      <c r="A118" s="154" t="s">
        <v>118</v>
      </c>
      <c r="B118" s="130"/>
      <c r="C118" s="130"/>
      <c r="D118" s="130"/>
      <c r="E118" s="130"/>
      <c r="F118" s="130"/>
      <c r="G118" s="130"/>
      <c r="H118" s="130"/>
      <c r="I118" s="130"/>
      <c r="J118" s="130"/>
      <c r="K118" s="131">
        <f>K112+K113+K115+K116+K117</f>
        <v>0</v>
      </c>
    </row>
    <row r="119" spans="1:13" s="121" customFormat="1" ht="37.15" customHeight="1" thickTop="1" thickBot="1" x14ac:dyDescent="0.3">
      <c r="A119" s="446" t="s">
        <v>159</v>
      </c>
      <c r="B119" s="447"/>
      <c r="C119" s="447"/>
      <c r="D119" s="447"/>
      <c r="E119" s="447"/>
      <c r="F119" s="447"/>
      <c r="G119" s="447"/>
      <c r="H119" s="447"/>
      <c r="I119" s="447"/>
      <c r="J119" s="447"/>
      <c r="K119" s="448"/>
    </row>
    <row r="120" spans="1:13" s="121" customFormat="1" ht="21.6" hidden="1" customHeight="1" x14ac:dyDescent="0.25">
      <c r="A120" s="449"/>
      <c r="B120" s="450"/>
      <c r="C120" s="450"/>
      <c r="D120" s="450"/>
      <c r="E120" s="450"/>
      <c r="F120" s="450"/>
      <c r="G120" s="450"/>
      <c r="H120" s="450"/>
      <c r="I120" s="450"/>
      <c r="J120" s="450"/>
      <c r="K120" s="451"/>
    </row>
    <row r="121" spans="1:13" s="121" customFormat="1" ht="21.6" hidden="1" customHeight="1" x14ac:dyDescent="0.25">
      <c r="A121" s="449"/>
      <c r="B121" s="450"/>
      <c r="C121" s="450"/>
      <c r="D121" s="450"/>
      <c r="E121" s="450"/>
      <c r="F121" s="450"/>
      <c r="G121" s="450"/>
      <c r="H121" s="450"/>
      <c r="I121" s="450"/>
      <c r="J121" s="450"/>
      <c r="K121" s="451"/>
    </row>
    <row r="122" spans="1:13" s="121" customFormat="1" ht="21.6" hidden="1" customHeight="1" x14ac:dyDescent="0.25">
      <c r="A122" s="449"/>
      <c r="B122" s="450"/>
      <c r="C122" s="450"/>
      <c r="D122" s="450"/>
      <c r="E122" s="450"/>
      <c r="F122" s="450"/>
      <c r="G122" s="450"/>
      <c r="H122" s="450"/>
      <c r="I122" s="450"/>
      <c r="J122" s="450"/>
      <c r="K122" s="451"/>
    </row>
    <row r="123" spans="1:13" s="121" customFormat="1" ht="21.6" hidden="1" customHeight="1" x14ac:dyDescent="0.25">
      <c r="A123" s="449"/>
      <c r="B123" s="450"/>
      <c r="C123" s="450"/>
      <c r="D123" s="450"/>
      <c r="E123" s="450"/>
      <c r="F123" s="450"/>
      <c r="G123" s="450"/>
      <c r="H123" s="450"/>
      <c r="I123" s="450"/>
      <c r="J123" s="450"/>
      <c r="K123" s="451"/>
    </row>
    <row r="124" spans="1:13" ht="21.6" hidden="1" customHeight="1" x14ac:dyDescent="0.2">
      <c r="A124" s="452"/>
      <c r="B124" s="453"/>
      <c r="C124" s="453"/>
      <c r="D124" s="453"/>
      <c r="E124" s="453"/>
      <c r="F124" s="453"/>
      <c r="G124" s="453"/>
      <c r="H124" s="453"/>
      <c r="I124" s="453"/>
      <c r="J124" s="453"/>
      <c r="K124" s="454"/>
    </row>
    <row r="125" spans="1:13" ht="21.75" customHeight="1" thickTop="1" thickBot="1" x14ac:dyDescent="0.25">
      <c r="A125" s="423" t="s">
        <v>120</v>
      </c>
      <c r="B125" s="424"/>
      <c r="C125" s="424"/>
      <c r="D125" s="424"/>
      <c r="E125" s="424"/>
      <c r="F125" s="424"/>
      <c r="G125" s="424"/>
      <c r="H125" s="424"/>
      <c r="I125" s="424"/>
      <c r="J125" s="424"/>
      <c r="K125" s="426"/>
    </row>
    <row r="126" spans="1:13" ht="21.75" customHeight="1" thickTop="1" thickBot="1" x14ac:dyDescent="0.25">
      <c r="A126" s="435" t="s">
        <v>121</v>
      </c>
      <c r="B126" s="436"/>
      <c r="C126" s="436"/>
      <c r="D126" s="436"/>
      <c r="E126" s="436"/>
      <c r="F126" s="436"/>
      <c r="G126" s="436"/>
      <c r="H126" s="436"/>
      <c r="I126" s="436"/>
      <c r="J126" s="437"/>
      <c r="K126" s="95" t="s">
        <v>99</v>
      </c>
    </row>
    <row r="127" spans="1:13" ht="21.75" customHeight="1" thickTop="1" thickBot="1" x14ac:dyDescent="0.25">
      <c r="A127" s="95" t="s">
        <v>23</v>
      </c>
      <c r="B127" s="427" t="s">
        <v>122</v>
      </c>
      <c r="C127" s="428"/>
      <c r="D127" s="428"/>
      <c r="E127" s="428"/>
      <c r="F127" s="428"/>
      <c r="G127" s="428"/>
      <c r="H127" s="428"/>
      <c r="I127" s="428"/>
      <c r="J127" s="429"/>
      <c r="K127" s="104">
        <f>K33</f>
        <v>0</v>
      </c>
    </row>
    <row r="128" spans="1:13" ht="21.75" customHeight="1" thickTop="1" thickBot="1" x14ac:dyDescent="0.25">
      <c r="A128" s="95" t="s">
        <v>25</v>
      </c>
      <c r="B128" s="438" t="s">
        <v>123</v>
      </c>
      <c r="C128" s="438"/>
      <c r="D128" s="438"/>
      <c r="E128" s="438"/>
      <c r="F128" s="438"/>
      <c r="G128" s="438"/>
      <c r="H128" s="438"/>
      <c r="I128" s="438"/>
      <c r="J128" s="438"/>
      <c r="K128" s="104">
        <f>K69</f>
        <v>0</v>
      </c>
    </row>
    <row r="129" spans="1:13" ht="21.75" customHeight="1" thickTop="1" thickBot="1" x14ac:dyDescent="0.25">
      <c r="A129" s="95" t="s">
        <v>28</v>
      </c>
      <c r="B129" s="427" t="s">
        <v>145</v>
      </c>
      <c r="C129" s="428"/>
      <c r="D129" s="428"/>
      <c r="E129" s="428"/>
      <c r="F129" s="428"/>
      <c r="G129" s="428"/>
      <c r="H129" s="428"/>
      <c r="I129" s="428"/>
      <c r="J129" s="429"/>
      <c r="K129" s="104">
        <f>K78</f>
        <v>0</v>
      </c>
    </row>
    <row r="130" spans="1:13" ht="21.75" customHeight="1" thickTop="1" thickBot="1" x14ac:dyDescent="0.25">
      <c r="A130" s="95" t="s">
        <v>33</v>
      </c>
      <c r="B130" s="427" t="s">
        <v>146</v>
      </c>
      <c r="C130" s="428"/>
      <c r="D130" s="428"/>
      <c r="E130" s="428"/>
      <c r="F130" s="428"/>
      <c r="G130" s="428"/>
      <c r="H130" s="428"/>
      <c r="I130" s="428"/>
      <c r="J130" s="429"/>
      <c r="K130" s="104">
        <f>K101</f>
        <v>0</v>
      </c>
    </row>
    <row r="131" spans="1:13" ht="21.75" customHeight="1" thickTop="1" thickBot="1" x14ac:dyDescent="0.25">
      <c r="A131" s="95" t="s">
        <v>35</v>
      </c>
      <c r="B131" s="427" t="s">
        <v>126</v>
      </c>
      <c r="C131" s="428"/>
      <c r="D131" s="428"/>
      <c r="E131" s="428"/>
      <c r="F131" s="428"/>
      <c r="G131" s="428"/>
      <c r="H131" s="428"/>
      <c r="I131" s="428"/>
      <c r="J131" s="429"/>
      <c r="K131" s="104">
        <f>K109</f>
        <v>0</v>
      </c>
    </row>
    <row r="132" spans="1:13" ht="21.75" customHeight="1" thickTop="1" thickBot="1" x14ac:dyDescent="0.25">
      <c r="A132" s="423" t="s">
        <v>127</v>
      </c>
      <c r="B132" s="424"/>
      <c r="C132" s="424"/>
      <c r="D132" s="424"/>
      <c r="E132" s="424"/>
      <c r="F132" s="424"/>
      <c r="G132" s="424"/>
      <c r="H132" s="424"/>
      <c r="I132" s="424"/>
      <c r="J132" s="426"/>
      <c r="K132" s="131">
        <f>SUM(K127:K131)</f>
        <v>0</v>
      </c>
      <c r="L132" s="156"/>
    </row>
    <row r="133" spans="1:13" s="121" customFormat="1" ht="21.75" customHeight="1" thickTop="1" thickBot="1" x14ac:dyDescent="0.3">
      <c r="A133" s="95" t="s">
        <v>37</v>
      </c>
      <c r="B133" s="427" t="s">
        <v>128</v>
      </c>
      <c r="C133" s="428"/>
      <c r="D133" s="428"/>
      <c r="E133" s="428"/>
      <c r="F133" s="428"/>
      <c r="G133" s="428"/>
      <c r="H133" s="428"/>
      <c r="I133" s="428"/>
      <c r="J133" s="429"/>
      <c r="K133" s="104">
        <f>K118</f>
        <v>0</v>
      </c>
    </row>
    <row r="134" spans="1:13" ht="34.15" customHeight="1" thickTop="1" thickBot="1" x14ac:dyDescent="0.25">
      <c r="A134" s="430" t="s">
        <v>129</v>
      </c>
      <c r="B134" s="431"/>
      <c r="C134" s="431"/>
      <c r="D134" s="431"/>
      <c r="E134" s="431"/>
      <c r="F134" s="431"/>
      <c r="G134" s="431"/>
      <c r="H134" s="431"/>
      <c r="I134" s="431"/>
      <c r="J134" s="432"/>
      <c r="K134" s="157">
        <f>SUM(K132+K133)</f>
        <v>0</v>
      </c>
    </row>
    <row r="135" spans="1:13" ht="21.75" customHeight="1" thickTop="1" thickBot="1" x14ac:dyDescent="0.25">
      <c r="A135" s="81"/>
      <c r="B135" s="82"/>
      <c r="C135" s="82"/>
      <c r="D135" s="82"/>
      <c r="E135" s="82"/>
      <c r="F135" s="82"/>
      <c r="G135" s="82"/>
      <c r="H135" s="82"/>
      <c r="I135" s="82"/>
      <c r="J135" s="82"/>
      <c r="K135" s="79"/>
    </row>
    <row r="136" spans="1:13" ht="21.75" customHeight="1" thickTop="1" thickBot="1" x14ac:dyDescent="0.25">
      <c r="A136" s="423" t="s">
        <v>130</v>
      </c>
      <c r="B136" s="424"/>
      <c r="C136" s="424"/>
      <c r="D136" s="424"/>
      <c r="E136" s="424"/>
      <c r="F136" s="424"/>
      <c r="G136" s="424"/>
      <c r="H136" s="424"/>
      <c r="I136" s="424"/>
      <c r="J136" s="424"/>
      <c r="K136" s="426"/>
    </row>
    <row r="137" spans="1:13" ht="45" customHeight="1" thickTop="1" thickBot="1" x14ac:dyDescent="0.25">
      <c r="A137" s="430" t="s">
        <v>131</v>
      </c>
      <c r="B137" s="431"/>
      <c r="C137" s="433"/>
      <c r="D137" s="434" t="s">
        <v>329</v>
      </c>
      <c r="E137" s="434"/>
      <c r="F137" s="434" t="s">
        <v>133</v>
      </c>
      <c r="G137" s="434"/>
      <c r="H137" s="434" t="s">
        <v>134</v>
      </c>
      <c r="I137" s="434"/>
      <c r="J137" s="158" t="s">
        <v>135</v>
      </c>
      <c r="K137" s="159" t="s">
        <v>136</v>
      </c>
    </row>
    <row r="138" spans="1:13" ht="21.75" customHeight="1" thickTop="1" thickBot="1" x14ac:dyDescent="0.25">
      <c r="A138" s="418" t="s">
        <v>193</v>
      </c>
      <c r="B138" s="419"/>
      <c r="C138" s="420"/>
      <c r="D138" s="421">
        <f>K134</f>
        <v>0</v>
      </c>
      <c r="E138" s="421"/>
      <c r="F138" s="422">
        <v>1</v>
      </c>
      <c r="G138" s="422"/>
      <c r="H138" s="421">
        <f>F138*D138</f>
        <v>0</v>
      </c>
      <c r="I138" s="421"/>
      <c r="J138" s="160">
        <f>'Quantitativo de pessoal'!R14</f>
        <v>1</v>
      </c>
      <c r="K138" s="161">
        <f>ROUND(J138*H138,2)</f>
        <v>0</v>
      </c>
    </row>
    <row r="139" spans="1:13" ht="36.75" customHeight="1" thickTop="1" thickBot="1" x14ac:dyDescent="0.25">
      <c r="A139" s="423" t="s">
        <v>137</v>
      </c>
      <c r="B139" s="424"/>
      <c r="C139" s="424"/>
      <c r="D139" s="424"/>
      <c r="E139" s="424"/>
      <c r="F139" s="424"/>
      <c r="G139" s="424"/>
      <c r="H139" s="424"/>
      <c r="I139" s="424"/>
      <c r="J139" s="425"/>
      <c r="K139" s="162">
        <f>K138</f>
        <v>0</v>
      </c>
    </row>
    <row r="140" spans="1:13" ht="36.75" customHeight="1" thickTop="1" thickBot="1" x14ac:dyDescent="0.25">
      <c r="A140" s="423" t="s">
        <v>138</v>
      </c>
      <c r="B140" s="424"/>
      <c r="C140" s="424"/>
      <c r="D140" s="424"/>
      <c r="E140" s="424"/>
      <c r="F140" s="424"/>
      <c r="G140" s="424"/>
      <c r="H140" s="424"/>
      <c r="I140" s="424"/>
      <c r="J140" s="426"/>
      <c r="K140" s="330">
        <f>K139*12</f>
        <v>0</v>
      </c>
    </row>
    <row r="141" spans="1:13" ht="16.5" thickTop="1" x14ac:dyDescent="0.2">
      <c r="K141" s="329" t="s">
        <v>139</v>
      </c>
      <c r="L141" s="163" t="e">
        <f>K134/K33</f>
        <v>#DIV/0!</v>
      </c>
      <c r="M141" s="111"/>
    </row>
    <row r="1048526" ht="12.75" customHeight="1" x14ac:dyDescent="0.2"/>
    <row r="1048527" ht="12.75" customHeight="1" x14ac:dyDescent="0.2"/>
    <row r="1048528" ht="12.75" customHeight="1" x14ac:dyDescent="0.2"/>
    <row r="1048529" ht="12.75" customHeight="1" x14ac:dyDescent="0.2"/>
    <row r="1048530" ht="12.75" customHeight="1" x14ac:dyDescent="0.2"/>
    <row r="1048531" ht="12.75" customHeight="1" x14ac:dyDescent="0.2"/>
    <row r="1048532" ht="12.75" customHeight="1" x14ac:dyDescent="0.2"/>
    <row r="1048533" ht="12.75" customHeight="1" x14ac:dyDescent="0.2"/>
    <row r="1048534" ht="12.75" customHeight="1" x14ac:dyDescent="0.2"/>
    <row r="1048535" ht="12.75" customHeight="1" x14ac:dyDescent="0.2"/>
    <row r="1048536" ht="12.75" customHeight="1" x14ac:dyDescent="0.2"/>
    <row r="1048537" ht="12.75" customHeight="1" x14ac:dyDescent="0.2"/>
    <row r="1048538" ht="12.75" customHeight="1" x14ac:dyDescent="0.2"/>
    <row r="1048539" ht="12.75" customHeight="1" x14ac:dyDescent="0.2"/>
    <row r="1048540" ht="12.75" customHeight="1" x14ac:dyDescent="0.2"/>
    <row r="1048541" ht="12.75" customHeight="1" x14ac:dyDescent="0.2"/>
    <row r="1048542" ht="12.75" customHeight="1" x14ac:dyDescent="0.2"/>
    <row r="1048543" ht="12.75" customHeight="1" x14ac:dyDescent="0.2"/>
    <row r="1048544" ht="12.75" customHeight="1" x14ac:dyDescent="0.2"/>
    <row r="1048545" ht="12.75" customHeight="1" x14ac:dyDescent="0.2"/>
    <row r="1048546" ht="12.75" customHeight="1" x14ac:dyDescent="0.2"/>
    <row r="1048547" ht="12.75" customHeight="1" x14ac:dyDescent="0.2"/>
    <row r="1048548" ht="12.75" customHeight="1" x14ac:dyDescent="0.2"/>
    <row r="1048549" ht="12.75" customHeight="1" x14ac:dyDescent="0.2"/>
    <row r="1048550" ht="12.75" customHeight="1" x14ac:dyDescent="0.2"/>
    <row r="1048551" ht="12.75" customHeight="1" x14ac:dyDescent="0.2"/>
    <row r="1048552" ht="12.75" customHeight="1" x14ac:dyDescent="0.2"/>
    <row r="1048553" ht="12.75" customHeight="1" x14ac:dyDescent="0.2"/>
    <row r="1048554" ht="12.75" customHeight="1" x14ac:dyDescent="0.2"/>
    <row r="1048555" ht="12.75" customHeight="1" x14ac:dyDescent="0.2"/>
    <row r="1048556" ht="12.75" customHeight="1" x14ac:dyDescent="0.2"/>
  </sheetData>
  <mergeCells count="137">
    <mergeCell ref="A138:C138"/>
    <mergeCell ref="D138:E138"/>
    <mergeCell ref="F138:G138"/>
    <mergeCell ref="H138:I138"/>
    <mergeCell ref="A139:J139"/>
    <mergeCell ref="A140:J140"/>
    <mergeCell ref="B133:J133"/>
    <mergeCell ref="A134:J134"/>
    <mergeCell ref="A136:K136"/>
    <mergeCell ref="A137:C137"/>
    <mergeCell ref="D137:E137"/>
    <mergeCell ref="F137:G137"/>
    <mergeCell ref="H137:I137"/>
    <mergeCell ref="B127:J127"/>
    <mergeCell ref="B128:J128"/>
    <mergeCell ref="B129:J129"/>
    <mergeCell ref="B130:J130"/>
    <mergeCell ref="B131:J131"/>
    <mergeCell ref="A132:J132"/>
    <mergeCell ref="A111:J111"/>
    <mergeCell ref="A114:A117"/>
    <mergeCell ref="I115:I117"/>
    <mergeCell ref="A119:K124"/>
    <mergeCell ref="A125:K125"/>
    <mergeCell ref="A126:J126"/>
    <mergeCell ref="A107:A108"/>
    <mergeCell ref="B107:C108"/>
    <mergeCell ref="D107:J107"/>
    <mergeCell ref="D108:J108"/>
    <mergeCell ref="A109:J109"/>
    <mergeCell ref="A110:K110"/>
    <mergeCell ref="A103:J103"/>
    <mergeCell ref="B104:J104"/>
    <mergeCell ref="B105:D105"/>
    <mergeCell ref="E105:J105"/>
    <mergeCell ref="B106:D106"/>
    <mergeCell ref="E106:J106"/>
    <mergeCell ref="A97:K97"/>
    <mergeCell ref="A98:K98"/>
    <mergeCell ref="B99:J99"/>
    <mergeCell ref="B100:J100"/>
    <mergeCell ref="B101:J101"/>
    <mergeCell ref="A102:K102"/>
    <mergeCell ref="B90:I90"/>
    <mergeCell ref="A91:I91"/>
    <mergeCell ref="A92:K93"/>
    <mergeCell ref="A94:K94"/>
    <mergeCell ref="B95:I95"/>
    <mergeCell ref="B96:I96"/>
    <mergeCell ref="B84:I84"/>
    <mergeCell ref="B85:I85"/>
    <mergeCell ref="B86:I86"/>
    <mergeCell ref="B87:I87"/>
    <mergeCell ref="B88:I88"/>
    <mergeCell ref="B89:I89"/>
    <mergeCell ref="B77:I77"/>
    <mergeCell ref="L77:M77"/>
    <mergeCell ref="A78:I78"/>
    <mergeCell ref="A79:K81"/>
    <mergeCell ref="A82:K82"/>
    <mergeCell ref="A83:K83"/>
    <mergeCell ref="B74:I74"/>
    <mergeCell ref="L74:M74"/>
    <mergeCell ref="B75:I75"/>
    <mergeCell ref="L75:M75"/>
    <mergeCell ref="B76:I76"/>
    <mergeCell ref="L76:M76"/>
    <mergeCell ref="B69:J69"/>
    <mergeCell ref="A70:K70"/>
    <mergeCell ref="A71:K71"/>
    <mergeCell ref="B72:I72"/>
    <mergeCell ref="L72:M72"/>
    <mergeCell ref="B73:I73"/>
    <mergeCell ref="L73:M73"/>
    <mergeCell ref="B62:J62"/>
    <mergeCell ref="A63:K64"/>
    <mergeCell ref="A65:K65"/>
    <mergeCell ref="B66:I66"/>
    <mergeCell ref="B67:I67"/>
    <mergeCell ref="B68:J68"/>
    <mergeCell ref="L58:O58"/>
    <mergeCell ref="B59:J59"/>
    <mergeCell ref="L59:O59"/>
    <mergeCell ref="B60:J60"/>
    <mergeCell ref="L60:O60"/>
    <mergeCell ref="B61:J61"/>
    <mergeCell ref="L61:O61"/>
    <mergeCell ref="B51:I51"/>
    <mergeCell ref="B52:I52"/>
    <mergeCell ref="A53:K55"/>
    <mergeCell ref="A56:K56"/>
    <mergeCell ref="B57:J57"/>
    <mergeCell ref="B58:J58"/>
    <mergeCell ref="B45:I45"/>
    <mergeCell ref="B46:E46"/>
    <mergeCell ref="H46:I46"/>
    <mergeCell ref="B47:I47"/>
    <mergeCell ref="B48:I48"/>
    <mergeCell ref="B50:I50"/>
    <mergeCell ref="B38:I38"/>
    <mergeCell ref="B39:I39"/>
    <mergeCell ref="B40:I40"/>
    <mergeCell ref="A41:K42"/>
    <mergeCell ref="A43:K43"/>
    <mergeCell ref="B44:I44"/>
    <mergeCell ref="B31:J31"/>
    <mergeCell ref="A32:K32"/>
    <mergeCell ref="A33:J33"/>
    <mergeCell ref="A34:K35"/>
    <mergeCell ref="A36:K36"/>
    <mergeCell ref="A37:K37"/>
    <mergeCell ref="A26:A27"/>
    <mergeCell ref="B26:D27"/>
    <mergeCell ref="K26:K27"/>
    <mergeCell ref="B28:J28"/>
    <mergeCell ref="B29:J29"/>
    <mergeCell ref="B30:J30"/>
    <mergeCell ref="A12:K14"/>
    <mergeCell ref="A15:K15"/>
    <mergeCell ref="B19:J19"/>
    <mergeCell ref="A20:K22"/>
    <mergeCell ref="A23:J23"/>
    <mergeCell ref="H25:J25"/>
    <mergeCell ref="A5:C5"/>
    <mergeCell ref="D5:I5"/>
    <mergeCell ref="B7:E7"/>
    <mergeCell ref="F7:K7"/>
    <mergeCell ref="B9:H9"/>
    <mergeCell ref="I9:K9"/>
    <mergeCell ref="A1:I1"/>
    <mergeCell ref="A2:C2"/>
    <mergeCell ref="D2:I2"/>
    <mergeCell ref="A3:C3"/>
    <mergeCell ref="D3:I3"/>
    <mergeCell ref="A4:C4"/>
    <mergeCell ref="D4:F4"/>
    <mergeCell ref="H4:I4"/>
  </mergeCells>
  <pageMargins left="0.511811024" right="0.511811024" top="0.78740157499999996" bottom="0.78740157499999996" header="0.31496062000000002" footer="0.31496062000000002"/>
  <pageSetup paperSize="9" scale="41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B4AFB6-BD12-46EE-A430-97F5414C8FD1}">
  <sheetPr>
    <pageSetUpPr fitToPage="1"/>
  </sheetPr>
  <dimension ref="A1:IV1048556"/>
  <sheetViews>
    <sheetView topLeftCell="A93" workbookViewId="0">
      <selection activeCell="K106" sqref="K106"/>
    </sheetView>
  </sheetViews>
  <sheetFormatPr defaultRowHeight="15.75" x14ac:dyDescent="0.2"/>
  <cols>
    <col min="1" max="10" width="12.42578125" style="76" customWidth="1"/>
    <col min="11" max="11" width="18.140625" style="76" bestFit="1" customWidth="1"/>
    <col min="12" max="12" width="18.28515625" style="76" customWidth="1"/>
    <col min="13" max="256" width="12.42578125" style="76" customWidth="1"/>
    <col min="257" max="1024" width="12.42578125" style="77" customWidth="1"/>
    <col min="1025" max="16384" width="9.140625" style="77"/>
  </cols>
  <sheetData>
    <row r="1" spans="1:11" ht="21.75" customHeight="1" thickTop="1" thickBot="1" x14ac:dyDescent="0.25">
      <c r="A1" s="423" t="s">
        <v>0</v>
      </c>
      <c r="B1" s="423"/>
      <c r="C1" s="423"/>
      <c r="D1" s="423"/>
      <c r="E1" s="423"/>
      <c r="F1" s="423"/>
      <c r="G1" s="423"/>
      <c r="H1" s="423"/>
      <c r="I1" s="442"/>
      <c r="J1" s="74"/>
      <c r="K1" s="75"/>
    </row>
    <row r="2" spans="1:11" ht="21.75" customHeight="1" thickTop="1" thickBot="1" x14ac:dyDescent="0.25">
      <c r="A2" s="534" t="s">
        <v>1</v>
      </c>
      <c r="B2" s="534"/>
      <c r="C2" s="534"/>
      <c r="D2" s="535" t="s">
        <v>330</v>
      </c>
      <c r="E2" s="535"/>
      <c r="F2" s="535"/>
      <c r="G2" s="535"/>
      <c r="H2" s="535"/>
      <c r="I2" s="536"/>
      <c r="J2" s="78"/>
      <c r="K2" s="79"/>
    </row>
    <row r="3" spans="1:11" ht="21.75" customHeight="1" thickTop="1" thickBot="1" x14ac:dyDescent="0.25">
      <c r="A3" s="534" t="s">
        <v>2</v>
      </c>
      <c r="B3" s="534"/>
      <c r="C3" s="534"/>
      <c r="D3" s="537" t="str">
        <f>'1 - Servente Sede'!D3</f>
        <v>Pregão Eletrônico nº XX/2020</v>
      </c>
      <c r="E3" s="537"/>
      <c r="F3" s="537"/>
      <c r="G3" s="537"/>
      <c r="H3" s="537"/>
      <c r="I3" s="538"/>
      <c r="J3" s="78"/>
      <c r="K3" s="79"/>
    </row>
    <row r="4" spans="1:11" ht="21.75" customHeight="1" thickTop="1" thickBot="1" x14ac:dyDescent="0.25">
      <c r="A4" s="534" t="s">
        <v>3</v>
      </c>
      <c r="B4" s="534"/>
      <c r="C4" s="534"/>
      <c r="D4" s="539"/>
      <c r="E4" s="540"/>
      <c r="F4" s="541"/>
      <c r="G4" s="80" t="s">
        <v>4</v>
      </c>
      <c r="H4" s="542"/>
      <c r="I4" s="536"/>
      <c r="J4" s="78"/>
      <c r="K4" s="79"/>
    </row>
    <row r="5" spans="1:11" ht="21.75" customHeight="1" thickTop="1" thickBot="1" x14ac:dyDescent="0.25">
      <c r="A5" s="526" t="s">
        <v>5</v>
      </c>
      <c r="B5" s="526"/>
      <c r="C5" s="526"/>
      <c r="D5" s="527" t="s">
        <v>415</v>
      </c>
      <c r="E5" s="527"/>
      <c r="F5" s="527"/>
      <c r="G5" s="527"/>
      <c r="H5" s="527"/>
      <c r="I5" s="527"/>
      <c r="J5" s="277"/>
      <c r="K5" s="79"/>
    </row>
    <row r="6" spans="1:11" ht="21.75" customHeight="1" thickTop="1" thickBot="1" x14ac:dyDescent="0.25">
      <c r="A6" s="81"/>
      <c r="B6" s="82"/>
      <c r="C6" s="82"/>
      <c r="D6" s="82"/>
      <c r="E6" s="82"/>
      <c r="F6" s="82"/>
      <c r="G6" s="82"/>
      <c r="H6" s="82"/>
      <c r="I6" s="279"/>
      <c r="J6" s="279"/>
      <c r="K6" s="278"/>
    </row>
    <row r="7" spans="1:11" ht="21.75" customHeight="1" thickTop="1" thickBot="1" x14ac:dyDescent="0.25">
      <c r="A7" s="274" t="s">
        <v>7</v>
      </c>
      <c r="B7" s="528" t="s">
        <v>8</v>
      </c>
      <c r="C7" s="528"/>
      <c r="D7" s="528"/>
      <c r="E7" s="528"/>
      <c r="F7" s="529" t="s">
        <v>140</v>
      </c>
      <c r="G7" s="529"/>
      <c r="H7" s="529"/>
      <c r="I7" s="529"/>
      <c r="J7" s="529"/>
      <c r="K7" s="529"/>
    </row>
    <row r="8" spans="1:11" ht="21.75" customHeight="1" thickTop="1" thickBot="1" x14ac:dyDescent="0.25">
      <c r="A8" s="274" t="s">
        <v>7</v>
      </c>
      <c r="B8" s="275" t="s">
        <v>9</v>
      </c>
      <c r="C8" s="84"/>
      <c r="D8" s="84"/>
      <c r="E8" s="84"/>
      <c r="F8" s="84"/>
      <c r="G8" s="84"/>
      <c r="H8" s="84"/>
      <c r="I8" s="84"/>
      <c r="J8" s="276"/>
      <c r="K8" s="85">
        <v>12</v>
      </c>
    </row>
    <row r="9" spans="1:11" ht="21.75" customHeight="1" thickTop="1" thickBot="1" x14ac:dyDescent="0.25">
      <c r="A9" s="83" t="s">
        <v>7</v>
      </c>
      <c r="B9" s="496" t="s">
        <v>10</v>
      </c>
      <c r="C9" s="428"/>
      <c r="D9" s="428"/>
      <c r="E9" s="428"/>
      <c r="F9" s="428"/>
      <c r="G9" s="428"/>
      <c r="H9" s="428"/>
      <c r="I9" s="543"/>
      <c r="J9" s="543"/>
      <c r="K9" s="544"/>
    </row>
    <row r="10" spans="1:11" ht="21.75" customHeight="1" thickTop="1" thickBot="1" x14ac:dyDescent="0.25">
      <c r="A10" s="83" t="s">
        <v>7</v>
      </c>
      <c r="B10" s="86" t="s">
        <v>11</v>
      </c>
      <c r="C10" s="86"/>
      <c r="D10" s="86"/>
      <c r="E10" s="86"/>
      <c r="F10" s="86"/>
      <c r="G10" s="86"/>
      <c r="H10" s="86"/>
      <c r="I10" s="86"/>
      <c r="J10" s="86"/>
      <c r="K10" s="87" t="s">
        <v>141</v>
      </c>
    </row>
    <row r="11" spans="1:11" ht="21.75" customHeight="1" thickTop="1" thickBot="1" x14ac:dyDescent="0.25">
      <c r="A11" s="83" t="s">
        <v>7</v>
      </c>
      <c r="B11" s="86" t="s">
        <v>142</v>
      </c>
      <c r="C11" s="86"/>
      <c r="D11" s="86"/>
      <c r="E11" s="86"/>
      <c r="F11" s="86"/>
      <c r="G11" s="86"/>
      <c r="H11" s="86"/>
      <c r="I11" s="86"/>
      <c r="J11" s="86"/>
      <c r="K11" s="88">
        <f>'Quantitativo de pessoal'!D13</f>
        <v>20173.649999999998</v>
      </c>
    </row>
    <row r="12" spans="1:11" ht="21.75" customHeight="1" thickTop="1" thickBot="1" x14ac:dyDescent="0.25">
      <c r="A12" s="530" t="s">
        <v>147</v>
      </c>
      <c r="B12" s="531"/>
      <c r="C12" s="531"/>
      <c r="D12" s="531"/>
      <c r="E12" s="531"/>
      <c r="F12" s="531"/>
      <c r="G12" s="531"/>
      <c r="H12" s="531"/>
      <c r="I12" s="531"/>
      <c r="J12" s="531"/>
      <c r="K12" s="532"/>
    </row>
    <row r="13" spans="1:11" ht="21.75" customHeight="1" thickTop="1" thickBot="1" x14ac:dyDescent="0.25">
      <c r="A13" s="533"/>
      <c r="B13" s="531"/>
      <c r="C13" s="531"/>
      <c r="D13" s="531"/>
      <c r="E13" s="531"/>
      <c r="F13" s="531"/>
      <c r="G13" s="531"/>
      <c r="H13" s="531"/>
      <c r="I13" s="531"/>
      <c r="J13" s="531"/>
      <c r="K13" s="532"/>
    </row>
    <row r="14" spans="1:11" ht="21.75" customHeight="1" thickTop="1" thickBot="1" x14ac:dyDescent="0.25">
      <c r="A14" s="533"/>
      <c r="B14" s="531"/>
      <c r="C14" s="531"/>
      <c r="D14" s="531"/>
      <c r="E14" s="531"/>
      <c r="F14" s="531"/>
      <c r="G14" s="531"/>
      <c r="H14" s="531"/>
      <c r="I14" s="531"/>
      <c r="J14" s="531"/>
      <c r="K14" s="532"/>
    </row>
    <row r="15" spans="1:11" ht="21.75" customHeight="1" thickTop="1" thickBot="1" x14ac:dyDescent="0.25">
      <c r="A15" s="442" t="s">
        <v>15</v>
      </c>
      <c r="B15" s="442"/>
      <c r="C15" s="442"/>
      <c r="D15" s="442"/>
      <c r="E15" s="442"/>
      <c r="F15" s="442"/>
      <c r="G15" s="442"/>
      <c r="H15" s="442"/>
      <c r="I15" s="442"/>
      <c r="J15" s="442"/>
      <c r="K15" s="442"/>
    </row>
    <row r="16" spans="1:11" ht="21.75" customHeight="1" thickTop="1" thickBot="1" x14ac:dyDescent="0.25">
      <c r="A16" s="100">
        <v>1</v>
      </c>
      <c r="B16" s="86" t="s">
        <v>16</v>
      </c>
      <c r="C16" s="86"/>
      <c r="D16" s="86"/>
      <c r="E16" s="86"/>
      <c r="F16" s="86"/>
      <c r="G16" s="86"/>
      <c r="H16" s="86"/>
      <c r="I16" s="86"/>
      <c r="J16" s="86"/>
      <c r="K16" s="90"/>
    </row>
    <row r="17" spans="1:18" ht="21.75" customHeight="1" thickTop="1" thickBot="1" x14ac:dyDescent="0.25">
      <c r="A17" s="100">
        <v>2</v>
      </c>
      <c r="B17" s="86" t="s">
        <v>17</v>
      </c>
      <c r="C17" s="86"/>
      <c r="D17" s="86"/>
      <c r="E17" s="86"/>
      <c r="F17" s="86"/>
      <c r="G17" s="86"/>
      <c r="H17" s="86"/>
      <c r="I17" s="86"/>
      <c r="J17" s="86"/>
      <c r="K17" s="91" t="s">
        <v>193</v>
      </c>
    </row>
    <row r="18" spans="1:18" ht="21.75" customHeight="1" thickTop="1" thickBot="1" x14ac:dyDescent="0.25">
      <c r="A18" s="100">
        <v>3</v>
      </c>
      <c r="B18" s="86" t="s">
        <v>18</v>
      </c>
      <c r="C18" s="86"/>
      <c r="D18" s="86"/>
      <c r="E18" s="86"/>
      <c r="F18" s="86"/>
      <c r="G18" s="86"/>
      <c r="H18" s="86"/>
      <c r="I18" s="86"/>
      <c r="J18" s="86"/>
      <c r="K18" s="92">
        <v>43862</v>
      </c>
    </row>
    <row r="19" spans="1:18" ht="21.75" customHeight="1" thickTop="1" thickBot="1" x14ac:dyDescent="0.25">
      <c r="A19" s="93">
        <v>4</v>
      </c>
      <c r="B19" s="509" t="s">
        <v>19</v>
      </c>
      <c r="C19" s="510"/>
      <c r="D19" s="510"/>
      <c r="E19" s="510"/>
      <c r="F19" s="510"/>
      <c r="G19" s="510"/>
      <c r="H19" s="510"/>
      <c r="I19" s="510"/>
      <c r="J19" s="510"/>
      <c r="K19" s="94" t="s">
        <v>143</v>
      </c>
    </row>
    <row r="20" spans="1:18" ht="21.75" customHeight="1" thickTop="1" x14ac:dyDescent="0.2">
      <c r="A20" s="511" t="s">
        <v>148</v>
      </c>
      <c r="B20" s="512"/>
      <c r="C20" s="512"/>
      <c r="D20" s="512"/>
      <c r="E20" s="512"/>
      <c r="F20" s="512"/>
      <c r="G20" s="512"/>
      <c r="H20" s="512"/>
      <c r="I20" s="512"/>
      <c r="J20" s="512"/>
      <c r="K20" s="513"/>
    </row>
    <row r="21" spans="1:18" ht="19.149999999999999" customHeight="1" thickBot="1" x14ac:dyDescent="0.25">
      <c r="A21" s="514"/>
      <c r="B21" s="515"/>
      <c r="C21" s="515"/>
      <c r="D21" s="515"/>
      <c r="E21" s="515"/>
      <c r="F21" s="515"/>
      <c r="G21" s="515"/>
      <c r="H21" s="515"/>
      <c r="I21" s="515"/>
      <c r="J21" s="515"/>
      <c r="K21" s="516"/>
    </row>
    <row r="22" spans="1:18" ht="21.6" hidden="1" customHeight="1" x14ac:dyDescent="0.2">
      <c r="A22" s="517"/>
      <c r="B22" s="518"/>
      <c r="C22" s="518"/>
      <c r="D22" s="518"/>
      <c r="E22" s="518"/>
      <c r="F22" s="518"/>
      <c r="G22" s="518"/>
      <c r="H22" s="518"/>
      <c r="I22" s="518"/>
      <c r="J22" s="518"/>
      <c r="K22" s="519"/>
    </row>
    <row r="23" spans="1:18" ht="21.75" customHeight="1" thickTop="1" thickBot="1" x14ac:dyDescent="0.25">
      <c r="A23" s="442" t="s">
        <v>21</v>
      </c>
      <c r="B23" s="442"/>
      <c r="C23" s="442"/>
      <c r="D23" s="442"/>
      <c r="E23" s="442"/>
      <c r="F23" s="442"/>
      <c r="G23" s="442"/>
      <c r="H23" s="442"/>
      <c r="I23" s="442"/>
      <c r="J23" s="442"/>
      <c r="K23" s="95" t="s">
        <v>22</v>
      </c>
    </row>
    <row r="24" spans="1:18" ht="21.75" customHeight="1" thickTop="1" thickBot="1" x14ac:dyDescent="0.25">
      <c r="A24" s="100" t="s">
        <v>23</v>
      </c>
      <c r="B24" s="86" t="s">
        <v>24</v>
      </c>
      <c r="C24" s="86"/>
      <c r="D24" s="86"/>
      <c r="E24" s="86"/>
      <c r="F24" s="86"/>
      <c r="G24" s="86"/>
      <c r="H24" s="86"/>
      <c r="I24" s="86"/>
      <c r="J24" s="96"/>
      <c r="K24" s="342">
        <f>K16</f>
        <v>0</v>
      </c>
    </row>
    <row r="25" spans="1:18" ht="21.75" customHeight="1" thickTop="1" thickBot="1" x14ac:dyDescent="0.25">
      <c r="A25" s="100" t="s">
        <v>25</v>
      </c>
      <c r="B25" s="98" t="s">
        <v>26</v>
      </c>
      <c r="C25" s="98"/>
      <c r="D25" s="98"/>
      <c r="E25" s="99" t="s">
        <v>27</v>
      </c>
      <c r="F25" s="99"/>
      <c r="G25" s="86"/>
      <c r="H25" s="520">
        <v>0</v>
      </c>
      <c r="I25" s="521"/>
      <c r="J25" s="522"/>
      <c r="K25" s="102">
        <f>K24*H25</f>
        <v>0</v>
      </c>
    </row>
    <row r="26" spans="1:18" ht="21.75" customHeight="1" thickTop="1" thickBot="1" x14ac:dyDescent="0.3">
      <c r="A26" s="523" t="s">
        <v>28</v>
      </c>
      <c r="B26" s="524" t="s">
        <v>29</v>
      </c>
      <c r="C26" s="524"/>
      <c r="D26" s="524"/>
      <c r="E26" s="99" t="s">
        <v>30</v>
      </c>
      <c r="F26" s="99"/>
      <c r="G26" s="86"/>
      <c r="H26" s="86"/>
      <c r="I26" s="86"/>
      <c r="J26" s="101"/>
      <c r="K26" s="525">
        <f>L27*0.4</f>
        <v>0</v>
      </c>
      <c r="L26"/>
      <c r="M26"/>
      <c r="N26"/>
      <c r="O26"/>
      <c r="P26"/>
      <c r="Q26"/>
      <c r="R26"/>
    </row>
    <row r="27" spans="1:18" ht="21.75" customHeight="1" thickTop="1" thickBot="1" x14ac:dyDescent="0.3">
      <c r="A27" s="523"/>
      <c r="B27" s="524"/>
      <c r="C27" s="524"/>
      <c r="D27" s="524"/>
      <c r="E27" s="99" t="s">
        <v>31</v>
      </c>
      <c r="F27" s="99"/>
      <c r="G27" s="86"/>
      <c r="H27" s="99" t="s">
        <v>32</v>
      </c>
      <c r="I27" s="86"/>
      <c r="J27" s="96"/>
      <c r="K27" s="525"/>
      <c r="L27"/>
      <c r="M27"/>
      <c r="N27"/>
      <c r="O27"/>
      <c r="P27"/>
      <c r="Q27"/>
      <c r="R27"/>
    </row>
    <row r="28" spans="1:18" ht="21.75" customHeight="1" thickTop="1" thickBot="1" x14ac:dyDescent="0.3">
      <c r="A28" s="100" t="s">
        <v>33</v>
      </c>
      <c r="B28" s="506" t="s">
        <v>34</v>
      </c>
      <c r="C28" s="506"/>
      <c r="D28" s="506"/>
      <c r="E28" s="507"/>
      <c r="F28" s="507"/>
      <c r="G28" s="507"/>
      <c r="H28" s="507"/>
      <c r="I28" s="507"/>
      <c r="J28" s="508"/>
      <c r="K28" s="102">
        <v>0</v>
      </c>
      <c r="L28"/>
      <c r="M28"/>
      <c r="N28"/>
      <c r="O28"/>
      <c r="P28"/>
      <c r="Q28"/>
      <c r="R28"/>
    </row>
    <row r="29" spans="1:18" ht="21.75" customHeight="1" thickTop="1" thickBot="1" x14ac:dyDescent="0.25">
      <c r="A29" s="100" t="s">
        <v>35</v>
      </c>
      <c r="B29" s="428" t="s">
        <v>36</v>
      </c>
      <c r="C29" s="428"/>
      <c r="D29" s="428"/>
      <c r="E29" s="428"/>
      <c r="F29" s="428"/>
      <c r="G29" s="428"/>
      <c r="H29" s="428"/>
      <c r="I29" s="428"/>
      <c r="J29" s="429"/>
      <c r="K29" s="102">
        <v>0</v>
      </c>
      <c r="L29" s="103"/>
    </row>
    <row r="30" spans="1:18" ht="21.75" customHeight="1" thickTop="1" thickBot="1" x14ac:dyDescent="0.25">
      <c r="A30" s="100" t="s">
        <v>37</v>
      </c>
      <c r="B30" s="428" t="s">
        <v>38</v>
      </c>
      <c r="C30" s="428"/>
      <c r="D30" s="428"/>
      <c r="E30" s="428"/>
      <c r="F30" s="428"/>
      <c r="G30" s="428"/>
      <c r="H30" s="428"/>
      <c r="I30" s="428"/>
      <c r="J30" s="429"/>
      <c r="K30" s="102">
        <v>0</v>
      </c>
    </row>
    <row r="31" spans="1:18" ht="21.75" customHeight="1" thickTop="1" thickBot="1" x14ac:dyDescent="0.25">
      <c r="A31" s="100" t="s">
        <v>39</v>
      </c>
      <c r="B31" s="428" t="s">
        <v>87</v>
      </c>
      <c r="C31" s="428"/>
      <c r="D31" s="428"/>
      <c r="E31" s="428"/>
      <c r="F31" s="428"/>
      <c r="G31" s="428"/>
      <c r="H31" s="428"/>
      <c r="I31" s="428"/>
      <c r="J31" s="429"/>
      <c r="K31" s="104">
        <v>0</v>
      </c>
    </row>
    <row r="32" spans="1:18" ht="21.6" hidden="1" customHeight="1" x14ac:dyDescent="0.2">
      <c r="A32" s="503"/>
      <c r="B32" s="504"/>
      <c r="C32" s="504"/>
      <c r="D32" s="504"/>
      <c r="E32" s="504"/>
      <c r="F32" s="504"/>
      <c r="G32" s="504"/>
      <c r="H32" s="504"/>
      <c r="I32" s="504"/>
      <c r="J32" s="504"/>
      <c r="K32" s="505"/>
    </row>
    <row r="33" spans="1:13" ht="21.75" customHeight="1" thickTop="1" thickBot="1" x14ac:dyDescent="0.25">
      <c r="A33" s="423" t="s">
        <v>41</v>
      </c>
      <c r="B33" s="424"/>
      <c r="C33" s="424"/>
      <c r="D33" s="424"/>
      <c r="E33" s="424"/>
      <c r="F33" s="424"/>
      <c r="G33" s="424"/>
      <c r="H33" s="424"/>
      <c r="I33" s="424"/>
      <c r="J33" s="426"/>
      <c r="K33" s="105">
        <f>SUM(K24:K31)</f>
        <v>0</v>
      </c>
      <c r="M33" s="106"/>
    </row>
    <row r="34" spans="1:13" ht="21.75" customHeight="1" thickTop="1" x14ac:dyDescent="0.2">
      <c r="A34" s="464" t="s">
        <v>149</v>
      </c>
      <c r="B34" s="465"/>
      <c r="C34" s="465"/>
      <c r="D34" s="465"/>
      <c r="E34" s="465"/>
      <c r="F34" s="465"/>
      <c r="G34" s="465"/>
      <c r="H34" s="465"/>
      <c r="I34" s="465"/>
      <c r="J34" s="465"/>
      <c r="K34" s="466"/>
    </row>
    <row r="35" spans="1:13" ht="55.5" customHeight="1" thickBot="1" x14ac:dyDescent="0.25">
      <c r="A35" s="467"/>
      <c r="B35" s="468"/>
      <c r="C35" s="468"/>
      <c r="D35" s="468"/>
      <c r="E35" s="468"/>
      <c r="F35" s="468"/>
      <c r="G35" s="468"/>
      <c r="H35" s="468"/>
      <c r="I35" s="468"/>
      <c r="J35" s="468"/>
      <c r="K35" s="469"/>
    </row>
    <row r="36" spans="1:13" ht="21.75" customHeight="1" thickTop="1" thickBot="1" x14ac:dyDescent="0.25">
      <c r="A36" s="423" t="s">
        <v>43</v>
      </c>
      <c r="B36" s="423"/>
      <c r="C36" s="423"/>
      <c r="D36" s="423"/>
      <c r="E36" s="423"/>
      <c r="F36" s="423"/>
      <c r="G36" s="423"/>
      <c r="H36" s="423"/>
      <c r="I36" s="423"/>
      <c r="J36" s="423"/>
      <c r="K36" s="442"/>
    </row>
    <row r="37" spans="1:13" ht="21.75" customHeight="1" thickTop="1" thickBot="1" x14ac:dyDescent="0.25">
      <c r="A37" s="423" t="s">
        <v>150</v>
      </c>
      <c r="B37" s="423"/>
      <c r="C37" s="423"/>
      <c r="D37" s="423"/>
      <c r="E37" s="423"/>
      <c r="F37" s="423"/>
      <c r="G37" s="423"/>
      <c r="H37" s="423"/>
      <c r="I37" s="423"/>
      <c r="J37" s="423"/>
      <c r="K37" s="442"/>
    </row>
    <row r="38" spans="1:13" ht="21.75" customHeight="1" thickTop="1" thickBot="1" x14ac:dyDescent="0.25">
      <c r="A38" s="107" t="s">
        <v>23</v>
      </c>
      <c r="B38" s="501" t="s">
        <v>45</v>
      </c>
      <c r="C38" s="501"/>
      <c r="D38" s="501"/>
      <c r="E38" s="501"/>
      <c r="F38" s="501"/>
      <c r="G38" s="501"/>
      <c r="H38" s="501"/>
      <c r="I38" s="501"/>
      <c r="J38" s="108">
        <v>8.3299999999999999E-2</v>
      </c>
      <c r="K38" s="109">
        <f>K33*(1/12)</f>
        <v>0</v>
      </c>
      <c r="L38" s="110"/>
    </row>
    <row r="39" spans="1:13" ht="21.75" customHeight="1" thickTop="1" thickBot="1" x14ac:dyDescent="0.25">
      <c r="A39" s="107" t="s">
        <v>25</v>
      </c>
      <c r="B39" s="501" t="s">
        <v>46</v>
      </c>
      <c r="C39" s="501"/>
      <c r="D39" s="501"/>
      <c r="E39" s="501"/>
      <c r="F39" s="501"/>
      <c r="G39" s="501"/>
      <c r="H39" s="501"/>
      <c r="I39" s="501"/>
      <c r="J39" s="108">
        <v>0.1111</v>
      </c>
      <c r="K39" s="109">
        <f>(K33*(1/12))+(K33*1/12*1/3)</f>
        <v>0</v>
      </c>
      <c r="L39" s="111"/>
    </row>
    <row r="40" spans="1:13" ht="21.75" customHeight="1" thickTop="1" thickBot="1" x14ac:dyDescent="0.25">
      <c r="A40" s="155"/>
      <c r="B40" s="502" t="s">
        <v>47</v>
      </c>
      <c r="C40" s="502"/>
      <c r="D40" s="502"/>
      <c r="E40" s="502"/>
      <c r="F40" s="502"/>
      <c r="G40" s="502"/>
      <c r="H40" s="502"/>
      <c r="I40" s="502"/>
      <c r="J40" s="113">
        <f>J38+J39</f>
        <v>0.19440000000000002</v>
      </c>
      <c r="K40" s="105">
        <f>ROUND(SUM(K38+K39),2)</f>
        <v>0</v>
      </c>
    </row>
    <row r="41" spans="1:13" ht="21.75" customHeight="1" thickTop="1" x14ac:dyDescent="0.2">
      <c r="A41" s="464" t="s">
        <v>151</v>
      </c>
      <c r="B41" s="465"/>
      <c r="C41" s="465"/>
      <c r="D41" s="465"/>
      <c r="E41" s="465"/>
      <c r="F41" s="465"/>
      <c r="G41" s="465"/>
      <c r="H41" s="465"/>
      <c r="I41" s="465"/>
      <c r="J41" s="465"/>
      <c r="K41" s="466"/>
    </row>
    <row r="42" spans="1:13" ht="55.15" customHeight="1" thickBot="1" x14ac:dyDescent="0.25">
      <c r="A42" s="467"/>
      <c r="B42" s="468"/>
      <c r="C42" s="468"/>
      <c r="D42" s="468"/>
      <c r="E42" s="468"/>
      <c r="F42" s="468"/>
      <c r="G42" s="468"/>
      <c r="H42" s="468"/>
      <c r="I42" s="468"/>
      <c r="J42" s="468"/>
      <c r="K42" s="469"/>
    </row>
    <row r="43" spans="1:13" ht="21.75" customHeight="1" thickTop="1" thickBot="1" x14ac:dyDescent="0.25">
      <c r="A43" s="423" t="s">
        <v>49</v>
      </c>
      <c r="B43" s="424"/>
      <c r="C43" s="424"/>
      <c r="D43" s="424"/>
      <c r="E43" s="424"/>
      <c r="F43" s="424"/>
      <c r="G43" s="424"/>
      <c r="H43" s="424"/>
      <c r="I43" s="424"/>
      <c r="J43" s="424"/>
      <c r="K43" s="426"/>
    </row>
    <row r="44" spans="1:13" ht="21.75" customHeight="1" thickTop="1" thickBot="1" x14ac:dyDescent="0.25">
      <c r="A44" s="100" t="s">
        <v>23</v>
      </c>
      <c r="B44" s="495" t="s">
        <v>50</v>
      </c>
      <c r="C44" s="495"/>
      <c r="D44" s="495"/>
      <c r="E44" s="495"/>
      <c r="F44" s="495"/>
      <c r="G44" s="495"/>
      <c r="H44" s="495"/>
      <c r="I44" s="495"/>
      <c r="J44" s="115">
        <v>0.2</v>
      </c>
      <c r="K44" s="102">
        <f>J44*(K33+K40)</f>
        <v>0</v>
      </c>
    </row>
    <row r="45" spans="1:13" ht="21.75" customHeight="1" thickTop="1" thickBot="1" x14ac:dyDescent="0.25">
      <c r="A45" s="100" t="s">
        <v>25</v>
      </c>
      <c r="B45" s="496" t="s">
        <v>54</v>
      </c>
      <c r="C45" s="428"/>
      <c r="D45" s="428"/>
      <c r="E45" s="428"/>
      <c r="F45" s="428"/>
      <c r="G45" s="428"/>
      <c r="H45" s="428"/>
      <c r="I45" s="497"/>
      <c r="J45" s="115">
        <v>2.5000000000000001E-2</v>
      </c>
      <c r="K45" s="102">
        <f>J45*(K33+K40)</f>
        <v>0</v>
      </c>
    </row>
    <row r="46" spans="1:13" ht="21.75" customHeight="1" thickTop="1" thickBot="1" x14ac:dyDescent="0.25">
      <c r="A46" s="100" t="s">
        <v>28</v>
      </c>
      <c r="B46" s="496" t="s">
        <v>243</v>
      </c>
      <c r="C46" s="428"/>
      <c r="D46" s="428"/>
      <c r="E46" s="498"/>
      <c r="F46" s="341">
        <v>0.03</v>
      </c>
      <c r="G46" s="281" t="s">
        <v>57</v>
      </c>
      <c r="H46" s="499">
        <v>1</v>
      </c>
      <c r="I46" s="500"/>
      <c r="J46" s="115">
        <f>F46*H46</f>
        <v>0.03</v>
      </c>
      <c r="K46" s="102">
        <f>J46*(K33+K40)</f>
        <v>0</v>
      </c>
    </row>
    <row r="47" spans="1:13" ht="21.75" customHeight="1" thickTop="1" thickBot="1" x14ac:dyDescent="0.25">
      <c r="A47" s="100" t="s">
        <v>33</v>
      </c>
      <c r="B47" s="496" t="s">
        <v>51</v>
      </c>
      <c r="C47" s="428"/>
      <c r="D47" s="428"/>
      <c r="E47" s="428"/>
      <c r="F47" s="428"/>
      <c r="G47" s="428"/>
      <c r="H47" s="428"/>
      <c r="I47" s="497"/>
      <c r="J47" s="115">
        <v>1.4999999999999999E-2</v>
      </c>
      <c r="K47" s="102">
        <f>J47*(K33+K40)</f>
        <v>0</v>
      </c>
    </row>
    <row r="48" spans="1:13" ht="21.75" customHeight="1" thickTop="1" thickBot="1" x14ac:dyDescent="0.25">
      <c r="A48" s="100" t="s">
        <v>35</v>
      </c>
      <c r="B48" s="496" t="s">
        <v>52</v>
      </c>
      <c r="C48" s="428"/>
      <c r="D48" s="428"/>
      <c r="E48" s="428"/>
      <c r="F48" s="428"/>
      <c r="G48" s="428"/>
      <c r="H48" s="428"/>
      <c r="I48" s="497"/>
      <c r="J48" s="115">
        <v>0.01</v>
      </c>
      <c r="K48" s="102">
        <f>J48*(K33+K40)</f>
        <v>0</v>
      </c>
    </row>
    <row r="49" spans="1:16" ht="21.75" customHeight="1" thickTop="1" thickBot="1" x14ac:dyDescent="0.25">
      <c r="A49" s="100" t="s">
        <v>37</v>
      </c>
      <c r="B49" s="86" t="s">
        <v>59</v>
      </c>
      <c r="C49" s="86"/>
      <c r="D49" s="86"/>
      <c r="E49" s="86"/>
      <c r="F49" s="86"/>
      <c r="G49" s="86"/>
      <c r="H49" s="86"/>
      <c r="I49" s="86"/>
      <c r="J49" s="115">
        <v>6.0000000000000001E-3</v>
      </c>
      <c r="K49" s="102">
        <f>J49*(K33+K40)</f>
        <v>0</v>
      </c>
    </row>
    <row r="50" spans="1:16" ht="21.75" customHeight="1" thickTop="1" thickBot="1" x14ac:dyDescent="0.25">
      <c r="A50" s="100" t="s">
        <v>39</v>
      </c>
      <c r="B50" s="496" t="s">
        <v>53</v>
      </c>
      <c r="C50" s="428"/>
      <c r="D50" s="428"/>
      <c r="E50" s="428"/>
      <c r="F50" s="428"/>
      <c r="G50" s="428"/>
      <c r="H50" s="428"/>
      <c r="I50" s="497"/>
      <c r="J50" s="116">
        <v>2E-3</v>
      </c>
      <c r="K50" s="102">
        <f>J50*(K$33+K$40)</f>
        <v>0</v>
      </c>
    </row>
    <row r="51" spans="1:16" ht="21.75" customHeight="1" thickTop="1" thickBot="1" x14ac:dyDescent="0.25">
      <c r="A51" s="100" t="s">
        <v>58</v>
      </c>
      <c r="B51" s="496" t="s">
        <v>55</v>
      </c>
      <c r="C51" s="428"/>
      <c r="D51" s="428"/>
      <c r="E51" s="428"/>
      <c r="F51" s="428"/>
      <c r="G51" s="428"/>
      <c r="H51" s="428"/>
      <c r="I51" s="497"/>
      <c r="J51" s="116">
        <v>0.08</v>
      </c>
      <c r="K51" s="408">
        <f>J51*(K$33+K$40)</f>
        <v>0</v>
      </c>
    </row>
    <row r="52" spans="1:16" ht="21.75" customHeight="1" thickTop="1" thickBot="1" x14ac:dyDescent="0.25">
      <c r="A52" s="154"/>
      <c r="B52" s="423" t="s">
        <v>47</v>
      </c>
      <c r="C52" s="424"/>
      <c r="D52" s="424"/>
      <c r="E52" s="424"/>
      <c r="F52" s="424"/>
      <c r="G52" s="424"/>
      <c r="H52" s="424"/>
      <c r="I52" s="426"/>
      <c r="J52" s="114">
        <f>SUM(J44:J51)</f>
        <v>0.36800000000000005</v>
      </c>
      <c r="K52" s="282">
        <f>SUM(K44:K51)</f>
        <v>0</v>
      </c>
    </row>
    <row r="53" spans="1:16" ht="21.75" customHeight="1" thickTop="1" x14ac:dyDescent="0.2">
      <c r="A53" s="486" t="s">
        <v>152</v>
      </c>
      <c r="B53" s="487"/>
      <c r="C53" s="487"/>
      <c r="D53" s="487"/>
      <c r="E53" s="487"/>
      <c r="F53" s="487"/>
      <c r="G53" s="487"/>
      <c r="H53" s="487"/>
      <c r="I53" s="487"/>
      <c r="J53" s="487"/>
      <c r="K53" s="488"/>
    </row>
    <row r="54" spans="1:16" ht="21.75" customHeight="1" x14ac:dyDescent="0.2">
      <c r="A54" s="489"/>
      <c r="B54" s="490"/>
      <c r="C54" s="490"/>
      <c r="D54" s="490"/>
      <c r="E54" s="490"/>
      <c r="F54" s="490"/>
      <c r="G54" s="490"/>
      <c r="H54" s="490"/>
      <c r="I54" s="490"/>
      <c r="J54" s="490"/>
      <c r="K54" s="491"/>
    </row>
    <row r="55" spans="1:16" ht="12.6" customHeight="1" thickBot="1" x14ac:dyDescent="0.25">
      <c r="A55" s="492"/>
      <c r="B55" s="493"/>
      <c r="C55" s="493"/>
      <c r="D55" s="493"/>
      <c r="E55" s="493"/>
      <c r="F55" s="493"/>
      <c r="G55" s="493"/>
      <c r="H55" s="493"/>
      <c r="I55" s="493"/>
      <c r="J55" s="493"/>
      <c r="K55" s="494"/>
    </row>
    <row r="56" spans="1:16" ht="21.75" customHeight="1" thickTop="1" thickBot="1" x14ac:dyDescent="0.25">
      <c r="A56" s="423" t="s">
        <v>61</v>
      </c>
      <c r="B56" s="424"/>
      <c r="C56" s="424"/>
      <c r="D56" s="424"/>
      <c r="E56" s="424"/>
      <c r="F56" s="424"/>
      <c r="G56" s="424"/>
      <c r="H56" s="424"/>
      <c r="I56" s="424"/>
      <c r="J56" s="424"/>
      <c r="K56" s="426"/>
    </row>
    <row r="57" spans="1:16" ht="21.75" customHeight="1" thickTop="1" thickBot="1" x14ac:dyDescent="0.25">
      <c r="A57" s="95" t="s">
        <v>23</v>
      </c>
      <c r="B57" s="459" t="s">
        <v>424</v>
      </c>
      <c r="C57" s="459"/>
      <c r="D57" s="459"/>
      <c r="E57" s="459"/>
      <c r="F57" s="459"/>
      <c r="G57" s="459"/>
      <c r="H57" s="459"/>
      <c r="I57" s="459"/>
      <c r="J57" s="459"/>
      <c r="K57" s="117">
        <v>0</v>
      </c>
      <c r="L57" s="111"/>
    </row>
    <row r="58" spans="1:16" ht="21.75" customHeight="1" thickTop="1" thickBot="1" x14ac:dyDescent="0.25">
      <c r="A58" s="95" t="s">
        <v>25</v>
      </c>
      <c r="B58" s="459" t="s">
        <v>423</v>
      </c>
      <c r="C58" s="459"/>
      <c r="D58" s="459"/>
      <c r="E58" s="459"/>
      <c r="F58" s="459"/>
      <c r="G58" s="459"/>
      <c r="H58" s="459"/>
      <c r="I58" s="459"/>
      <c r="J58" s="459"/>
      <c r="K58" s="109">
        <v>0</v>
      </c>
      <c r="L58" s="484"/>
      <c r="M58" s="485"/>
      <c r="N58" s="485"/>
      <c r="O58" s="485"/>
    </row>
    <row r="59" spans="1:16" ht="21.75" customHeight="1" thickTop="1" thickBot="1" x14ac:dyDescent="0.25">
      <c r="A59" s="95" t="s">
        <v>28</v>
      </c>
      <c r="B59" s="459" t="s">
        <v>421</v>
      </c>
      <c r="C59" s="459"/>
      <c r="D59" s="459"/>
      <c r="E59" s="459"/>
      <c r="F59" s="459"/>
      <c r="G59" s="459"/>
      <c r="H59" s="459"/>
      <c r="I59" s="459"/>
      <c r="J59" s="459"/>
      <c r="K59" s="109">
        <v>0</v>
      </c>
      <c r="L59" s="484"/>
      <c r="M59" s="485"/>
      <c r="N59" s="485"/>
      <c r="O59" s="485"/>
      <c r="P59" s="111"/>
    </row>
    <row r="60" spans="1:16" ht="21.75" customHeight="1" thickTop="1" thickBot="1" x14ac:dyDescent="0.25">
      <c r="A60" s="95" t="s">
        <v>33</v>
      </c>
      <c r="B60" s="459" t="s">
        <v>420</v>
      </c>
      <c r="C60" s="459"/>
      <c r="D60" s="459"/>
      <c r="E60" s="459"/>
      <c r="F60" s="459"/>
      <c r="G60" s="459"/>
      <c r="H60" s="459"/>
      <c r="I60" s="459"/>
      <c r="J60" s="459"/>
      <c r="K60" s="109">
        <v>0</v>
      </c>
      <c r="L60" s="484"/>
      <c r="M60" s="485"/>
      <c r="N60" s="485"/>
      <c r="O60" s="485"/>
    </row>
    <row r="61" spans="1:16" ht="21.75" customHeight="1" thickTop="1" thickBot="1" x14ac:dyDescent="0.25">
      <c r="A61" s="95" t="s">
        <v>35</v>
      </c>
      <c r="B61" s="459" t="s">
        <v>87</v>
      </c>
      <c r="C61" s="459"/>
      <c r="D61" s="459"/>
      <c r="E61" s="459"/>
      <c r="F61" s="459"/>
      <c r="G61" s="459"/>
      <c r="H61" s="459"/>
      <c r="I61" s="459"/>
      <c r="J61" s="459"/>
      <c r="K61" s="109">
        <v>0</v>
      </c>
      <c r="L61" s="484"/>
      <c r="M61" s="485"/>
      <c r="N61" s="485"/>
      <c r="O61" s="485"/>
    </row>
    <row r="62" spans="1:16" ht="21.75" customHeight="1" thickTop="1" thickBot="1" x14ac:dyDescent="0.25">
      <c r="A62" s="95"/>
      <c r="B62" s="442" t="s">
        <v>47</v>
      </c>
      <c r="C62" s="442"/>
      <c r="D62" s="442"/>
      <c r="E62" s="442"/>
      <c r="F62" s="442"/>
      <c r="G62" s="442"/>
      <c r="H62" s="442"/>
      <c r="I62" s="442"/>
      <c r="J62" s="442"/>
      <c r="K62" s="105">
        <f>SUM(K57:K61)</f>
        <v>0</v>
      </c>
    </row>
    <row r="63" spans="1:16" ht="21.75" customHeight="1" thickTop="1" x14ac:dyDescent="0.2">
      <c r="A63" s="464" t="s">
        <v>153</v>
      </c>
      <c r="B63" s="465"/>
      <c r="C63" s="465"/>
      <c r="D63" s="465"/>
      <c r="E63" s="465"/>
      <c r="F63" s="465"/>
      <c r="G63" s="465"/>
      <c r="H63" s="465"/>
      <c r="I63" s="465"/>
      <c r="J63" s="465"/>
      <c r="K63" s="466"/>
    </row>
    <row r="64" spans="1:16" ht="37.15" customHeight="1" thickBot="1" x14ac:dyDescent="0.25">
      <c r="A64" s="467"/>
      <c r="B64" s="468"/>
      <c r="C64" s="468"/>
      <c r="D64" s="468"/>
      <c r="E64" s="468"/>
      <c r="F64" s="468"/>
      <c r="G64" s="468"/>
      <c r="H64" s="468"/>
      <c r="I64" s="468"/>
      <c r="J64" s="468"/>
      <c r="K64" s="469"/>
    </row>
    <row r="65" spans="1:18" ht="21.75" customHeight="1" thickTop="1" thickBot="1" x14ac:dyDescent="0.25">
      <c r="A65" s="423" t="s">
        <v>64</v>
      </c>
      <c r="B65" s="424"/>
      <c r="C65" s="424"/>
      <c r="D65" s="424"/>
      <c r="E65" s="424"/>
      <c r="F65" s="424"/>
      <c r="G65" s="424"/>
      <c r="H65" s="424"/>
      <c r="I65" s="424"/>
      <c r="J65" s="424"/>
      <c r="K65" s="426"/>
    </row>
    <row r="66" spans="1:18" ht="21.75" customHeight="1" thickTop="1" thickBot="1" x14ac:dyDescent="0.25">
      <c r="A66" s="118" t="s">
        <v>65</v>
      </c>
      <c r="B66" s="455" t="s">
        <v>154</v>
      </c>
      <c r="C66" s="455"/>
      <c r="D66" s="455"/>
      <c r="E66" s="455"/>
      <c r="F66" s="455"/>
      <c r="G66" s="455"/>
      <c r="H66" s="455"/>
      <c r="I66" s="455"/>
      <c r="J66" s="119">
        <f>J40</f>
        <v>0.19440000000000002</v>
      </c>
      <c r="K66" s="120">
        <f>K40</f>
        <v>0</v>
      </c>
    </row>
    <row r="67" spans="1:18" ht="21.75" customHeight="1" thickTop="1" thickBot="1" x14ac:dyDescent="0.25">
      <c r="A67" s="118" t="s">
        <v>67</v>
      </c>
      <c r="B67" s="455" t="s">
        <v>68</v>
      </c>
      <c r="C67" s="455"/>
      <c r="D67" s="455"/>
      <c r="E67" s="455"/>
      <c r="F67" s="455"/>
      <c r="G67" s="455"/>
      <c r="H67" s="455"/>
      <c r="I67" s="455"/>
      <c r="J67" s="119">
        <f>J52</f>
        <v>0.36800000000000005</v>
      </c>
      <c r="K67" s="120">
        <f>K52</f>
        <v>0</v>
      </c>
    </row>
    <row r="68" spans="1:18" ht="21.75" customHeight="1" thickTop="1" thickBot="1" x14ac:dyDescent="0.25">
      <c r="A68" s="118" t="s">
        <v>69</v>
      </c>
      <c r="B68" s="455" t="s">
        <v>70</v>
      </c>
      <c r="C68" s="455"/>
      <c r="D68" s="455"/>
      <c r="E68" s="455"/>
      <c r="F68" s="455"/>
      <c r="G68" s="455"/>
      <c r="H68" s="455"/>
      <c r="I68" s="455"/>
      <c r="J68" s="455"/>
      <c r="K68" s="120">
        <f>K62</f>
        <v>0</v>
      </c>
    </row>
    <row r="69" spans="1:18" ht="21.75" customHeight="1" thickTop="1" thickBot="1" x14ac:dyDescent="0.25">
      <c r="A69" s="95"/>
      <c r="B69" s="442" t="s">
        <v>47</v>
      </c>
      <c r="C69" s="442"/>
      <c r="D69" s="442"/>
      <c r="E69" s="442"/>
      <c r="F69" s="442"/>
      <c r="G69" s="442"/>
      <c r="H69" s="442"/>
      <c r="I69" s="442"/>
      <c r="J69" s="442"/>
      <c r="K69" s="105">
        <f>ROUND((K66+K67+K68),2)</f>
        <v>0</v>
      </c>
    </row>
    <row r="70" spans="1:18" s="121" customFormat="1" ht="21.75" customHeight="1" thickTop="1" thickBot="1" x14ac:dyDescent="0.3">
      <c r="A70" s="482"/>
      <c r="B70" s="483"/>
      <c r="C70" s="483"/>
      <c r="D70" s="483"/>
      <c r="E70" s="483"/>
      <c r="F70" s="483"/>
      <c r="G70" s="483"/>
      <c r="H70" s="483"/>
      <c r="I70" s="483"/>
      <c r="J70" s="483"/>
      <c r="K70" s="483"/>
    </row>
    <row r="71" spans="1:18" s="121" customFormat="1" ht="21.75" customHeight="1" thickTop="1" thickBot="1" x14ac:dyDescent="0.3">
      <c r="A71" s="423" t="s">
        <v>71</v>
      </c>
      <c r="B71" s="424"/>
      <c r="C71" s="424"/>
      <c r="D71" s="424"/>
      <c r="E71" s="424"/>
      <c r="F71" s="424"/>
      <c r="G71" s="424"/>
      <c r="H71" s="424"/>
      <c r="I71" s="424"/>
      <c r="J71" s="424"/>
      <c r="K71" s="426"/>
    </row>
    <row r="72" spans="1:18" s="121" customFormat="1" ht="21.75" customHeight="1" thickTop="1" thickBot="1" x14ac:dyDescent="0.3">
      <c r="A72" s="122" t="s">
        <v>23</v>
      </c>
      <c r="B72" s="459" t="s">
        <v>72</v>
      </c>
      <c r="C72" s="459"/>
      <c r="D72" s="459"/>
      <c r="E72" s="459"/>
      <c r="F72" s="459"/>
      <c r="G72" s="459"/>
      <c r="H72" s="459"/>
      <c r="I72" s="459"/>
      <c r="J72" s="123">
        <f>L72</f>
        <v>4.1666666666666666E-3</v>
      </c>
      <c r="K72" s="124">
        <f>J72*$K$33</f>
        <v>0</v>
      </c>
      <c r="L72" s="478">
        <f>0.05*(1/12)</f>
        <v>4.1666666666666666E-3</v>
      </c>
      <c r="M72" s="479"/>
      <c r="N72" s="121" t="s">
        <v>73</v>
      </c>
    </row>
    <row r="73" spans="1:18" s="121" customFormat="1" ht="21.75" customHeight="1" thickTop="1" thickBot="1" x14ac:dyDescent="0.3">
      <c r="A73" s="122" t="s">
        <v>25</v>
      </c>
      <c r="B73" s="459" t="s">
        <v>74</v>
      </c>
      <c r="C73" s="459"/>
      <c r="D73" s="459"/>
      <c r="E73" s="459"/>
      <c r="F73" s="459"/>
      <c r="G73" s="459"/>
      <c r="H73" s="459"/>
      <c r="I73" s="459"/>
      <c r="J73" s="123">
        <f>L73</f>
        <v>3.3333333333333332E-4</v>
      </c>
      <c r="K73" s="124">
        <f t="shared" ref="K73:K75" si="0">J73*$K$33</f>
        <v>0</v>
      </c>
      <c r="L73" s="480">
        <f>0.08*J72</f>
        <v>3.3333333333333332E-4</v>
      </c>
      <c r="M73" s="481"/>
    </row>
    <row r="74" spans="1:18" s="121" customFormat="1" ht="28.15" customHeight="1" thickTop="1" thickBot="1" x14ac:dyDescent="0.3">
      <c r="A74" s="122" t="s">
        <v>28</v>
      </c>
      <c r="B74" s="472" t="s">
        <v>75</v>
      </c>
      <c r="C74" s="472"/>
      <c r="D74" s="472"/>
      <c r="E74" s="472"/>
      <c r="F74" s="472"/>
      <c r="G74" s="472"/>
      <c r="H74" s="472"/>
      <c r="I74" s="472"/>
      <c r="J74" s="125">
        <f>L74</f>
        <v>3.4799999999999998E-2</v>
      </c>
      <c r="K74" s="124">
        <f t="shared" si="0"/>
        <v>0</v>
      </c>
      <c r="L74" s="473">
        <f>(0.08*(0.4)*0.9)*((1+5/56+5/56)+(1/3*5/56))</f>
        <v>3.4799999999999998E-2</v>
      </c>
      <c r="M74" s="474"/>
      <c r="N74" s="126"/>
      <c r="O74" s="127"/>
      <c r="P74" s="127"/>
      <c r="Q74" s="127"/>
      <c r="R74" s="127"/>
    </row>
    <row r="75" spans="1:18" s="121" customFormat="1" ht="21.75" customHeight="1" thickTop="1" thickBot="1" x14ac:dyDescent="0.3">
      <c r="A75" s="122" t="s">
        <v>33</v>
      </c>
      <c r="B75" s="459" t="s">
        <v>76</v>
      </c>
      <c r="C75" s="459"/>
      <c r="D75" s="459"/>
      <c r="E75" s="459"/>
      <c r="F75" s="459"/>
      <c r="G75" s="459"/>
      <c r="H75" s="459"/>
      <c r="I75" s="459"/>
      <c r="J75" s="125">
        <f>L75</f>
        <v>1.9444444444444445E-2</v>
      </c>
      <c r="K75" s="124">
        <f t="shared" si="0"/>
        <v>0</v>
      </c>
      <c r="L75" s="473">
        <f>(7/30)/12</f>
        <v>1.9444444444444445E-2</v>
      </c>
      <c r="M75" s="474"/>
    </row>
    <row r="76" spans="1:18" s="121" customFormat="1" ht="30" customHeight="1" thickTop="1" thickBot="1" x14ac:dyDescent="0.3">
      <c r="A76" s="122" t="s">
        <v>35</v>
      </c>
      <c r="B76" s="459" t="s">
        <v>77</v>
      </c>
      <c r="C76" s="459"/>
      <c r="D76" s="459"/>
      <c r="E76" s="459"/>
      <c r="F76" s="459"/>
      <c r="G76" s="459"/>
      <c r="H76" s="459"/>
      <c r="I76" s="459"/>
      <c r="J76" s="123">
        <f>J52*J75</f>
        <v>7.1555555555555565E-3</v>
      </c>
      <c r="K76" s="124">
        <f>K33*J76</f>
        <v>0</v>
      </c>
      <c r="L76" s="470">
        <f>J75*J52</f>
        <v>7.1555555555555565E-3</v>
      </c>
      <c r="M76" s="471"/>
      <c r="N76" s="128"/>
    </row>
    <row r="77" spans="1:18" s="121" customFormat="1" ht="30" customHeight="1" thickTop="1" thickBot="1" x14ac:dyDescent="0.3">
      <c r="A77" s="122" t="s">
        <v>37</v>
      </c>
      <c r="B77" s="472" t="s">
        <v>78</v>
      </c>
      <c r="C77" s="472"/>
      <c r="D77" s="472"/>
      <c r="E77" s="472"/>
      <c r="F77" s="472"/>
      <c r="G77" s="472"/>
      <c r="H77" s="472"/>
      <c r="I77" s="472"/>
      <c r="J77" s="123">
        <f>L77</f>
        <v>6.2222222222222225E-4</v>
      </c>
      <c r="K77" s="124">
        <f>J77*(K33+K40)</f>
        <v>0</v>
      </c>
      <c r="L77" s="473">
        <f>0.08*(0.4)*J75</f>
        <v>6.2222222222222225E-4</v>
      </c>
      <c r="M77" s="474"/>
      <c r="O77" s="129"/>
    </row>
    <row r="78" spans="1:18" s="121" customFormat="1" ht="21.75" customHeight="1" thickTop="1" thickBot="1" x14ac:dyDescent="0.3">
      <c r="A78" s="423" t="s">
        <v>47</v>
      </c>
      <c r="B78" s="424"/>
      <c r="C78" s="424"/>
      <c r="D78" s="424"/>
      <c r="E78" s="424"/>
      <c r="F78" s="424"/>
      <c r="G78" s="424"/>
      <c r="H78" s="424"/>
      <c r="I78" s="424"/>
      <c r="J78" s="130"/>
      <c r="K78" s="131">
        <f>ROUND(K72+K73+K74+K75+K76+K77,2)</f>
        <v>0</v>
      </c>
    </row>
    <row r="79" spans="1:18" s="121" customFormat="1" ht="21.75" customHeight="1" thickTop="1" x14ac:dyDescent="0.25">
      <c r="A79" s="464" t="s">
        <v>155</v>
      </c>
      <c r="B79" s="465"/>
      <c r="C79" s="465"/>
      <c r="D79" s="465"/>
      <c r="E79" s="465"/>
      <c r="F79" s="465"/>
      <c r="G79" s="465"/>
      <c r="H79" s="465"/>
      <c r="I79" s="465"/>
      <c r="J79" s="465"/>
      <c r="K79" s="466"/>
    </row>
    <row r="80" spans="1:18" s="121" customFormat="1" ht="21.75" customHeight="1" x14ac:dyDescent="0.25">
      <c r="A80" s="475"/>
      <c r="B80" s="476"/>
      <c r="C80" s="476"/>
      <c r="D80" s="476"/>
      <c r="E80" s="476"/>
      <c r="F80" s="476"/>
      <c r="G80" s="476"/>
      <c r="H80" s="476"/>
      <c r="I80" s="476"/>
      <c r="J80" s="476"/>
      <c r="K80" s="477"/>
    </row>
    <row r="81" spans="1:18" s="121" customFormat="1" ht="12.6" customHeight="1" thickBot="1" x14ac:dyDescent="0.3">
      <c r="A81" s="467"/>
      <c r="B81" s="468"/>
      <c r="C81" s="468"/>
      <c r="D81" s="468"/>
      <c r="E81" s="468"/>
      <c r="F81" s="468"/>
      <c r="G81" s="468"/>
      <c r="H81" s="468"/>
      <c r="I81" s="468"/>
      <c r="J81" s="468"/>
      <c r="K81" s="469"/>
    </row>
    <row r="82" spans="1:18" s="121" customFormat="1" ht="21.75" customHeight="1" thickTop="1" thickBot="1" x14ac:dyDescent="0.3">
      <c r="A82" s="423" t="s">
        <v>80</v>
      </c>
      <c r="B82" s="424"/>
      <c r="C82" s="424"/>
      <c r="D82" s="424"/>
      <c r="E82" s="424"/>
      <c r="F82" s="424"/>
      <c r="G82" s="424"/>
      <c r="H82" s="424"/>
      <c r="I82" s="424"/>
      <c r="J82" s="424"/>
      <c r="K82" s="426"/>
    </row>
    <row r="83" spans="1:18" s="121" customFormat="1" ht="21.75" customHeight="1" thickTop="1" thickBot="1" x14ac:dyDescent="0.3">
      <c r="A83" s="423" t="s">
        <v>144</v>
      </c>
      <c r="B83" s="424"/>
      <c r="C83" s="424"/>
      <c r="D83" s="424"/>
      <c r="E83" s="424"/>
      <c r="F83" s="424"/>
      <c r="G83" s="424"/>
      <c r="H83" s="424"/>
      <c r="I83" s="424"/>
      <c r="J83" s="424"/>
      <c r="K83" s="426"/>
    </row>
    <row r="84" spans="1:18" s="121" customFormat="1" ht="21.75" customHeight="1" thickTop="1" thickBot="1" x14ac:dyDescent="0.3">
      <c r="A84" s="132" t="s">
        <v>23</v>
      </c>
      <c r="B84" s="459" t="s">
        <v>82</v>
      </c>
      <c r="C84" s="459"/>
      <c r="D84" s="459"/>
      <c r="E84" s="459"/>
      <c r="F84" s="459"/>
      <c r="G84" s="459"/>
      <c r="H84" s="459"/>
      <c r="I84" s="459"/>
      <c r="J84" s="125">
        <f>L84</f>
        <v>9.0909090909090912E-2</v>
      </c>
      <c r="K84" s="124">
        <f>J84*$K$33</f>
        <v>0</v>
      </c>
      <c r="L84" s="133">
        <f>(5/55)</f>
        <v>9.0909090909090912E-2</v>
      </c>
      <c r="M84" s="134"/>
    </row>
    <row r="85" spans="1:18" s="121" customFormat="1" ht="21.75" customHeight="1" thickTop="1" thickBot="1" x14ac:dyDescent="0.3">
      <c r="A85" s="132" t="s">
        <v>25</v>
      </c>
      <c r="B85" s="459" t="s">
        <v>83</v>
      </c>
      <c r="C85" s="459"/>
      <c r="D85" s="459"/>
      <c r="E85" s="459"/>
      <c r="F85" s="459"/>
      <c r="G85" s="459"/>
      <c r="H85" s="459"/>
      <c r="I85" s="459"/>
      <c r="J85" s="123">
        <f>L85</f>
        <v>1.3698630136986301E-2</v>
      </c>
      <c r="K85" s="124">
        <f t="shared" ref="K85:K89" si="1">J85*$K$33</f>
        <v>0</v>
      </c>
      <c r="L85" s="133">
        <f>5/365</f>
        <v>1.3698630136986301E-2</v>
      </c>
      <c r="M85" s="135"/>
      <c r="N85" s="136"/>
      <c r="O85" s="136"/>
      <c r="P85" s="136"/>
    </row>
    <row r="86" spans="1:18" s="121" customFormat="1" ht="21.75" customHeight="1" thickTop="1" thickBot="1" x14ac:dyDescent="0.3">
      <c r="A86" s="132" t="s">
        <v>28</v>
      </c>
      <c r="B86" s="459" t="s">
        <v>84</v>
      </c>
      <c r="C86" s="459"/>
      <c r="D86" s="459"/>
      <c r="E86" s="459"/>
      <c r="F86" s="459"/>
      <c r="G86" s="459"/>
      <c r="H86" s="459"/>
      <c r="I86" s="459"/>
      <c r="J86" s="123">
        <f>L86</f>
        <v>2.0547945205479451E-4</v>
      </c>
      <c r="K86" s="124">
        <f t="shared" si="1"/>
        <v>0</v>
      </c>
      <c r="L86" s="133">
        <f>5/365*0.015</f>
        <v>2.0547945205479451E-4</v>
      </c>
      <c r="M86" s="137"/>
    </row>
    <row r="87" spans="1:18" s="121" customFormat="1" ht="21.75" customHeight="1" thickTop="1" thickBot="1" x14ac:dyDescent="0.3">
      <c r="A87" s="132" t="s">
        <v>33</v>
      </c>
      <c r="B87" s="459" t="s">
        <v>85</v>
      </c>
      <c r="C87" s="459"/>
      <c r="D87" s="459"/>
      <c r="E87" s="459"/>
      <c r="F87" s="459"/>
      <c r="G87" s="459"/>
      <c r="H87" s="459"/>
      <c r="I87" s="459"/>
      <c r="J87" s="123">
        <f>L87</f>
        <v>3.2876712328767121E-3</v>
      </c>
      <c r="K87" s="124">
        <f t="shared" si="1"/>
        <v>0</v>
      </c>
      <c r="L87" s="133">
        <f>15/365*0.08</f>
        <v>3.2876712328767121E-3</v>
      </c>
      <c r="M87" s="137"/>
    </row>
    <row r="88" spans="1:18" s="121" customFormat="1" ht="21.75" customHeight="1" thickTop="1" thickBot="1" x14ac:dyDescent="0.3">
      <c r="A88" s="132" t="s">
        <v>35</v>
      </c>
      <c r="B88" s="459" t="s">
        <v>86</v>
      </c>
      <c r="C88" s="459"/>
      <c r="D88" s="459"/>
      <c r="E88" s="459"/>
      <c r="F88" s="459"/>
      <c r="G88" s="459"/>
      <c r="H88" s="459"/>
      <c r="I88" s="459"/>
      <c r="J88" s="123">
        <f>M88</f>
        <v>1.6133333333333334E-3</v>
      </c>
      <c r="K88" s="124">
        <f t="shared" si="1"/>
        <v>0</v>
      </c>
      <c r="L88"/>
      <c r="M88" s="138">
        <f>((0.121*4)/12*0.04)</f>
        <v>1.6133333333333334E-3</v>
      </c>
      <c r="N88" s="139"/>
      <c r="Q88" s="140"/>
      <c r="R88" s="141"/>
    </row>
    <row r="89" spans="1:18" s="121" customFormat="1" ht="21.75" customHeight="1" thickTop="1" thickBot="1" x14ac:dyDescent="0.3">
      <c r="A89" s="132" t="s">
        <v>37</v>
      </c>
      <c r="B89" s="459" t="s">
        <v>87</v>
      </c>
      <c r="C89" s="459"/>
      <c r="D89" s="459"/>
      <c r="E89" s="459"/>
      <c r="F89" s="459"/>
      <c r="G89" s="459"/>
      <c r="H89" s="459"/>
      <c r="I89" s="459"/>
      <c r="J89" s="125">
        <v>0</v>
      </c>
      <c r="K89" s="124">
        <f t="shared" si="1"/>
        <v>0</v>
      </c>
      <c r="L89"/>
      <c r="M89" s="137"/>
    </row>
    <row r="90" spans="1:18" s="121" customFormat="1" ht="21.75" customHeight="1" thickTop="1" thickBot="1" x14ac:dyDescent="0.3">
      <c r="A90" s="132" t="s">
        <v>39</v>
      </c>
      <c r="B90" s="459" t="s">
        <v>88</v>
      </c>
      <c r="C90" s="459"/>
      <c r="D90" s="459"/>
      <c r="E90" s="459"/>
      <c r="F90" s="459"/>
      <c r="G90" s="459"/>
      <c r="H90" s="459"/>
      <c r="I90" s="459"/>
      <c r="J90" s="125">
        <f>(J84+J85+J86+J87+J88+J89)*J52</f>
        <v>4.0374827463677876E-2</v>
      </c>
      <c r="K90" s="124">
        <f>K33*J90</f>
        <v>0</v>
      </c>
      <c r="L90" s="137"/>
      <c r="M90" s="137"/>
      <c r="Q90" s="142"/>
    </row>
    <row r="91" spans="1:18" s="121" customFormat="1" ht="21.75" customHeight="1" thickTop="1" thickBot="1" x14ac:dyDescent="0.3">
      <c r="A91" s="423" t="s">
        <v>47</v>
      </c>
      <c r="B91" s="424"/>
      <c r="C91" s="424"/>
      <c r="D91" s="424"/>
      <c r="E91" s="424"/>
      <c r="F91" s="424"/>
      <c r="G91" s="424"/>
      <c r="H91" s="424"/>
      <c r="I91" s="426"/>
      <c r="J91" s="143">
        <f>SUM(J84:J90)</f>
        <v>0.15008903252801992</v>
      </c>
      <c r="K91" s="131">
        <f>ROUND(K84+K85+K86+K87+K88+K90,2)</f>
        <v>0</v>
      </c>
    </row>
    <row r="92" spans="1:18" s="121" customFormat="1" ht="21.75" customHeight="1" thickTop="1" x14ac:dyDescent="0.25">
      <c r="A92" s="464" t="s">
        <v>156</v>
      </c>
      <c r="B92" s="465"/>
      <c r="C92" s="465"/>
      <c r="D92" s="465"/>
      <c r="E92" s="465"/>
      <c r="F92" s="465"/>
      <c r="G92" s="465"/>
      <c r="H92" s="465"/>
      <c r="I92" s="465"/>
      <c r="J92" s="465"/>
      <c r="K92" s="466"/>
    </row>
    <row r="93" spans="1:18" s="121" customFormat="1" ht="27" customHeight="1" thickBot="1" x14ac:dyDescent="0.3">
      <c r="A93" s="467"/>
      <c r="B93" s="468"/>
      <c r="C93" s="468"/>
      <c r="D93" s="468"/>
      <c r="E93" s="468"/>
      <c r="F93" s="468"/>
      <c r="G93" s="468"/>
      <c r="H93" s="468"/>
      <c r="I93" s="468"/>
      <c r="J93" s="468"/>
      <c r="K93" s="469"/>
    </row>
    <row r="94" spans="1:18" s="121" customFormat="1" ht="21.75" customHeight="1" thickTop="1" thickBot="1" x14ac:dyDescent="0.3">
      <c r="A94" s="423" t="s">
        <v>90</v>
      </c>
      <c r="B94" s="424"/>
      <c r="C94" s="424"/>
      <c r="D94" s="424"/>
      <c r="E94" s="424"/>
      <c r="F94" s="424"/>
      <c r="G94" s="424"/>
      <c r="H94" s="424"/>
      <c r="I94" s="424"/>
      <c r="J94" s="424"/>
      <c r="K94" s="426"/>
    </row>
    <row r="95" spans="1:18" s="121" customFormat="1" ht="21.75" customHeight="1" thickTop="1" thickBot="1" x14ac:dyDescent="0.25">
      <c r="A95" s="95" t="s">
        <v>23</v>
      </c>
      <c r="B95" s="459" t="s">
        <v>91</v>
      </c>
      <c r="C95" s="459"/>
      <c r="D95" s="459"/>
      <c r="E95" s="459"/>
      <c r="F95" s="459"/>
      <c r="G95" s="459"/>
      <c r="H95" s="459"/>
      <c r="I95" s="459"/>
      <c r="J95" s="144">
        <v>0</v>
      </c>
      <c r="K95" s="102">
        <f>J95*L95</f>
        <v>0</v>
      </c>
      <c r="L95" s="136"/>
      <c r="M95" s="127"/>
      <c r="R95" s="145"/>
    </row>
    <row r="96" spans="1:18" s="121" customFormat="1" ht="21.75" customHeight="1" thickTop="1" thickBot="1" x14ac:dyDescent="0.3">
      <c r="A96" s="95"/>
      <c r="B96" s="460" t="s">
        <v>47</v>
      </c>
      <c r="C96" s="460"/>
      <c r="D96" s="460"/>
      <c r="E96" s="460"/>
      <c r="F96" s="460"/>
      <c r="G96" s="460"/>
      <c r="H96" s="460"/>
      <c r="I96" s="460"/>
      <c r="J96" s="146"/>
      <c r="K96" s="102">
        <f>K95</f>
        <v>0</v>
      </c>
      <c r="L96" s="136"/>
    </row>
    <row r="97" spans="1:13" s="121" customFormat="1" ht="35.450000000000003" customHeight="1" thickTop="1" thickBot="1" x14ac:dyDescent="0.3">
      <c r="A97" s="439" t="s">
        <v>157</v>
      </c>
      <c r="B97" s="440"/>
      <c r="C97" s="440"/>
      <c r="D97" s="440"/>
      <c r="E97" s="440"/>
      <c r="F97" s="440"/>
      <c r="G97" s="440"/>
      <c r="H97" s="440"/>
      <c r="I97" s="440"/>
      <c r="J97" s="440"/>
      <c r="K97" s="441"/>
    </row>
    <row r="98" spans="1:13" s="121" customFormat="1" ht="21.75" customHeight="1" thickTop="1" thickBot="1" x14ac:dyDescent="0.3">
      <c r="A98" s="423" t="s">
        <v>93</v>
      </c>
      <c r="B98" s="424"/>
      <c r="C98" s="424"/>
      <c r="D98" s="424"/>
      <c r="E98" s="424"/>
      <c r="F98" s="424"/>
      <c r="G98" s="424"/>
      <c r="H98" s="424"/>
      <c r="I98" s="424"/>
      <c r="J98" s="424"/>
      <c r="K98" s="426"/>
    </row>
    <row r="99" spans="1:13" s="121" customFormat="1" ht="21.75" customHeight="1" thickTop="1" thickBot="1" x14ac:dyDescent="0.3">
      <c r="A99" s="95" t="s">
        <v>94</v>
      </c>
      <c r="B99" s="461" t="s">
        <v>95</v>
      </c>
      <c r="C99" s="462"/>
      <c r="D99" s="462"/>
      <c r="E99" s="462"/>
      <c r="F99" s="462"/>
      <c r="G99" s="462"/>
      <c r="H99" s="462"/>
      <c r="I99" s="462"/>
      <c r="J99" s="463"/>
      <c r="K99" s="104">
        <f>K91</f>
        <v>0</v>
      </c>
    </row>
    <row r="100" spans="1:13" s="121" customFormat="1" ht="21.75" customHeight="1" thickTop="1" thickBot="1" x14ac:dyDescent="0.3">
      <c r="A100" s="95" t="s">
        <v>96</v>
      </c>
      <c r="B100" s="461" t="s">
        <v>97</v>
      </c>
      <c r="C100" s="462"/>
      <c r="D100" s="462"/>
      <c r="E100" s="462"/>
      <c r="F100" s="462"/>
      <c r="G100" s="462"/>
      <c r="H100" s="462"/>
      <c r="I100" s="462"/>
      <c r="J100" s="463"/>
      <c r="K100" s="104">
        <f>K96</f>
        <v>0</v>
      </c>
    </row>
    <row r="101" spans="1:13" s="121" customFormat="1" ht="21.75" customHeight="1" thickTop="1" thickBot="1" x14ac:dyDescent="0.3">
      <c r="A101" s="95"/>
      <c r="B101" s="442" t="s">
        <v>47</v>
      </c>
      <c r="C101" s="442"/>
      <c r="D101" s="442"/>
      <c r="E101" s="442"/>
      <c r="F101" s="442"/>
      <c r="G101" s="442"/>
      <c r="H101" s="442"/>
      <c r="I101" s="442"/>
      <c r="J101" s="442"/>
      <c r="K101" s="131">
        <f>K99+K100</f>
        <v>0</v>
      </c>
    </row>
    <row r="102" spans="1:13" s="121" customFormat="1" ht="21.75" customHeight="1" thickTop="1" thickBot="1" x14ac:dyDescent="0.3">
      <c r="A102" s="439"/>
      <c r="B102" s="440"/>
      <c r="C102" s="440"/>
      <c r="D102" s="440"/>
      <c r="E102" s="440"/>
      <c r="F102" s="440"/>
      <c r="G102" s="440"/>
      <c r="H102" s="440"/>
      <c r="I102" s="440"/>
      <c r="J102" s="440"/>
      <c r="K102" s="441"/>
    </row>
    <row r="103" spans="1:13" ht="21.75" customHeight="1" thickTop="1" thickBot="1" x14ac:dyDescent="0.25">
      <c r="A103" s="423" t="s">
        <v>98</v>
      </c>
      <c r="B103" s="424"/>
      <c r="C103" s="424"/>
      <c r="D103" s="424"/>
      <c r="E103" s="424"/>
      <c r="F103" s="424"/>
      <c r="G103" s="424"/>
      <c r="H103" s="424"/>
      <c r="I103" s="424"/>
      <c r="J103" s="426"/>
      <c r="K103" s="95" t="s">
        <v>99</v>
      </c>
    </row>
    <row r="104" spans="1:13" ht="21.75" customHeight="1" thickTop="1" thickBot="1" x14ac:dyDescent="0.25">
      <c r="A104" s="95" t="s">
        <v>23</v>
      </c>
      <c r="B104" s="455" t="s">
        <v>100</v>
      </c>
      <c r="C104" s="455"/>
      <c r="D104" s="455"/>
      <c r="E104" s="455"/>
      <c r="F104" s="455"/>
      <c r="G104" s="455"/>
      <c r="H104" s="455"/>
      <c r="I104" s="455"/>
      <c r="J104" s="455"/>
      <c r="K104" s="147">
        <f>'Insumos Petrolina'!E68</f>
        <v>0</v>
      </c>
    </row>
    <row r="105" spans="1:13" ht="21.75" customHeight="1" thickTop="1" thickBot="1" x14ac:dyDescent="0.25">
      <c r="A105" s="95" t="s">
        <v>25</v>
      </c>
      <c r="B105" s="455" t="s">
        <v>101</v>
      </c>
      <c r="C105" s="455"/>
      <c r="D105" s="455"/>
      <c r="E105" s="456" t="s">
        <v>102</v>
      </c>
      <c r="F105" s="456"/>
      <c r="G105" s="456"/>
      <c r="H105" s="456"/>
      <c r="I105" s="456"/>
      <c r="J105" s="456"/>
      <c r="K105" s="147">
        <f>'Insumos Garanhuns'!B54</f>
        <v>0</v>
      </c>
    </row>
    <row r="106" spans="1:13" ht="21.75" customHeight="1" thickTop="1" thickBot="1" x14ac:dyDescent="0.25">
      <c r="A106" s="95" t="s">
        <v>28</v>
      </c>
      <c r="B106" s="455" t="s">
        <v>103</v>
      </c>
      <c r="C106" s="455"/>
      <c r="D106" s="455"/>
      <c r="E106" s="456" t="s">
        <v>102</v>
      </c>
      <c r="F106" s="456"/>
      <c r="G106" s="456"/>
      <c r="H106" s="456"/>
      <c r="I106" s="456"/>
      <c r="J106" s="456"/>
      <c r="K106" s="147">
        <f>'Insumos Garanhuns'!B53+'Insumos Garanhuns'!B52</f>
        <v>0</v>
      </c>
    </row>
    <row r="107" spans="1:13" ht="21.75" customHeight="1" thickTop="1" thickBot="1" x14ac:dyDescent="0.25">
      <c r="A107" s="442" t="s">
        <v>33</v>
      </c>
      <c r="B107" s="457" t="s">
        <v>87</v>
      </c>
      <c r="C107" s="457"/>
      <c r="D107" s="458" t="s">
        <v>104</v>
      </c>
      <c r="E107" s="458"/>
      <c r="F107" s="458"/>
      <c r="G107" s="458"/>
      <c r="H107" s="458"/>
      <c r="I107" s="458"/>
      <c r="J107" s="458"/>
      <c r="K107" s="147">
        <v>0</v>
      </c>
    </row>
    <row r="108" spans="1:13" ht="21.75" customHeight="1" thickTop="1" thickBot="1" x14ac:dyDescent="0.25">
      <c r="A108" s="442"/>
      <c r="B108" s="457"/>
      <c r="C108" s="457"/>
      <c r="D108" s="458" t="s">
        <v>104</v>
      </c>
      <c r="E108" s="458"/>
      <c r="F108" s="458"/>
      <c r="G108" s="458"/>
      <c r="H108" s="458"/>
      <c r="I108" s="458"/>
      <c r="J108" s="458"/>
      <c r="K108" s="147">
        <f>J108*K33</f>
        <v>0</v>
      </c>
    </row>
    <row r="109" spans="1:13" s="121" customFormat="1" ht="21.75" customHeight="1" thickTop="1" thickBot="1" x14ac:dyDescent="0.3">
      <c r="A109" s="423" t="s">
        <v>105</v>
      </c>
      <c r="B109" s="424"/>
      <c r="C109" s="424"/>
      <c r="D109" s="424"/>
      <c r="E109" s="424"/>
      <c r="F109" s="424"/>
      <c r="G109" s="424"/>
      <c r="H109" s="424"/>
      <c r="I109" s="424"/>
      <c r="J109" s="426"/>
      <c r="K109" s="131">
        <f>SUM(K104:K108)</f>
        <v>0</v>
      </c>
    </row>
    <row r="110" spans="1:13" s="121" customFormat="1" ht="21.75" customHeight="1" thickTop="1" thickBot="1" x14ac:dyDescent="0.3">
      <c r="A110" s="439" t="s">
        <v>158</v>
      </c>
      <c r="B110" s="440"/>
      <c r="C110" s="440"/>
      <c r="D110" s="440"/>
      <c r="E110" s="440"/>
      <c r="F110" s="440"/>
      <c r="G110" s="440"/>
      <c r="H110" s="440"/>
      <c r="I110" s="440"/>
      <c r="J110" s="440"/>
      <c r="K110" s="441"/>
    </row>
    <row r="111" spans="1:13" s="121" customFormat="1" ht="21.75" customHeight="1" thickTop="1" thickBot="1" x14ac:dyDescent="0.3">
      <c r="A111" s="423" t="s">
        <v>107</v>
      </c>
      <c r="B111" s="424"/>
      <c r="C111" s="424"/>
      <c r="D111" s="424"/>
      <c r="E111" s="424"/>
      <c r="F111" s="424"/>
      <c r="G111" s="424"/>
      <c r="H111" s="424"/>
      <c r="I111" s="424"/>
      <c r="J111" s="426"/>
      <c r="K111" s="95" t="s">
        <v>22</v>
      </c>
    </row>
    <row r="112" spans="1:13" s="121" customFormat="1" ht="21.75" customHeight="1" thickTop="1" thickBot="1" x14ac:dyDescent="0.3">
      <c r="A112" s="95" t="s">
        <v>23</v>
      </c>
      <c r="B112" s="86" t="s">
        <v>108</v>
      </c>
      <c r="C112" s="86"/>
      <c r="D112" s="86"/>
      <c r="E112" s="86"/>
      <c r="F112" s="86"/>
      <c r="G112" s="86"/>
      <c r="H112" s="86"/>
      <c r="I112" s="86"/>
      <c r="J112" s="340">
        <v>0.03</v>
      </c>
      <c r="K112" s="124">
        <f>J112*K132</f>
        <v>0</v>
      </c>
      <c r="L112" s="137" t="s">
        <v>109</v>
      </c>
      <c r="M112" s="137"/>
    </row>
    <row r="113" spans="1:13" s="121" customFormat="1" ht="21.75" customHeight="1" thickTop="1" thickBot="1" x14ac:dyDescent="0.3">
      <c r="A113" s="95" t="s">
        <v>25</v>
      </c>
      <c r="B113" s="86" t="s">
        <v>110</v>
      </c>
      <c r="C113" s="86"/>
      <c r="D113" s="86"/>
      <c r="E113" s="86"/>
      <c r="F113" s="86"/>
      <c r="G113" s="86"/>
      <c r="H113" s="86"/>
      <c r="I113" s="86"/>
      <c r="J113" s="340">
        <v>6.7900000000000002E-2</v>
      </c>
      <c r="K113" s="124">
        <f>(K132+K112)*J113</f>
        <v>0</v>
      </c>
      <c r="L113" s="148"/>
      <c r="M113" s="137"/>
    </row>
    <row r="114" spans="1:13" s="121" customFormat="1" ht="21.75" customHeight="1" thickTop="1" thickBot="1" x14ac:dyDescent="0.3">
      <c r="A114" s="442" t="s">
        <v>28</v>
      </c>
      <c r="B114" s="86" t="s">
        <v>111</v>
      </c>
      <c r="C114" s="86"/>
      <c r="D114" s="86"/>
      <c r="E114" s="86"/>
      <c r="F114" s="86"/>
      <c r="G114" s="86"/>
      <c r="H114" s="86"/>
      <c r="I114" s="149" t="s">
        <v>112</v>
      </c>
      <c r="J114" s="136"/>
      <c r="K114" s="146"/>
    </row>
    <row r="115" spans="1:13" s="121" customFormat="1" ht="21.75" customHeight="1" thickTop="1" thickBot="1" x14ac:dyDescent="0.3">
      <c r="A115" s="442"/>
      <c r="B115" s="86"/>
      <c r="C115" s="150" t="s">
        <v>113</v>
      </c>
      <c r="D115" s="150"/>
      <c r="E115" s="150"/>
      <c r="F115" s="86" t="s">
        <v>114</v>
      </c>
      <c r="G115" s="151"/>
      <c r="H115" s="151"/>
      <c r="I115" s="443">
        <f>SUM(J115:J117)</f>
        <v>0.14250000000000002</v>
      </c>
      <c r="J115" s="152">
        <v>1.6500000000000001E-2</v>
      </c>
      <c r="K115" s="153">
        <f>((K132+K112+K113)/(1-I115))*J115</f>
        <v>0</v>
      </c>
    </row>
    <row r="116" spans="1:13" s="121" customFormat="1" ht="21.75" customHeight="1" thickTop="1" thickBot="1" x14ac:dyDescent="0.3">
      <c r="A116" s="442"/>
      <c r="B116" s="86"/>
      <c r="C116" s="86"/>
      <c r="D116" s="86"/>
      <c r="E116" s="86"/>
      <c r="F116" s="86" t="s">
        <v>115</v>
      </c>
      <c r="G116" s="151"/>
      <c r="H116" s="151"/>
      <c r="I116" s="444"/>
      <c r="J116" s="152">
        <v>7.5999999999999998E-2</v>
      </c>
      <c r="K116" s="153">
        <f>((K132+K112+K113)/(1-I115))*J116</f>
        <v>0</v>
      </c>
    </row>
    <row r="117" spans="1:13" s="121" customFormat="1" ht="21.75" customHeight="1" thickTop="1" thickBot="1" x14ac:dyDescent="0.3">
      <c r="A117" s="442"/>
      <c r="B117" s="150"/>
      <c r="C117" s="150" t="s">
        <v>116</v>
      </c>
      <c r="D117" s="150"/>
      <c r="E117" s="86"/>
      <c r="F117" s="86" t="s">
        <v>117</v>
      </c>
      <c r="G117" s="151"/>
      <c r="H117" s="151"/>
      <c r="I117" s="445"/>
      <c r="J117" s="152">
        <v>0.05</v>
      </c>
      <c r="K117" s="153">
        <f>((K132+K112+K113)/(1-I115))*J117</f>
        <v>0</v>
      </c>
    </row>
    <row r="118" spans="1:13" s="121" customFormat="1" ht="21.75" customHeight="1" thickTop="1" thickBot="1" x14ac:dyDescent="0.3">
      <c r="A118" s="154" t="s">
        <v>118</v>
      </c>
      <c r="B118" s="130"/>
      <c r="C118" s="130"/>
      <c r="D118" s="130"/>
      <c r="E118" s="130"/>
      <c r="F118" s="130"/>
      <c r="G118" s="130"/>
      <c r="H118" s="130"/>
      <c r="I118" s="130"/>
      <c r="J118" s="130"/>
      <c r="K118" s="131">
        <f>K112+K113+K115+K116+K117</f>
        <v>0</v>
      </c>
    </row>
    <row r="119" spans="1:13" s="121" customFormat="1" ht="37.15" customHeight="1" thickTop="1" thickBot="1" x14ac:dyDescent="0.3">
      <c r="A119" s="446" t="s">
        <v>159</v>
      </c>
      <c r="B119" s="447"/>
      <c r="C119" s="447"/>
      <c r="D119" s="447"/>
      <c r="E119" s="447"/>
      <c r="F119" s="447"/>
      <c r="G119" s="447"/>
      <c r="H119" s="447"/>
      <c r="I119" s="447"/>
      <c r="J119" s="447"/>
      <c r="K119" s="448"/>
    </row>
    <row r="120" spans="1:13" s="121" customFormat="1" ht="21.6" hidden="1" customHeight="1" x14ac:dyDescent="0.25">
      <c r="A120" s="449"/>
      <c r="B120" s="450"/>
      <c r="C120" s="450"/>
      <c r="D120" s="450"/>
      <c r="E120" s="450"/>
      <c r="F120" s="450"/>
      <c r="G120" s="450"/>
      <c r="H120" s="450"/>
      <c r="I120" s="450"/>
      <c r="J120" s="450"/>
      <c r="K120" s="451"/>
    </row>
    <row r="121" spans="1:13" s="121" customFormat="1" ht="21.6" hidden="1" customHeight="1" x14ac:dyDescent="0.25">
      <c r="A121" s="449"/>
      <c r="B121" s="450"/>
      <c r="C121" s="450"/>
      <c r="D121" s="450"/>
      <c r="E121" s="450"/>
      <c r="F121" s="450"/>
      <c r="G121" s="450"/>
      <c r="H121" s="450"/>
      <c r="I121" s="450"/>
      <c r="J121" s="450"/>
      <c r="K121" s="451"/>
    </row>
    <row r="122" spans="1:13" s="121" customFormat="1" ht="21.6" hidden="1" customHeight="1" x14ac:dyDescent="0.25">
      <c r="A122" s="449"/>
      <c r="B122" s="450"/>
      <c r="C122" s="450"/>
      <c r="D122" s="450"/>
      <c r="E122" s="450"/>
      <c r="F122" s="450"/>
      <c r="G122" s="450"/>
      <c r="H122" s="450"/>
      <c r="I122" s="450"/>
      <c r="J122" s="450"/>
      <c r="K122" s="451"/>
    </row>
    <row r="123" spans="1:13" s="121" customFormat="1" ht="21.6" hidden="1" customHeight="1" x14ac:dyDescent="0.25">
      <c r="A123" s="449"/>
      <c r="B123" s="450"/>
      <c r="C123" s="450"/>
      <c r="D123" s="450"/>
      <c r="E123" s="450"/>
      <c r="F123" s="450"/>
      <c r="G123" s="450"/>
      <c r="H123" s="450"/>
      <c r="I123" s="450"/>
      <c r="J123" s="450"/>
      <c r="K123" s="451"/>
    </row>
    <row r="124" spans="1:13" ht="21.6" hidden="1" customHeight="1" x14ac:dyDescent="0.2">
      <c r="A124" s="452"/>
      <c r="B124" s="453"/>
      <c r="C124" s="453"/>
      <c r="D124" s="453"/>
      <c r="E124" s="453"/>
      <c r="F124" s="453"/>
      <c r="G124" s="453"/>
      <c r="H124" s="453"/>
      <c r="I124" s="453"/>
      <c r="J124" s="453"/>
      <c r="K124" s="454"/>
    </row>
    <row r="125" spans="1:13" ht="21.75" customHeight="1" thickTop="1" thickBot="1" x14ac:dyDescent="0.25">
      <c r="A125" s="423" t="s">
        <v>120</v>
      </c>
      <c r="B125" s="424"/>
      <c r="C125" s="424"/>
      <c r="D125" s="424"/>
      <c r="E125" s="424"/>
      <c r="F125" s="424"/>
      <c r="G125" s="424"/>
      <c r="H125" s="424"/>
      <c r="I125" s="424"/>
      <c r="J125" s="424"/>
      <c r="K125" s="426"/>
    </row>
    <row r="126" spans="1:13" ht="21.75" customHeight="1" thickTop="1" thickBot="1" x14ac:dyDescent="0.25">
      <c r="A126" s="435" t="s">
        <v>121</v>
      </c>
      <c r="B126" s="436"/>
      <c r="C126" s="436"/>
      <c r="D126" s="436"/>
      <c r="E126" s="436"/>
      <c r="F126" s="436"/>
      <c r="G126" s="436"/>
      <c r="H126" s="436"/>
      <c r="I126" s="436"/>
      <c r="J126" s="437"/>
      <c r="K126" s="95" t="s">
        <v>99</v>
      </c>
    </row>
    <row r="127" spans="1:13" ht="21.75" customHeight="1" thickTop="1" thickBot="1" x14ac:dyDescent="0.25">
      <c r="A127" s="95" t="s">
        <v>23</v>
      </c>
      <c r="B127" s="427" t="s">
        <v>122</v>
      </c>
      <c r="C127" s="428"/>
      <c r="D127" s="428"/>
      <c r="E127" s="428"/>
      <c r="F127" s="428"/>
      <c r="G127" s="428"/>
      <c r="H127" s="428"/>
      <c r="I127" s="428"/>
      <c r="J127" s="429"/>
      <c r="K127" s="104">
        <f>K33</f>
        <v>0</v>
      </c>
    </row>
    <row r="128" spans="1:13" ht="21.75" customHeight="1" thickTop="1" thickBot="1" x14ac:dyDescent="0.25">
      <c r="A128" s="95" t="s">
        <v>25</v>
      </c>
      <c r="B128" s="438" t="s">
        <v>123</v>
      </c>
      <c r="C128" s="438"/>
      <c r="D128" s="438"/>
      <c r="E128" s="438"/>
      <c r="F128" s="438"/>
      <c r="G128" s="438"/>
      <c r="H128" s="438"/>
      <c r="I128" s="438"/>
      <c r="J128" s="438"/>
      <c r="K128" s="104">
        <f>K69</f>
        <v>0</v>
      </c>
    </row>
    <row r="129" spans="1:13" ht="21.75" customHeight="1" thickTop="1" thickBot="1" x14ac:dyDescent="0.25">
      <c r="A129" s="95" t="s">
        <v>28</v>
      </c>
      <c r="B129" s="427" t="s">
        <v>145</v>
      </c>
      <c r="C129" s="428"/>
      <c r="D129" s="428"/>
      <c r="E129" s="428"/>
      <c r="F129" s="428"/>
      <c r="G129" s="428"/>
      <c r="H129" s="428"/>
      <c r="I129" s="428"/>
      <c r="J129" s="429"/>
      <c r="K129" s="104">
        <f>K78</f>
        <v>0</v>
      </c>
    </row>
    <row r="130" spans="1:13" ht="21.75" customHeight="1" thickTop="1" thickBot="1" x14ac:dyDescent="0.25">
      <c r="A130" s="95" t="s">
        <v>33</v>
      </c>
      <c r="B130" s="427" t="s">
        <v>146</v>
      </c>
      <c r="C130" s="428"/>
      <c r="D130" s="428"/>
      <c r="E130" s="428"/>
      <c r="F130" s="428"/>
      <c r="G130" s="428"/>
      <c r="H130" s="428"/>
      <c r="I130" s="428"/>
      <c r="J130" s="429"/>
      <c r="K130" s="104">
        <f>K101</f>
        <v>0</v>
      </c>
    </row>
    <row r="131" spans="1:13" ht="21.75" customHeight="1" thickTop="1" thickBot="1" x14ac:dyDescent="0.25">
      <c r="A131" s="95" t="s">
        <v>35</v>
      </c>
      <c r="B131" s="427" t="s">
        <v>126</v>
      </c>
      <c r="C131" s="428"/>
      <c r="D131" s="428"/>
      <c r="E131" s="428"/>
      <c r="F131" s="428"/>
      <c r="G131" s="428"/>
      <c r="H131" s="428"/>
      <c r="I131" s="428"/>
      <c r="J131" s="429"/>
      <c r="K131" s="104">
        <f>K109</f>
        <v>0</v>
      </c>
    </row>
    <row r="132" spans="1:13" ht="21.75" customHeight="1" thickTop="1" thickBot="1" x14ac:dyDescent="0.25">
      <c r="A132" s="423" t="s">
        <v>127</v>
      </c>
      <c r="B132" s="424"/>
      <c r="C132" s="424"/>
      <c r="D132" s="424"/>
      <c r="E132" s="424"/>
      <c r="F132" s="424"/>
      <c r="G132" s="424"/>
      <c r="H132" s="424"/>
      <c r="I132" s="424"/>
      <c r="J132" s="426"/>
      <c r="K132" s="131">
        <f>SUM(K127:K131)</f>
        <v>0</v>
      </c>
      <c r="L132" s="156"/>
    </row>
    <row r="133" spans="1:13" s="121" customFormat="1" ht="21.75" customHeight="1" thickTop="1" thickBot="1" x14ac:dyDescent="0.3">
      <c r="A133" s="95" t="s">
        <v>37</v>
      </c>
      <c r="B133" s="427" t="s">
        <v>128</v>
      </c>
      <c r="C133" s="428"/>
      <c r="D133" s="428"/>
      <c r="E133" s="428"/>
      <c r="F133" s="428"/>
      <c r="G133" s="428"/>
      <c r="H133" s="428"/>
      <c r="I133" s="428"/>
      <c r="J133" s="429"/>
      <c r="K133" s="104">
        <f>K118</f>
        <v>0</v>
      </c>
    </row>
    <row r="134" spans="1:13" ht="34.15" customHeight="1" thickTop="1" thickBot="1" x14ac:dyDescent="0.25">
      <c r="A134" s="430" t="s">
        <v>129</v>
      </c>
      <c r="B134" s="431"/>
      <c r="C134" s="431"/>
      <c r="D134" s="431"/>
      <c r="E134" s="431"/>
      <c r="F134" s="431"/>
      <c r="G134" s="431"/>
      <c r="H134" s="431"/>
      <c r="I134" s="431"/>
      <c r="J134" s="432"/>
      <c r="K134" s="157">
        <f>SUM(K132+K133)</f>
        <v>0</v>
      </c>
    </row>
    <row r="135" spans="1:13" ht="21.75" customHeight="1" thickTop="1" thickBot="1" x14ac:dyDescent="0.25">
      <c r="A135" s="81"/>
      <c r="B135" s="82"/>
      <c r="C135" s="82"/>
      <c r="D135" s="82"/>
      <c r="E135" s="82"/>
      <c r="F135" s="82"/>
      <c r="G135" s="82"/>
      <c r="H135" s="82"/>
      <c r="I135" s="82"/>
      <c r="J135" s="82"/>
      <c r="K135" s="79"/>
    </row>
    <row r="136" spans="1:13" ht="21.75" customHeight="1" thickTop="1" thickBot="1" x14ac:dyDescent="0.25">
      <c r="A136" s="423" t="s">
        <v>130</v>
      </c>
      <c r="B136" s="424"/>
      <c r="C136" s="424"/>
      <c r="D136" s="424"/>
      <c r="E136" s="424"/>
      <c r="F136" s="424"/>
      <c r="G136" s="424"/>
      <c r="H136" s="424"/>
      <c r="I136" s="424"/>
      <c r="J136" s="424"/>
      <c r="K136" s="426"/>
    </row>
    <row r="137" spans="1:13" ht="45" customHeight="1" thickTop="1" thickBot="1" x14ac:dyDescent="0.25">
      <c r="A137" s="430" t="s">
        <v>131</v>
      </c>
      <c r="B137" s="431"/>
      <c r="C137" s="433"/>
      <c r="D137" s="434" t="s">
        <v>329</v>
      </c>
      <c r="E137" s="434"/>
      <c r="F137" s="434" t="s">
        <v>133</v>
      </c>
      <c r="G137" s="434"/>
      <c r="H137" s="434" t="s">
        <v>134</v>
      </c>
      <c r="I137" s="434"/>
      <c r="J137" s="158" t="s">
        <v>135</v>
      </c>
      <c r="K137" s="159" t="s">
        <v>136</v>
      </c>
    </row>
    <row r="138" spans="1:13" ht="21.75" customHeight="1" thickTop="1" thickBot="1" x14ac:dyDescent="0.25">
      <c r="A138" s="418" t="s">
        <v>193</v>
      </c>
      <c r="B138" s="419"/>
      <c r="C138" s="420"/>
      <c r="D138" s="421">
        <f>K134</f>
        <v>0</v>
      </c>
      <c r="E138" s="421"/>
      <c r="F138" s="422">
        <v>1</v>
      </c>
      <c r="G138" s="422"/>
      <c r="H138" s="421">
        <f>F138*D138</f>
        <v>0</v>
      </c>
      <c r="I138" s="421"/>
      <c r="J138" s="160">
        <f>'Quantitativo de pessoal'!P14</f>
        <v>1</v>
      </c>
      <c r="K138" s="161">
        <f>ROUND(J138*H138,2)</f>
        <v>0</v>
      </c>
    </row>
    <row r="139" spans="1:13" ht="36.75" customHeight="1" thickTop="1" thickBot="1" x14ac:dyDescent="0.25">
      <c r="A139" s="423" t="s">
        <v>137</v>
      </c>
      <c r="B139" s="424"/>
      <c r="C139" s="424"/>
      <c r="D139" s="424"/>
      <c r="E139" s="424"/>
      <c r="F139" s="424"/>
      <c r="G139" s="424"/>
      <c r="H139" s="424"/>
      <c r="I139" s="424"/>
      <c r="J139" s="425"/>
      <c r="K139" s="162">
        <f>K138</f>
        <v>0</v>
      </c>
    </row>
    <row r="140" spans="1:13" ht="36.75" customHeight="1" thickTop="1" thickBot="1" x14ac:dyDescent="0.25">
      <c r="A140" s="423" t="s">
        <v>138</v>
      </c>
      <c r="B140" s="424"/>
      <c r="C140" s="424"/>
      <c r="D140" s="424"/>
      <c r="E140" s="424"/>
      <c r="F140" s="424"/>
      <c r="G140" s="424"/>
      <c r="H140" s="424"/>
      <c r="I140" s="424"/>
      <c r="J140" s="426"/>
      <c r="K140" s="330">
        <f>K139*12</f>
        <v>0</v>
      </c>
    </row>
    <row r="141" spans="1:13" ht="16.5" thickTop="1" x14ac:dyDescent="0.2">
      <c r="K141" s="329" t="s">
        <v>139</v>
      </c>
      <c r="L141" s="163" t="e">
        <f>K134/K33</f>
        <v>#DIV/0!</v>
      </c>
      <c r="M141" s="111"/>
    </row>
    <row r="1048526" ht="12.75" customHeight="1" x14ac:dyDescent="0.2"/>
    <row r="1048527" ht="12.75" customHeight="1" x14ac:dyDescent="0.2"/>
    <row r="1048528" ht="12.75" customHeight="1" x14ac:dyDescent="0.2"/>
    <row r="1048529" ht="12.75" customHeight="1" x14ac:dyDescent="0.2"/>
    <row r="1048530" ht="12.75" customHeight="1" x14ac:dyDescent="0.2"/>
    <row r="1048531" ht="12.75" customHeight="1" x14ac:dyDescent="0.2"/>
    <row r="1048532" ht="12.75" customHeight="1" x14ac:dyDescent="0.2"/>
    <row r="1048533" ht="12.75" customHeight="1" x14ac:dyDescent="0.2"/>
    <row r="1048534" ht="12.75" customHeight="1" x14ac:dyDescent="0.2"/>
    <row r="1048535" ht="12.75" customHeight="1" x14ac:dyDescent="0.2"/>
    <row r="1048536" ht="12.75" customHeight="1" x14ac:dyDescent="0.2"/>
    <row r="1048537" ht="12.75" customHeight="1" x14ac:dyDescent="0.2"/>
    <row r="1048538" ht="12.75" customHeight="1" x14ac:dyDescent="0.2"/>
    <row r="1048539" ht="12.75" customHeight="1" x14ac:dyDescent="0.2"/>
    <row r="1048540" ht="12.75" customHeight="1" x14ac:dyDescent="0.2"/>
    <row r="1048541" ht="12.75" customHeight="1" x14ac:dyDescent="0.2"/>
    <row r="1048542" ht="12.75" customHeight="1" x14ac:dyDescent="0.2"/>
    <row r="1048543" ht="12.75" customHeight="1" x14ac:dyDescent="0.2"/>
    <row r="1048544" ht="12.75" customHeight="1" x14ac:dyDescent="0.2"/>
    <row r="1048545" ht="12.75" customHeight="1" x14ac:dyDescent="0.2"/>
    <row r="1048546" ht="12.75" customHeight="1" x14ac:dyDescent="0.2"/>
    <row r="1048547" ht="12.75" customHeight="1" x14ac:dyDescent="0.2"/>
    <row r="1048548" ht="12.75" customHeight="1" x14ac:dyDescent="0.2"/>
    <row r="1048549" ht="12.75" customHeight="1" x14ac:dyDescent="0.2"/>
    <row r="1048550" ht="12.75" customHeight="1" x14ac:dyDescent="0.2"/>
    <row r="1048551" ht="12.75" customHeight="1" x14ac:dyDescent="0.2"/>
    <row r="1048552" ht="12.75" customHeight="1" x14ac:dyDescent="0.2"/>
    <row r="1048553" ht="12.75" customHeight="1" x14ac:dyDescent="0.2"/>
    <row r="1048554" ht="12.75" customHeight="1" x14ac:dyDescent="0.2"/>
    <row r="1048555" ht="12.75" customHeight="1" x14ac:dyDescent="0.2"/>
    <row r="1048556" ht="12.75" customHeight="1" x14ac:dyDescent="0.2"/>
  </sheetData>
  <mergeCells count="137">
    <mergeCell ref="A138:C138"/>
    <mergeCell ref="D138:E138"/>
    <mergeCell ref="F138:G138"/>
    <mergeCell ref="H138:I138"/>
    <mergeCell ref="A139:J139"/>
    <mergeCell ref="A140:J140"/>
    <mergeCell ref="B133:J133"/>
    <mergeCell ref="A134:J134"/>
    <mergeCell ref="A136:K136"/>
    <mergeCell ref="A137:C137"/>
    <mergeCell ref="D137:E137"/>
    <mergeCell ref="F137:G137"/>
    <mergeCell ref="H137:I137"/>
    <mergeCell ref="B127:J127"/>
    <mergeCell ref="B128:J128"/>
    <mergeCell ref="B129:J129"/>
    <mergeCell ref="B130:J130"/>
    <mergeCell ref="B131:J131"/>
    <mergeCell ref="A132:J132"/>
    <mergeCell ref="A111:J111"/>
    <mergeCell ref="A114:A117"/>
    <mergeCell ref="I115:I117"/>
    <mergeCell ref="A119:K124"/>
    <mergeCell ref="A125:K125"/>
    <mergeCell ref="A126:J126"/>
    <mergeCell ref="A107:A108"/>
    <mergeCell ref="B107:C108"/>
    <mergeCell ref="D107:J107"/>
    <mergeCell ref="D108:J108"/>
    <mergeCell ref="A109:J109"/>
    <mergeCell ref="A110:K110"/>
    <mergeCell ref="A103:J103"/>
    <mergeCell ref="B104:J104"/>
    <mergeCell ref="B105:D105"/>
    <mergeCell ref="E105:J105"/>
    <mergeCell ref="B106:D106"/>
    <mergeCell ref="E106:J106"/>
    <mergeCell ref="A97:K97"/>
    <mergeCell ref="A98:K98"/>
    <mergeCell ref="B99:J99"/>
    <mergeCell ref="B100:J100"/>
    <mergeCell ref="B101:J101"/>
    <mergeCell ref="A102:K102"/>
    <mergeCell ref="B90:I90"/>
    <mergeCell ref="A91:I91"/>
    <mergeCell ref="A92:K93"/>
    <mergeCell ref="A94:K94"/>
    <mergeCell ref="B95:I95"/>
    <mergeCell ref="B96:I96"/>
    <mergeCell ref="B84:I84"/>
    <mergeCell ref="B85:I85"/>
    <mergeCell ref="B86:I86"/>
    <mergeCell ref="B87:I87"/>
    <mergeCell ref="B88:I88"/>
    <mergeCell ref="B89:I89"/>
    <mergeCell ref="B77:I77"/>
    <mergeCell ref="L77:M77"/>
    <mergeCell ref="A78:I78"/>
    <mergeCell ref="A79:K81"/>
    <mergeCell ref="A82:K82"/>
    <mergeCell ref="A83:K83"/>
    <mergeCell ref="B74:I74"/>
    <mergeCell ref="L74:M74"/>
    <mergeCell ref="B75:I75"/>
    <mergeCell ref="L75:M75"/>
    <mergeCell ref="B76:I76"/>
    <mergeCell ref="L76:M76"/>
    <mergeCell ref="B69:J69"/>
    <mergeCell ref="A70:K70"/>
    <mergeCell ref="A71:K71"/>
    <mergeCell ref="B72:I72"/>
    <mergeCell ref="L72:M72"/>
    <mergeCell ref="B73:I73"/>
    <mergeCell ref="L73:M73"/>
    <mergeCell ref="B62:J62"/>
    <mergeCell ref="A63:K64"/>
    <mergeCell ref="A65:K65"/>
    <mergeCell ref="B66:I66"/>
    <mergeCell ref="B67:I67"/>
    <mergeCell ref="B68:J68"/>
    <mergeCell ref="L58:O58"/>
    <mergeCell ref="B59:J59"/>
    <mergeCell ref="L59:O59"/>
    <mergeCell ref="B60:J60"/>
    <mergeCell ref="L60:O60"/>
    <mergeCell ref="B61:J61"/>
    <mergeCell ref="L61:O61"/>
    <mergeCell ref="B51:I51"/>
    <mergeCell ref="B52:I52"/>
    <mergeCell ref="A53:K55"/>
    <mergeCell ref="A56:K56"/>
    <mergeCell ref="B57:J57"/>
    <mergeCell ref="B58:J58"/>
    <mergeCell ref="B45:I45"/>
    <mergeCell ref="B46:E46"/>
    <mergeCell ref="H46:I46"/>
    <mergeCell ref="B47:I47"/>
    <mergeCell ref="B48:I48"/>
    <mergeCell ref="B50:I50"/>
    <mergeCell ref="B38:I38"/>
    <mergeCell ref="B39:I39"/>
    <mergeCell ref="B40:I40"/>
    <mergeCell ref="A41:K42"/>
    <mergeCell ref="A43:K43"/>
    <mergeCell ref="B44:I44"/>
    <mergeCell ref="B31:J31"/>
    <mergeCell ref="A32:K32"/>
    <mergeCell ref="A33:J33"/>
    <mergeCell ref="A34:K35"/>
    <mergeCell ref="A36:K36"/>
    <mergeCell ref="A37:K37"/>
    <mergeCell ref="A26:A27"/>
    <mergeCell ref="B26:D27"/>
    <mergeCell ref="K26:K27"/>
    <mergeCell ref="B28:J28"/>
    <mergeCell ref="B29:J29"/>
    <mergeCell ref="B30:J30"/>
    <mergeCell ref="A12:K14"/>
    <mergeCell ref="A15:K15"/>
    <mergeCell ref="B19:J19"/>
    <mergeCell ref="A20:K22"/>
    <mergeCell ref="A23:J23"/>
    <mergeCell ref="H25:J25"/>
    <mergeCell ref="A5:C5"/>
    <mergeCell ref="D5:I5"/>
    <mergeCell ref="B7:E7"/>
    <mergeCell ref="F7:K7"/>
    <mergeCell ref="B9:H9"/>
    <mergeCell ref="I9:K9"/>
    <mergeCell ref="A1:I1"/>
    <mergeCell ref="A2:C2"/>
    <mergeCell ref="D2:I2"/>
    <mergeCell ref="A3:C3"/>
    <mergeCell ref="D3:I3"/>
    <mergeCell ref="A4:C4"/>
    <mergeCell ref="D4:F4"/>
    <mergeCell ref="H4:I4"/>
  </mergeCells>
  <pageMargins left="0.511811024" right="0.511811024" top="0.78740157499999996" bottom="0.78740157499999996" header="0.31496062000000002" footer="0.31496062000000002"/>
  <pageSetup paperSize="9" scale="4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22</vt:i4>
      </vt:variant>
    </vt:vector>
  </HeadingPairs>
  <TitlesOfParts>
    <vt:vector size="22" baseType="lpstr">
      <vt:lpstr>Resumo-Valor Mensal e Anual</vt:lpstr>
      <vt:lpstr>1 - Servente Sede</vt:lpstr>
      <vt:lpstr>2 - Copeira (o)</vt:lpstr>
      <vt:lpstr>3 - Encarregado</vt:lpstr>
      <vt:lpstr>4 - Servente Porto de SUAPE</vt:lpstr>
      <vt:lpstr>5 - Servente Aeroporto Recife</vt:lpstr>
      <vt:lpstr>6 - Servente Porto do Recife</vt:lpstr>
      <vt:lpstr>7 - Servente Petrolina</vt:lpstr>
      <vt:lpstr>8 - Servente Garanhuns</vt:lpstr>
      <vt:lpstr>9 - Motoristas</vt:lpstr>
      <vt:lpstr>10 - Recepcionista</vt:lpstr>
      <vt:lpstr>11 - Auxiliar Administrativo</vt:lpstr>
      <vt:lpstr>Memória de Cálculo</vt:lpstr>
      <vt:lpstr>Quantitativo de pessoal</vt:lpstr>
      <vt:lpstr>Valor do M² (IN 05) - Sede</vt:lpstr>
      <vt:lpstr>Valor Mensal Anual</vt:lpstr>
      <vt:lpstr>Insumos Sede</vt:lpstr>
      <vt:lpstr>Insumos Porto de Suape</vt:lpstr>
      <vt:lpstr>Insumos Aeroporto do Recife</vt:lpstr>
      <vt:lpstr>Insumos Porto do Recife</vt:lpstr>
      <vt:lpstr>Insumos Petrolina</vt:lpstr>
      <vt:lpstr>Insumos Garanhuns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Usuário do Windows</cp:lastModifiedBy>
  <cp:lastPrinted>2020-05-22T17:37:16Z</cp:lastPrinted>
  <dcterms:created xsi:type="dcterms:W3CDTF">2020-03-03T20:25:50Z</dcterms:created>
  <dcterms:modified xsi:type="dcterms:W3CDTF">2020-05-22T17:40:54Z</dcterms:modified>
</cp:coreProperties>
</file>